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showInkAnnotation="0" autoCompressPictures="0"/>
  <bookViews>
    <workbookView xWindow="3480" yWindow="0" windowWidth="25120" windowHeight="15580" tabRatio="500"/>
  </bookViews>
  <sheets>
    <sheet name="Title" sheetId="9" r:id="rId1"/>
    <sheet name="CaseStudy1" sheetId="7" r:id="rId2"/>
    <sheet name="CaseStudy2" sheetId="2" r:id="rId3"/>
    <sheet name="CaseStudy3" sheetId="8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5" i="8" l="1"/>
  <c r="C206" i="8"/>
  <c r="E190" i="8"/>
  <c r="D205" i="8"/>
  <c r="D206" i="8"/>
  <c r="F190" i="8"/>
  <c r="G190" i="8"/>
  <c r="H190" i="8"/>
  <c r="E191" i="8"/>
  <c r="F191" i="8"/>
  <c r="G191" i="8"/>
  <c r="H191" i="8"/>
  <c r="E192" i="8"/>
  <c r="F192" i="8"/>
  <c r="G192" i="8"/>
  <c r="H192" i="8"/>
  <c r="E193" i="8"/>
  <c r="F193" i="8"/>
  <c r="G193" i="8"/>
  <c r="H193" i="8"/>
  <c r="E194" i="8"/>
  <c r="F194" i="8"/>
  <c r="G194" i="8"/>
  <c r="H194" i="8"/>
  <c r="E195" i="8"/>
  <c r="F195" i="8"/>
  <c r="G195" i="8"/>
  <c r="H195" i="8"/>
  <c r="E196" i="8"/>
  <c r="F196" i="8"/>
  <c r="G196" i="8"/>
  <c r="H196" i="8"/>
  <c r="E197" i="8"/>
  <c r="F197" i="8"/>
  <c r="G197" i="8"/>
  <c r="H197" i="8"/>
  <c r="E198" i="8"/>
  <c r="F198" i="8"/>
  <c r="G198" i="8"/>
  <c r="H198" i="8"/>
  <c r="E199" i="8"/>
  <c r="F199" i="8"/>
  <c r="G199" i="8"/>
  <c r="H199" i="8"/>
  <c r="E200" i="8"/>
  <c r="F200" i="8"/>
  <c r="G200" i="8"/>
  <c r="H200" i="8"/>
  <c r="E201" i="8"/>
  <c r="F201" i="8"/>
  <c r="G201" i="8"/>
  <c r="H201" i="8"/>
  <c r="E202" i="8"/>
  <c r="F202" i="8"/>
  <c r="G202" i="8"/>
  <c r="H202" i="8"/>
  <c r="E203" i="8"/>
  <c r="F203" i="8"/>
  <c r="G203" i="8"/>
  <c r="H203" i="8"/>
  <c r="E204" i="8"/>
  <c r="F204" i="8"/>
  <c r="G204" i="8"/>
  <c r="H204" i="8"/>
  <c r="E189" i="8"/>
  <c r="F189" i="8"/>
  <c r="H189" i="8"/>
  <c r="G189" i="8"/>
  <c r="D41" i="8"/>
  <c r="D42" i="8"/>
  <c r="C41" i="8"/>
  <c r="C42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C214" i="2"/>
  <c r="C215" i="2"/>
  <c r="E197" i="2"/>
  <c r="D214" i="2"/>
  <c r="D215" i="2"/>
  <c r="F197" i="2"/>
  <c r="G197" i="2"/>
  <c r="H197" i="2"/>
  <c r="I197" i="2"/>
  <c r="E198" i="2"/>
  <c r="F198" i="2"/>
  <c r="G198" i="2"/>
  <c r="H198" i="2"/>
  <c r="E199" i="2"/>
  <c r="F199" i="2"/>
  <c r="G199" i="2"/>
  <c r="H199" i="2"/>
  <c r="E200" i="2"/>
  <c r="F200" i="2"/>
  <c r="G200" i="2"/>
  <c r="H200" i="2"/>
  <c r="E201" i="2"/>
  <c r="F201" i="2"/>
  <c r="G201" i="2"/>
  <c r="H201" i="2"/>
  <c r="E202" i="2"/>
  <c r="F202" i="2"/>
  <c r="G202" i="2"/>
  <c r="H202" i="2"/>
  <c r="E203" i="2"/>
  <c r="F203" i="2"/>
  <c r="G203" i="2"/>
  <c r="H203" i="2"/>
  <c r="E204" i="2"/>
  <c r="F204" i="2"/>
  <c r="G204" i="2"/>
  <c r="H204" i="2"/>
  <c r="E205" i="2"/>
  <c r="F205" i="2"/>
  <c r="G205" i="2"/>
  <c r="H205" i="2"/>
  <c r="E206" i="2"/>
  <c r="F206" i="2"/>
  <c r="G206" i="2"/>
  <c r="H206" i="2"/>
  <c r="E207" i="2"/>
  <c r="F207" i="2"/>
  <c r="G207" i="2"/>
  <c r="H207" i="2"/>
  <c r="E208" i="2"/>
  <c r="F208" i="2"/>
  <c r="G208" i="2"/>
  <c r="H208" i="2"/>
  <c r="E209" i="2"/>
  <c r="F209" i="2"/>
  <c r="G209" i="2"/>
  <c r="H209" i="2"/>
  <c r="E210" i="2"/>
  <c r="F210" i="2"/>
  <c r="G210" i="2"/>
  <c r="H210" i="2"/>
  <c r="E211" i="2"/>
  <c r="F211" i="2"/>
  <c r="G211" i="2"/>
  <c r="H211" i="2"/>
  <c r="E212" i="2"/>
  <c r="F212" i="2"/>
  <c r="G212" i="2"/>
  <c r="H212" i="2"/>
  <c r="E213" i="2"/>
  <c r="F213" i="2"/>
  <c r="G213" i="2"/>
  <c r="H213" i="2"/>
  <c r="D43" i="2"/>
  <c r="D44" i="2"/>
  <c r="F29" i="2"/>
  <c r="F28" i="2"/>
  <c r="F27" i="2"/>
  <c r="F26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C223" i="7"/>
  <c r="C224" i="7"/>
  <c r="E222" i="7"/>
  <c r="D223" i="7"/>
  <c r="D224" i="7"/>
  <c r="F222" i="7"/>
  <c r="G222" i="7"/>
  <c r="H222" i="7"/>
  <c r="I222" i="7"/>
  <c r="E221" i="7"/>
  <c r="F221" i="7"/>
  <c r="G221" i="7"/>
  <c r="H221" i="7"/>
  <c r="I221" i="7"/>
  <c r="E220" i="7"/>
  <c r="F220" i="7"/>
  <c r="G220" i="7"/>
  <c r="H220" i="7"/>
  <c r="I220" i="7"/>
  <c r="E219" i="7"/>
  <c r="F219" i="7"/>
  <c r="G219" i="7"/>
  <c r="H219" i="7"/>
  <c r="I219" i="7"/>
  <c r="E218" i="7"/>
  <c r="F218" i="7"/>
  <c r="G218" i="7"/>
  <c r="H218" i="7"/>
  <c r="I218" i="7"/>
  <c r="E217" i="7"/>
  <c r="F217" i="7"/>
  <c r="G217" i="7"/>
  <c r="H217" i="7"/>
  <c r="I217" i="7"/>
  <c r="E216" i="7"/>
  <c r="F216" i="7"/>
  <c r="G216" i="7"/>
  <c r="H216" i="7"/>
  <c r="I216" i="7"/>
  <c r="E215" i="7"/>
  <c r="F215" i="7"/>
  <c r="G215" i="7"/>
  <c r="H215" i="7"/>
  <c r="I215" i="7"/>
  <c r="E214" i="7"/>
  <c r="F214" i="7"/>
  <c r="G214" i="7"/>
  <c r="H214" i="7"/>
  <c r="I214" i="7"/>
  <c r="E213" i="7"/>
  <c r="F213" i="7"/>
  <c r="G213" i="7"/>
  <c r="H213" i="7"/>
  <c r="I213" i="7"/>
  <c r="E212" i="7"/>
  <c r="F212" i="7"/>
  <c r="G212" i="7"/>
  <c r="H212" i="7"/>
  <c r="I212" i="7"/>
  <c r="E211" i="7"/>
  <c r="F211" i="7"/>
  <c r="G211" i="7"/>
  <c r="H211" i="7"/>
  <c r="I211" i="7"/>
  <c r="E210" i="7"/>
  <c r="F210" i="7"/>
  <c r="G210" i="7"/>
  <c r="H210" i="7"/>
  <c r="I210" i="7"/>
  <c r="E209" i="7"/>
  <c r="F209" i="7"/>
  <c r="G209" i="7"/>
  <c r="H209" i="7"/>
  <c r="I209" i="7"/>
  <c r="E208" i="7"/>
  <c r="F208" i="7"/>
  <c r="G208" i="7"/>
  <c r="H208" i="7"/>
  <c r="I208" i="7"/>
  <c r="E207" i="7"/>
  <c r="F207" i="7"/>
  <c r="G207" i="7"/>
  <c r="H207" i="7"/>
  <c r="I207" i="7"/>
  <c r="E206" i="7"/>
  <c r="F206" i="7"/>
  <c r="G206" i="7"/>
  <c r="H206" i="7"/>
  <c r="I206" i="7"/>
  <c r="E205" i="7"/>
  <c r="F205" i="7"/>
  <c r="G205" i="7"/>
  <c r="H205" i="7"/>
  <c r="I205" i="7"/>
  <c r="C45" i="7"/>
  <c r="C46" i="7"/>
  <c r="E27" i="7"/>
  <c r="H111" i="7"/>
  <c r="J111" i="7"/>
  <c r="H112" i="7"/>
  <c r="J112" i="7"/>
  <c r="H113" i="7"/>
  <c r="J113" i="7"/>
  <c r="H114" i="7"/>
  <c r="J114" i="7"/>
  <c r="H115" i="7"/>
  <c r="J115" i="7"/>
  <c r="H116" i="7"/>
  <c r="J116" i="7"/>
  <c r="H117" i="7"/>
  <c r="J117" i="7"/>
  <c r="H118" i="7"/>
  <c r="J118" i="7"/>
  <c r="H119" i="7"/>
  <c r="J119" i="7"/>
  <c r="H120" i="7"/>
  <c r="J120" i="7"/>
  <c r="H121" i="7"/>
  <c r="J121" i="7"/>
  <c r="K111" i="7"/>
  <c r="L111" i="7"/>
  <c r="K112" i="7"/>
  <c r="L112" i="7"/>
  <c r="K113" i="7"/>
  <c r="L113" i="7"/>
  <c r="K114" i="7"/>
  <c r="L114" i="7"/>
  <c r="K115" i="7"/>
  <c r="L115" i="7"/>
  <c r="K116" i="7"/>
  <c r="L116" i="7"/>
  <c r="K117" i="7"/>
  <c r="L117" i="7"/>
  <c r="K118" i="7"/>
  <c r="L118" i="7"/>
  <c r="K119" i="7"/>
  <c r="L119" i="7"/>
  <c r="K120" i="7"/>
  <c r="L120" i="7"/>
  <c r="K121" i="7"/>
  <c r="L121" i="7"/>
  <c r="F125" i="7"/>
  <c r="H98" i="7"/>
  <c r="J98" i="7"/>
  <c r="H99" i="7"/>
  <c r="J99" i="7"/>
  <c r="H100" i="7"/>
  <c r="J100" i="7"/>
  <c r="H101" i="7"/>
  <c r="J101" i="7"/>
  <c r="H102" i="7"/>
  <c r="J102" i="7"/>
  <c r="H103" i="7"/>
  <c r="J103" i="7"/>
  <c r="H104" i="7"/>
  <c r="J104" i="7"/>
  <c r="K98" i="7"/>
  <c r="L98" i="7"/>
  <c r="K99" i="7"/>
  <c r="L99" i="7"/>
  <c r="K100" i="7"/>
  <c r="L100" i="7"/>
  <c r="K101" i="7"/>
  <c r="L101" i="7"/>
  <c r="K102" i="7"/>
  <c r="L102" i="7"/>
  <c r="K103" i="7"/>
  <c r="L103" i="7"/>
  <c r="K104" i="7"/>
  <c r="L104" i="7"/>
  <c r="F107" i="7"/>
  <c r="J94" i="2"/>
  <c r="J95" i="2"/>
  <c r="J96" i="2"/>
  <c r="J97" i="2"/>
  <c r="J98" i="2"/>
  <c r="J99" i="2"/>
  <c r="J100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F103" i="2"/>
  <c r="H90" i="8"/>
  <c r="J90" i="8"/>
  <c r="H91" i="8"/>
  <c r="J91" i="8"/>
  <c r="H92" i="8"/>
  <c r="J92" i="8"/>
  <c r="H93" i="8"/>
  <c r="J93" i="8"/>
  <c r="H94" i="8"/>
  <c r="J94" i="8"/>
  <c r="H95" i="8"/>
  <c r="J95" i="8"/>
  <c r="H96" i="8"/>
  <c r="J96" i="8"/>
  <c r="H97" i="8"/>
  <c r="J97" i="8"/>
  <c r="H98" i="8"/>
  <c r="J98" i="8"/>
  <c r="K90" i="8"/>
  <c r="L90" i="8"/>
  <c r="K91" i="8"/>
  <c r="L91" i="8"/>
  <c r="K92" i="8"/>
  <c r="L92" i="8"/>
  <c r="K93" i="8"/>
  <c r="L93" i="8"/>
  <c r="K94" i="8"/>
  <c r="L94" i="8"/>
  <c r="K95" i="8"/>
  <c r="L95" i="8"/>
  <c r="K96" i="8"/>
  <c r="L96" i="8"/>
  <c r="K97" i="8"/>
  <c r="L97" i="8"/>
  <c r="K98" i="8"/>
  <c r="L98" i="8"/>
  <c r="F101" i="8"/>
  <c r="F113" i="8"/>
  <c r="G183" i="7"/>
  <c r="G182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H183" i="7"/>
  <c r="H182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68" i="8"/>
  <c r="G182" i="2"/>
  <c r="G175" i="2"/>
  <c r="G176" i="2"/>
  <c r="G177" i="2"/>
  <c r="G178" i="2"/>
  <c r="G179" i="2"/>
  <c r="G180" i="2"/>
  <c r="G181" i="2"/>
  <c r="G183" i="2"/>
  <c r="G184" i="2"/>
  <c r="G185" i="2"/>
  <c r="G186" i="2"/>
  <c r="G187" i="2"/>
  <c r="G188" i="2"/>
  <c r="G189" i="2"/>
  <c r="G190" i="2"/>
  <c r="G191" i="2"/>
  <c r="H182" i="2"/>
  <c r="H176" i="2"/>
  <c r="H177" i="2"/>
  <c r="H178" i="2"/>
  <c r="H179" i="2"/>
  <c r="H180" i="2"/>
  <c r="H181" i="2"/>
  <c r="H183" i="2"/>
  <c r="H184" i="2"/>
  <c r="H185" i="2"/>
  <c r="H186" i="2"/>
  <c r="H187" i="2"/>
  <c r="H188" i="2"/>
  <c r="H189" i="2"/>
  <c r="H190" i="2"/>
  <c r="H191" i="2"/>
  <c r="H175" i="2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68" i="8"/>
  <c r="F123" i="7"/>
  <c r="F124" i="7"/>
  <c r="N111" i="7"/>
  <c r="P111" i="7"/>
  <c r="N112" i="7"/>
  <c r="P112" i="7"/>
  <c r="N113" i="7"/>
  <c r="P113" i="7"/>
  <c r="N114" i="7"/>
  <c r="P114" i="7"/>
  <c r="N115" i="7"/>
  <c r="P115" i="7"/>
  <c r="N116" i="7"/>
  <c r="P116" i="7"/>
  <c r="N117" i="7"/>
  <c r="P117" i="7"/>
  <c r="N118" i="7"/>
  <c r="P118" i="7"/>
  <c r="N119" i="7"/>
  <c r="P119" i="7"/>
  <c r="N120" i="7"/>
  <c r="P120" i="7"/>
  <c r="N121" i="7"/>
  <c r="P121" i="7"/>
  <c r="O111" i="7"/>
  <c r="O112" i="7"/>
  <c r="O113" i="7"/>
  <c r="O114" i="7"/>
  <c r="O115" i="7"/>
  <c r="O116" i="7"/>
  <c r="O117" i="7"/>
  <c r="O118" i="7"/>
  <c r="O119" i="7"/>
  <c r="O120" i="7"/>
  <c r="O121" i="7"/>
  <c r="F126" i="7"/>
  <c r="J107" i="2"/>
  <c r="J108" i="2"/>
  <c r="J109" i="2"/>
  <c r="J110" i="2"/>
  <c r="J111" i="2"/>
  <c r="J112" i="2"/>
  <c r="J113" i="2"/>
  <c r="J114" i="2"/>
  <c r="J115" i="2"/>
  <c r="J11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F120" i="2"/>
  <c r="F118" i="2"/>
  <c r="F119" i="2"/>
  <c r="N107" i="2"/>
  <c r="P107" i="2"/>
  <c r="N108" i="2"/>
  <c r="P108" i="2"/>
  <c r="N109" i="2"/>
  <c r="P109" i="2"/>
  <c r="N110" i="2"/>
  <c r="P110" i="2"/>
  <c r="N111" i="2"/>
  <c r="P111" i="2"/>
  <c r="N112" i="2"/>
  <c r="P112" i="2"/>
  <c r="N113" i="2"/>
  <c r="P113" i="2"/>
  <c r="N114" i="2"/>
  <c r="P114" i="2"/>
  <c r="N115" i="2"/>
  <c r="P115" i="2"/>
  <c r="N116" i="2"/>
  <c r="P116" i="2"/>
  <c r="O107" i="2"/>
  <c r="O108" i="2"/>
  <c r="O109" i="2"/>
  <c r="O110" i="2"/>
  <c r="O111" i="2"/>
  <c r="O112" i="2"/>
  <c r="O113" i="2"/>
  <c r="O114" i="2"/>
  <c r="O115" i="2"/>
  <c r="O116" i="2"/>
  <c r="F121" i="2"/>
  <c r="F114" i="8"/>
  <c r="K109" i="8"/>
  <c r="N109" i="8"/>
  <c r="P109" i="8"/>
  <c r="K110" i="8"/>
  <c r="N110" i="8"/>
  <c r="P110" i="8"/>
  <c r="K111" i="8"/>
  <c r="N111" i="8"/>
  <c r="P111" i="8"/>
  <c r="L109" i="8"/>
  <c r="L110" i="8"/>
  <c r="L111" i="8"/>
  <c r="K105" i="8"/>
  <c r="N105" i="8"/>
  <c r="P105" i="8"/>
  <c r="K106" i="8"/>
  <c r="N106" i="8"/>
  <c r="P106" i="8"/>
  <c r="K107" i="8"/>
  <c r="N107" i="8"/>
  <c r="P107" i="8"/>
  <c r="K108" i="8"/>
  <c r="N108" i="8"/>
  <c r="P108" i="8"/>
  <c r="L105" i="8"/>
  <c r="L106" i="8"/>
  <c r="L107" i="8"/>
  <c r="L108" i="8"/>
  <c r="O105" i="8"/>
  <c r="O106" i="8"/>
  <c r="O107" i="8"/>
  <c r="O108" i="8"/>
  <c r="O109" i="8"/>
  <c r="O110" i="8"/>
  <c r="O111" i="8"/>
  <c r="F116" i="8"/>
  <c r="H105" i="8"/>
  <c r="I105" i="8"/>
  <c r="M105" i="8"/>
  <c r="J105" i="8"/>
  <c r="H109" i="8"/>
  <c r="H108" i="8"/>
  <c r="H107" i="8"/>
  <c r="H106" i="8"/>
  <c r="I106" i="8"/>
  <c r="M106" i="8"/>
  <c r="I107" i="8"/>
  <c r="M107" i="8"/>
  <c r="I108" i="8"/>
  <c r="M108" i="8"/>
  <c r="I109" i="8"/>
  <c r="M109" i="8"/>
  <c r="H110" i="8"/>
  <c r="I110" i="8"/>
  <c r="M110" i="8"/>
  <c r="H111" i="8"/>
  <c r="I111" i="8"/>
  <c r="M111" i="8"/>
  <c r="F121" i="8"/>
  <c r="G121" i="8"/>
  <c r="F122" i="8"/>
  <c r="G122" i="8"/>
  <c r="F123" i="8"/>
  <c r="G123" i="8"/>
  <c r="F124" i="8"/>
  <c r="G124" i="8"/>
  <c r="F125" i="8"/>
  <c r="G125" i="8"/>
  <c r="F126" i="8"/>
  <c r="G126" i="8"/>
  <c r="F127" i="8"/>
  <c r="G127" i="8"/>
  <c r="F128" i="8"/>
  <c r="G128" i="8"/>
  <c r="F129" i="8"/>
  <c r="G129" i="8"/>
  <c r="F130" i="8"/>
  <c r="G130" i="8"/>
  <c r="F131" i="8"/>
  <c r="G131" i="8"/>
  <c r="F132" i="8"/>
  <c r="G132" i="8"/>
  <c r="F133" i="8"/>
  <c r="G133" i="8"/>
  <c r="F134" i="8"/>
  <c r="G134" i="8"/>
  <c r="F135" i="8"/>
  <c r="G135" i="8"/>
  <c r="F136" i="8"/>
  <c r="G136" i="8"/>
  <c r="C143" i="8"/>
  <c r="C141" i="8"/>
  <c r="C142" i="8"/>
  <c r="C146" i="8"/>
  <c r="C147" i="8"/>
  <c r="C145" i="8"/>
  <c r="H115" i="8"/>
  <c r="H114" i="8"/>
  <c r="J106" i="8"/>
  <c r="J107" i="8"/>
  <c r="J108" i="8"/>
  <c r="J109" i="8"/>
  <c r="J110" i="8"/>
  <c r="J111" i="8"/>
  <c r="H113" i="8"/>
  <c r="I98" i="8"/>
  <c r="M98" i="8"/>
  <c r="I97" i="8"/>
  <c r="M97" i="8"/>
  <c r="I90" i="8"/>
  <c r="I91" i="8"/>
  <c r="I92" i="8"/>
  <c r="I93" i="8"/>
  <c r="I94" i="8"/>
  <c r="I95" i="8"/>
  <c r="I96" i="8"/>
  <c r="H102" i="8"/>
  <c r="M96" i="8"/>
  <c r="M90" i="8"/>
  <c r="M91" i="8"/>
  <c r="M92" i="8"/>
  <c r="M93" i="8"/>
  <c r="M94" i="8"/>
  <c r="M95" i="8"/>
  <c r="H101" i="8"/>
  <c r="H100" i="8"/>
  <c r="F100" i="8"/>
  <c r="G85" i="8"/>
  <c r="F85" i="8"/>
  <c r="H85" i="8"/>
  <c r="G84" i="8"/>
  <c r="F84" i="8"/>
  <c r="H84" i="8"/>
  <c r="F83" i="8"/>
  <c r="H83" i="8"/>
  <c r="F82" i="8"/>
  <c r="H82" i="8"/>
  <c r="F81" i="8"/>
  <c r="H81" i="8"/>
  <c r="F80" i="8"/>
  <c r="H80" i="8"/>
  <c r="F79" i="8"/>
  <c r="H79" i="8"/>
  <c r="F78" i="8"/>
  <c r="H78" i="8"/>
  <c r="F77" i="8"/>
  <c r="H77" i="8"/>
  <c r="F76" i="8"/>
  <c r="H76" i="8"/>
  <c r="F75" i="8"/>
  <c r="H75" i="8"/>
  <c r="F74" i="8"/>
  <c r="H74" i="8"/>
  <c r="F73" i="8"/>
  <c r="H73" i="8"/>
  <c r="F72" i="8"/>
  <c r="H72" i="8"/>
  <c r="F71" i="8"/>
  <c r="H71" i="8"/>
  <c r="G70" i="8"/>
  <c r="F70" i="8"/>
  <c r="H70" i="8"/>
  <c r="F50" i="8"/>
  <c r="E26" i="8"/>
  <c r="F26" i="8"/>
  <c r="E27" i="8"/>
  <c r="F27" i="8"/>
  <c r="E28" i="8"/>
  <c r="F28" i="8"/>
  <c r="E29" i="8"/>
  <c r="F29" i="8"/>
  <c r="E30" i="8"/>
  <c r="F30" i="8"/>
  <c r="E31" i="8"/>
  <c r="F31" i="8"/>
  <c r="E32" i="8"/>
  <c r="F32" i="8"/>
  <c r="E33" i="8"/>
  <c r="F33" i="8"/>
  <c r="E34" i="8"/>
  <c r="F34" i="8"/>
  <c r="E35" i="8"/>
  <c r="F35" i="8"/>
  <c r="E36" i="8"/>
  <c r="F36" i="8"/>
  <c r="E37" i="8"/>
  <c r="F37" i="8"/>
  <c r="E38" i="8"/>
  <c r="F38" i="8"/>
  <c r="E39" i="8"/>
  <c r="F39" i="8"/>
  <c r="E40" i="8"/>
  <c r="F40" i="8"/>
  <c r="F25" i="8"/>
  <c r="E25" i="8"/>
  <c r="F37" i="2"/>
  <c r="C43" i="2"/>
  <c r="C44" i="2"/>
  <c r="E37" i="2"/>
  <c r="E26" i="2"/>
  <c r="F34" i="2"/>
  <c r="E34" i="2"/>
  <c r="F33" i="2"/>
  <c r="E33" i="2"/>
  <c r="F36" i="2"/>
  <c r="E36" i="2"/>
  <c r="F35" i="2"/>
  <c r="E35" i="2"/>
  <c r="F38" i="2"/>
  <c r="E38" i="2"/>
  <c r="F40" i="2"/>
  <c r="E40" i="2"/>
  <c r="F39" i="2"/>
  <c r="E39" i="2"/>
  <c r="F42" i="2"/>
  <c r="E42" i="2"/>
  <c r="F41" i="2"/>
  <c r="E41" i="2"/>
  <c r="E27" i="2"/>
  <c r="E28" i="2"/>
  <c r="E29" i="2"/>
  <c r="F30" i="2"/>
  <c r="E30" i="2"/>
  <c r="F31" i="2"/>
  <c r="E31" i="2"/>
  <c r="F32" i="2"/>
  <c r="E32" i="2"/>
  <c r="D45" i="7"/>
  <c r="D46" i="7"/>
  <c r="F33" i="7"/>
  <c r="E33" i="7"/>
  <c r="F32" i="7"/>
  <c r="E32" i="7"/>
  <c r="F31" i="7"/>
  <c r="E31" i="7"/>
  <c r="F30" i="7"/>
  <c r="E30" i="7"/>
  <c r="F29" i="7"/>
  <c r="E29" i="7"/>
  <c r="F28" i="7"/>
  <c r="E28" i="7"/>
  <c r="F27" i="7"/>
  <c r="F44" i="7"/>
  <c r="E44" i="7"/>
  <c r="F43" i="7"/>
  <c r="E43" i="7"/>
  <c r="F42" i="7"/>
  <c r="E42" i="7"/>
  <c r="F41" i="7"/>
  <c r="E41" i="7"/>
  <c r="F40" i="7"/>
  <c r="E40" i="7"/>
  <c r="F39" i="7"/>
  <c r="E39" i="7"/>
  <c r="F38" i="7"/>
  <c r="E38" i="7"/>
  <c r="F37" i="7"/>
  <c r="E37" i="7"/>
  <c r="F36" i="7"/>
  <c r="E36" i="7"/>
  <c r="F35" i="7"/>
  <c r="E35" i="7"/>
  <c r="F34" i="7"/>
  <c r="E34" i="7"/>
  <c r="F54" i="7"/>
  <c r="C148" i="8"/>
  <c r="C149" i="8"/>
  <c r="C150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C147" i="2"/>
  <c r="C151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C149" i="2"/>
  <c r="C148" i="2"/>
  <c r="C152" i="2"/>
  <c r="C153" i="2"/>
  <c r="C154" i="2"/>
  <c r="C155" i="2"/>
  <c r="C156" i="2"/>
  <c r="F131" i="7"/>
  <c r="G131" i="7"/>
  <c r="F132" i="7"/>
  <c r="G132" i="7"/>
  <c r="F133" i="7"/>
  <c r="G133" i="7"/>
  <c r="F134" i="7"/>
  <c r="G134" i="7"/>
  <c r="F135" i="7"/>
  <c r="G135" i="7"/>
  <c r="F136" i="7"/>
  <c r="G136" i="7"/>
  <c r="F137" i="7"/>
  <c r="G137" i="7"/>
  <c r="F138" i="7"/>
  <c r="G138" i="7"/>
  <c r="F139" i="7"/>
  <c r="G139" i="7"/>
  <c r="F140" i="7"/>
  <c r="G140" i="7"/>
  <c r="F141" i="7"/>
  <c r="G141" i="7"/>
  <c r="F142" i="7"/>
  <c r="G142" i="7"/>
  <c r="F143" i="7"/>
  <c r="G143" i="7"/>
  <c r="F144" i="7"/>
  <c r="G144" i="7"/>
  <c r="F145" i="7"/>
  <c r="G145" i="7"/>
  <c r="F146" i="7"/>
  <c r="G146" i="7"/>
  <c r="F147" i="7"/>
  <c r="G147" i="7"/>
  <c r="F148" i="7"/>
  <c r="G148" i="7"/>
  <c r="C155" i="7"/>
  <c r="C153" i="7"/>
  <c r="C154" i="7"/>
  <c r="C158" i="7"/>
  <c r="C159" i="7"/>
  <c r="C157" i="7"/>
  <c r="C160" i="7"/>
  <c r="C161" i="7"/>
  <c r="C162" i="7"/>
  <c r="I111" i="7"/>
  <c r="I112" i="7"/>
  <c r="I113" i="7"/>
  <c r="I114" i="7"/>
  <c r="I115" i="7"/>
  <c r="I116" i="7"/>
  <c r="I117" i="7"/>
  <c r="I118" i="7"/>
  <c r="I119" i="7"/>
  <c r="I120" i="7"/>
  <c r="I121" i="7"/>
  <c r="H125" i="7"/>
  <c r="M111" i="7"/>
  <c r="M112" i="7"/>
  <c r="M113" i="7"/>
  <c r="M114" i="7"/>
  <c r="M115" i="7"/>
  <c r="M116" i="7"/>
  <c r="M117" i="7"/>
  <c r="M118" i="7"/>
  <c r="M119" i="7"/>
  <c r="M120" i="7"/>
  <c r="M121" i="7"/>
  <c r="H124" i="7"/>
  <c r="H123" i="7"/>
  <c r="I98" i="7"/>
  <c r="I99" i="7"/>
  <c r="I100" i="7"/>
  <c r="I101" i="7"/>
  <c r="I102" i="7"/>
  <c r="I103" i="7"/>
  <c r="I104" i="7"/>
  <c r="H108" i="7"/>
  <c r="M98" i="7"/>
  <c r="M99" i="7"/>
  <c r="M100" i="7"/>
  <c r="M101" i="7"/>
  <c r="M102" i="7"/>
  <c r="M103" i="7"/>
  <c r="M104" i="7"/>
  <c r="H107" i="7"/>
  <c r="H106" i="7"/>
  <c r="F106" i="7"/>
  <c r="G93" i="7"/>
  <c r="F93" i="7"/>
  <c r="H93" i="7"/>
  <c r="G92" i="7"/>
  <c r="F92" i="7"/>
  <c r="H92" i="7"/>
  <c r="F91" i="7"/>
  <c r="H91" i="7"/>
  <c r="F90" i="7"/>
  <c r="H90" i="7"/>
  <c r="F89" i="7"/>
  <c r="H89" i="7"/>
  <c r="F88" i="7"/>
  <c r="H88" i="7"/>
  <c r="F87" i="7"/>
  <c r="H87" i="7"/>
  <c r="F86" i="7"/>
  <c r="H86" i="7"/>
  <c r="F85" i="7"/>
  <c r="H85" i="7"/>
  <c r="F84" i="7"/>
  <c r="H84" i="7"/>
  <c r="F83" i="7"/>
  <c r="H83" i="7"/>
  <c r="F82" i="7"/>
  <c r="H82" i="7"/>
  <c r="F81" i="7"/>
  <c r="H81" i="7"/>
  <c r="F80" i="7"/>
  <c r="H80" i="7"/>
  <c r="F79" i="7"/>
  <c r="H79" i="7"/>
  <c r="F78" i="7"/>
  <c r="H78" i="7"/>
  <c r="F77" i="7"/>
  <c r="H77" i="7"/>
  <c r="G76" i="7"/>
  <c r="F76" i="7"/>
  <c r="H76" i="7"/>
  <c r="F57" i="7"/>
  <c r="F55" i="7"/>
  <c r="F58" i="7"/>
  <c r="F59" i="7"/>
  <c r="F56" i="7"/>
  <c r="F60" i="7"/>
  <c r="F64" i="7"/>
  <c r="F70" i="7"/>
  <c r="F71" i="7"/>
  <c r="F61" i="7"/>
  <c r="F66" i="7"/>
  <c r="F62" i="7"/>
  <c r="F63" i="7"/>
  <c r="F65" i="7"/>
  <c r="F67" i="7"/>
  <c r="F68" i="7"/>
  <c r="F69" i="7"/>
  <c r="F75" i="2"/>
  <c r="F76" i="2"/>
  <c r="F77" i="2"/>
  <c r="G74" i="2"/>
  <c r="F74" i="2"/>
  <c r="G73" i="2"/>
  <c r="F73" i="2"/>
  <c r="I108" i="2"/>
  <c r="M108" i="2"/>
  <c r="I109" i="2"/>
  <c r="M109" i="2"/>
  <c r="I110" i="2"/>
  <c r="M110" i="2"/>
  <c r="I111" i="2"/>
  <c r="M111" i="2"/>
  <c r="I112" i="2"/>
  <c r="M112" i="2"/>
  <c r="I113" i="2"/>
  <c r="M113" i="2"/>
  <c r="I114" i="2"/>
  <c r="M114" i="2"/>
  <c r="I115" i="2"/>
  <c r="M115" i="2"/>
  <c r="I116" i="2"/>
  <c r="M116" i="2"/>
  <c r="I107" i="2"/>
  <c r="M107" i="2"/>
  <c r="H120" i="2"/>
  <c r="H119" i="2"/>
  <c r="H118" i="2"/>
  <c r="I94" i="2"/>
  <c r="M94" i="2"/>
  <c r="I95" i="2"/>
  <c r="M95" i="2"/>
  <c r="I96" i="2"/>
  <c r="M96" i="2"/>
  <c r="I97" i="2"/>
  <c r="M97" i="2"/>
  <c r="I98" i="2"/>
  <c r="M98" i="2"/>
  <c r="I99" i="2"/>
  <c r="M99" i="2"/>
  <c r="I100" i="2"/>
  <c r="M100" i="2"/>
  <c r="H103" i="2"/>
  <c r="H104" i="2"/>
  <c r="H102" i="2"/>
  <c r="F60" i="2"/>
  <c r="F59" i="2"/>
  <c r="F63" i="2"/>
  <c r="F62" i="2"/>
  <c r="F61" i="2"/>
  <c r="F64" i="2"/>
  <c r="F66" i="2"/>
  <c r="F65" i="2"/>
  <c r="F68" i="2"/>
  <c r="F67" i="2"/>
  <c r="F53" i="2"/>
  <c r="F52" i="2"/>
  <c r="F54" i="2"/>
  <c r="F55" i="2"/>
  <c r="F56" i="2"/>
  <c r="F57" i="2"/>
  <c r="F58" i="2"/>
  <c r="G89" i="2"/>
  <c r="F89" i="2"/>
  <c r="F88" i="2"/>
  <c r="F87" i="2"/>
  <c r="F86" i="2"/>
  <c r="F85" i="2"/>
  <c r="F84" i="2"/>
  <c r="F83" i="2"/>
  <c r="F82" i="2"/>
  <c r="F81" i="2"/>
  <c r="F80" i="2"/>
  <c r="F79" i="2"/>
  <c r="F78" i="2"/>
  <c r="F102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73" i="2"/>
</calcChain>
</file>

<file path=xl/sharedStrings.xml><?xml version="1.0" encoding="utf-8"?>
<sst xmlns="http://schemas.openxmlformats.org/spreadsheetml/2006/main" count="1263" uniqueCount="142">
  <si>
    <t>Set</t>
  </si>
  <si>
    <t>m</t>
  </si>
  <si>
    <t>NiO</t>
  </si>
  <si>
    <t>CoO</t>
  </si>
  <si>
    <t>ZnO</t>
  </si>
  <si>
    <t>CuO</t>
  </si>
  <si>
    <t>La2O3</t>
  </si>
  <si>
    <t>MeOx</t>
  </si>
  <si>
    <t>LZELEHHO</t>
  </si>
  <si>
    <t>T</t>
  </si>
  <si>
    <t>V</t>
  </si>
  <si>
    <t>Residuals</t>
  </si>
  <si>
    <t>mean</t>
  </si>
  <si>
    <t>|res|/Exp</t>
  </si>
  <si>
    <t>d</t>
  </si>
  <si>
    <t>N</t>
  </si>
  <si>
    <t>Where:</t>
  </si>
  <si>
    <t xml:space="preserve">is the number of data pairs </t>
  </si>
  <si>
    <t>var</t>
  </si>
  <si>
    <t>std</t>
  </si>
  <si>
    <t>t</t>
  </si>
  <si>
    <t>s</t>
  </si>
  <si>
    <t>p-value</t>
  </si>
  <si>
    <t>is the Student t-value</t>
  </si>
  <si>
    <t>is the Student's t critical value</t>
  </si>
  <si>
    <t>If Student's t-value  ≥</t>
  </si>
  <si>
    <t>If Student's t-value ≤</t>
  </si>
  <si>
    <r>
      <t>Exp log(EC</t>
    </r>
    <r>
      <rPr>
        <b/>
        <vertAlign val="subscript"/>
        <sz val="11"/>
        <rFont val="Times New Roman"/>
      </rPr>
      <t>50</t>
    </r>
    <r>
      <rPr>
        <b/>
        <sz val="11"/>
        <rFont val="Times New Roman"/>
      </rPr>
      <t>)</t>
    </r>
    <r>
      <rPr>
        <b/>
        <vertAlign val="superscript"/>
        <sz val="11"/>
        <rFont val="Times New Roman"/>
      </rPr>
      <t>-1</t>
    </r>
  </si>
  <si>
    <r>
      <t>Pred log(EC</t>
    </r>
    <r>
      <rPr>
        <b/>
        <vertAlign val="subscript"/>
        <sz val="11"/>
        <rFont val="Times New Roman"/>
      </rPr>
      <t>50</t>
    </r>
    <r>
      <rPr>
        <b/>
        <sz val="11"/>
        <rFont val="Times New Roman"/>
      </rPr>
      <t>)</t>
    </r>
    <r>
      <rPr>
        <b/>
        <vertAlign val="superscript"/>
        <sz val="11"/>
        <rFont val="Times New Roman"/>
      </rPr>
      <t>-1</t>
    </r>
  </si>
  <si>
    <t>|Residuals|</t>
  </si>
  <si>
    <r>
      <t>Residuals</t>
    </r>
    <r>
      <rPr>
        <b/>
        <vertAlign val="superscript"/>
        <sz val="11"/>
        <rFont val="Times New Roman"/>
      </rPr>
      <t>2</t>
    </r>
  </si>
  <si>
    <r>
      <t>PC</t>
    </r>
    <r>
      <rPr>
        <b/>
        <vertAlign val="subscript"/>
        <sz val="11"/>
        <rFont val="Times New Roman"/>
      </rPr>
      <t>1</t>
    </r>
    <r>
      <rPr>
        <b/>
        <vertAlign val="superscript"/>
        <sz val="11"/>
        <rFont val="Times New Roman"/>
      </rPr>
      <t>SCORES</t>
    </r>
  </si>
  <si>
    <r>
      <rPr>
        <b/>
        <sz val="14"/>
        <color theme="1"/>
        <rFont val="Arial"/>
      </rPr>
      <t>Splliting into</t>
    </r>
    <r>
      <rPr>
        <b/>
        <sz val="11"/>
        <color theme="1"/>
        <rFont val="Arial"/>
      </rPr>
      <t xml:space="preserve">: </t>
    </r>
    <r>
      <rPr>
        <b/>
        <sz val="10"/>
        <color theme="1"/>
        <rFont val="Arial"/>
      </rPr>
      <t>Training source compound (T) and Validation source</t>
    </r>
    <r>
      <rPr>
        <b/>
        <sz val="11"/>
        <color theme="1"/>
        <rFont val="Arial"/>
      </rPr>
      <t xml:space="preserve"> </t>
    </r>
    <r>
      <rPr>
        <b/>
        <sz val="10"/>
        <color theme="1"/>
        <rFont val="Arial"/>
      </rPr>
      <t>compound (V)</t>
    </r>
  </si>
  <si>
    <r>
      <t>ΔH</t>
    </r>
    <r>
      <rPr>
        <b/>
        <vertAlign val="subscript"/>
        <sz val="11"/>
        <rFont val="Times New Roman"/>
      </rPr>
      <t>Me+</t>
    </r>
  </si>
  <si>
    <r>
      <t>Me</t>
    </r>
    <r>
      <rPr>
        <b/>
        <vertAlign val="superscript"/>
        <sz val="11"/>
        <rFont val="Times New Roman"/>
      </rPr>
      <t>+</t>
    </r>
  </si>
  <si>
    <r>
      <t>Z.Me</t>
    </r>
    <r>
      <rPr>
        <b/>
        <vertAlign val="superscript"/>
        <sz val="11"/>
        <rFont val="Times New Roman"/>
      </rPr>
      <t>+</t>
    </r>
  </si>
  <si>
    <r>
      <t>TiO</t>
    </r>
    <r>
      <rPr>
        <vertAlign val="subscript"/>
        <sz val="11"/>
        <rFont val="Times New Roman"/>
      </rPr>
      <t>2</t>
    </r>
  </si>
  <si>
    <r>
      <t>SnO</t>
    </r>
    <r>
      <rPr>
        <vertAlign val="subscript"/>
        <sz val="11"/>
        <rFont val="Times New Roman"/>
      </rPr>
      <t>2</t>
    </r>
  </si>
  <si>
    <r>
      <t>Fe</t>
    </r>
    <r>
      <rPr>
        <vertAlign val="subscript"/>
        <sz val="11"/>
        <rFont val="Times New Roman"/>
      </rPr>
      <t>2</t>
    </r>
    <r>
      <rPr>
        <sz val="11"/>
        <rFont val="Times New Roman"/>
      </rPr>
      <t>O</t>
    </r>
    <r>
      <rPr>
        <vertAlign val="subscript"/>
        <sz val="11"/>
        <rFont val="Times New Roman"/>
      </rPr>
      <t>3</t>
    </r>
  </si>
  <si>
    <r>
      <t>Sb</t>
    </r>
    <r>
      <rPr>
        <vertAlign val="subscript"/>
        <sz val="11"/>
        <rFont val="Times New Roman"/>
      </rPr>
      <t>2</t>
    </r>
    <r>
      <rPr>
        <sz val="11"/>
        <rFont val="Times New Roman"/>
      </rPr>
      <t>O</t>
    </r>
    <r>
      <rPr>
        <vertAlign val="subscript"/>
        <sz val="11"/>
        <rFont val="Times New Roman"/>
      </rPr>
      <t>3</t>
    </r>
  </si>
  <si>
    <r>
      <t>La</t>
    </r>
    <r>
      <rPr>
        <vertAlign val="subscript"/>
        <sz val="11"/>
        <rFont val="Times New Roman"/>
      </rPr>
      <t>2</t>
    </r>
    <r>
      <rPr>
        <sz val="11"/>
        <rFont val="Times New Roman"/>
      </rPr>
      <t>O</t>
    </r>
    <r>
      <rPr>
        <vertAlign val="subscript"/>
        <sz val="11"/>
        <rFont val="Times New Roman"/>
      </rPr>
      <t>3</t>
    </r>
  </si>
  <si>
    <r>
      <t>Z.ΔH</t>
    </r>
    <r>
      <rPr>
        <b/>
        <vertAlign val="subscript"/>
        <sz val="11"/>
        <rFont val="Times New Roman"/>
      </rPr>
      <t>Me+</t>
    </r>
  </si>
  <si>
    <r>
      <t>PC</t>
    </r>
    <r>
      <rPr>
        <b/>
        <vertAlign val="subscript"/>
        <sz val="11"/>
        <color theme="1"/>
        <rFont val="Times New Roman"/>
      </rPr>
      <t>1</t>
    </r>
    <r>
      <rPr>
        <b/>
        <vertAlign val="superscript"/>
        <sz val="11"/>
        <color theme="1"/>
        <rFont val="Times New Roman"/>
      </rPr>
      <t xml:space="preserve">SCORES </t>
    </r>
    <r>
      <rPr>
        <b/>
        <sz val="11"/>
        <color theme="1"/>
        <rFont val="Times New Roman"/>
      </rPr>
      <t>= 0.707 Z.ΔH</t>
    </r>
    <r>
      <rPr>
        <b/>
        <vertAlign val="subscript"/>
        <sz val="11"/>
        <color theme="1"/>
        <rFont val="Times New Roman"/>
      </rPr>
      <t xml:space="preserve">Me+ </t>
    </r>
    <r>
      <rPr>
        <b/>
        <sz val="11"/>
        <color theme="1"/>
        <rFont val="Times New Roman"/>
      </rPr>
      <t>+ 0.707 Z.Me</t>
    </r>
    <r>
      <rPr>
        <b/>
        <vertAlign val="superscript"/>
        <sz val="11"/>
        <color theme="1"/>
        <rFont val="Times New Roman"/>
      </rPr>
      <t>+</t>
    </r>
  </si>
  <si>
    <r>
      <rPr>
        <b/>
        <sz val="14"/>
        <color theme="1"/>
        <rFont val="Arial"/>
      </rPr>
      <t>Z-score standardization</t>
    </r>
    <r>
      <rPr>
        <b/>
        <sz val="11"/>
        <color theme="1"/>
        <rFont val="Arial"/>
      </rPr>
      <t xml:space="preserve"> </t>
    </r>
    <r>
      <rPr>
        <b/>
        <sz val="12"/>
        <color theme="1"/>
        <rFont val="Arial"/>
      </rPr>
      <t>(T</t>
    </r>
    <r>
      <rPr>
        <b/>
        <vertAlign val="subscript"/>
        <sz val="12"/>
        <color theme="1"/>
        <rFont val="Arial"/>
      </rPr>
      <t>SourceCompound</t>
    </r>
    <r>
      <rPr>
        <b/>
        <sz val="12"/>
        <color theme="1"/>
        <rFont val="Arial"/>
      </rPr>
      <t>)</t>
    </r>
    <r>
      <rPr>
        <b/>
        <sz val="11"/>
        <color theme="1"/>
        <rFont val="Arial"/>
      </rPr>
      <t xml:space="preserve"> </t>
    </r>
    <r>
      <rPr>
        <b/>
        <sz val="14"/>
        <color theme="1"/>
        <rFont val="Arial"/>
      </rPr>
      <t>and re-scaling</t>
    </r>
    <r>
      <rPr>
        <b/>
        <sz val="11"/>
        <color theme="1"/>
        <rFont val="Arial"/>
      </rPr>
      <t xml:space="preserve"> </t>
    </r>
    <r>
      <rPr>
        <b/>
        <sz val="12"/>
        <color theme="1"/>
        <rFont val="Arial"/>
      </rPr>
      <t>(V</t>
    </r>
    <r>
      <rPr>
        <b/>
        <vertAlign val="subscript"/>
        <sz val="12"/>
        <color theme="1"/>
        <rFont val="Arial"/>
      </rPr>
      <t>SourceCompound</t>
    </r>
    <r>
      <rPr>
        <b/>
        <sz val="12"/>
        <color theme="1"/>
        <rFont val="Arial"/>
      </rPr>
      <t>)</t>
    </r>
  </si>
  <si>
    <r>
      <rPr>
        <b/>
        <sz val="14"/>
        <color theme="1"/>
        <rFont val="Arial"/>
      </rPr>
      <t xml:space="preserve">Computation of independent variable </t>
    </r>
    <r>
      <rPr>
        <b/>
        <sz val="12"/>
        <color theme="1"/>
        <rFont val="Arial"/>
      </rPr>
      <t>(PC</t>
    </r>
    <r>
      <rPr>
        <b/>
        <vertAlign val="subscript"/>
        <sz val="12"/>
        <color theme="1"/>
        <rFont val="Arial"/>
      </rPr>
      <t>1</t>
    </r>
    <r>
      <rPr>
        <b/>
        <vertAlign val="superscript"/>
        <sz val="12"/>
        <color theme="1"/>
        <rFont val="Arial"/>
      </rPr>
      <t>SCORES</t>
    </r>
    <r>
      <rPr>
        <b/>
        <sz val="12"/>
        <color theme="1"/>
        <rFont val="Arial"/>
      </rPr>
      <t>)</t>
    </r>
  </si>
  <si>
    <r>
      <t>Evaluating performance and uncertainty of Nano-QRA</t>
    </r>
    <r>
      <rPr>
        <b/>
        <vertAlign val="subscript"/>
        <sz val="14"/>
        <color theme="1"/>
        <rFont val="Arial"/>
      </rPr>
      <t xml:space="preserve">PC </t>
    </r>
    <r>
      <rPr>
        <b/>
        <sz val="14"/>
        <color theme="1"/>
        <rFont val="Arial"/>
      </rPr>
      <t>model</t>
    </r>
  </si>
  <si>
    <r>
      <t>(y</t>
    </r>
    <r>
      <rPr>
        <b/>
        <vertAlign val="superscript"/>
        <sz val="11"/>
        <rFont val="Times New Roman"/>
      </rPr>
      <t xml:space="preserve">exp </t>
    </r>
    <r>
      <rPr>
        <b/>
        <sz val="11"/>
        <rFont val="Times New Roman"/>
      </rPr>
      <t>- y</t>
    </r>
    <r>
      <rPr>
        <b/>
        <vertAlign val="superscript"/>
        <sz val="11"/>
        <rFont val="Times New Roman"/>
      </rPr>
      <t>exp</t>
    </r>
    <r>
      <rPr>
        <b/>
        <vertAlign val="subscript"/>
        <sz val="11"/>
        <rFont val="Times New Roman"/>
      </rPr>
      <t>mean</t>
    </r>
    <r>
      <rPr>
        <b/>
        <sz val="11"/>
        <rFont val="Times New Roman"/>
      </rPr>
      <t>)</t>
    </r>
    <r>
      <rPr>
        <b/>
        <vertAlign val="superscript"/>
        <sz val="11"/>
        <rFont val="Times New Roman"/>
      </rPr>
      <t>2</t>
    </r>
  </si>
  <si>
    <r>
      <t>y</t>
    </r>
    <r>
      <rPr>
        <b/>
        <vertAlign val="superscript"/>
        <sz val="11"/>
        <rFont val="Times New Roman"/>
      </rPr>
      <t xml:space="preserve">exp </t>
    </r>
    <r>
      <rPr>
        <b/>
        <sz val="11"/>
        <rFont val="Times New Roman"/>
      </rPr>
      <t>- y</t>
    </r>
    <r>
      <rPr>
        <b/>
        <vertAlign val="superscript"/>
        <sz val="11"/>
        <rFont val="Times New Roman"/>
      </rPr>
      <t>exp</t>
    </r>
    <r>
      <rPr>
        <b/>
        <vertAlign val="subscript"/>
        <sz val="11"/>
        <rFont val="Times New Roman"/>
      </rPr>
      <t>mean</t>
    </r>
  </si>
  <si>
    <r>
      <t>ZrO</t>
    </r>
    <r>
      <rPr>
        <vertAlign val="subscript"/>
        <sz val="11"/>
        <rFont val="Times New Roman"/>
      </rPr>
      <t>2</t>
    </r>
  </si>
  <si>
    <r>
      <t>SiO</t>
    </r>
    <r>
      <rPr>
        <vertAlign val="subscript"/>
        <sz val="11"/>
        <rFont val="Times New Roman"/>
      </rPr>
      <t>2</t>
    </r>
  </si>
  <si>
    <r>
      <t>Al</t>
    </r>
    <r>
      <rPr>
        <vertAlign val="subscript"/>
        <sz val="11"/>
        <rFont val="Times New Roman"/>
      </rPr>
      <t>2</t>
    </r>
    <r>
      <rPr>
        <sz val="11"/>
        <rFont val="Times New Roman"/>
      </rPr>
      <t>O</t>
    </r>
    <r>
      <rPr>
        <vertAlign val="subscript"/>
        <sz val="11"/>
        <rFont val="Times New Roman"/>
      </rPr>
      <t>3</t>
    </r>
  </si>
  <si>
    <r>
      <t>Cr</t>
    </r>
    <r>
      <rPr>
        <vertAlign val="subscript"/>
        <sz val="11"/>
        <rFont val="Times New Roman"/>
      </rPr>
      <t>2</t>
    </r>
    <r>
      <rPr>
        <sz val="11"/>
        <rFont val="Times New Roman"/>
      </rPr>
      <t>O</t>
    </r>
    <r>
      <rPr>
        <vertAlign val="subscript"/>
        <sz val="11"/>
        <rFont val="Times New Roman"/>
      </rPr>
      <t>3</t>
    </r>
  </si>
  <si>
    <r>
      <t>In</t>
    </r>
    <r>
      <rPr>
        <vertAlign val="subscript"/>
        <sz val="11"/>
        <rFont val="Times New Roman"/>
      </rPr>
      <t>2</t>
    </r>
    <r>
      <rPr>
        <sz val="11"/>
        <rFont val="Times New Roman"/>
      </rPr>
      <t>O</t>
    </r>
    <r>
      <rPr>
        <vertAlign val="subscript"/>
        <sz val="11"/>
        <rFont val="Times New Roman"/>
      </rPr>
      <t>3</t>
    </r>
  </si>
  <si>
    <r>
      <t>Bi</t>
    </r>
    <r>
      <rPr>
        <vertAlign val="subscript"/>
        <sz val="11"/>
        <rFont val="Times New Roman"/>
      </rPr>
      <t>2</t>
    </r>
    <r>
      <rPr>
        <sz val="11"/>
        <rFont val="Times New Roman"/>
      </rPr>
      <t>O</t>
    </r>
    <r>
      <rPr>
        <vertAlign val="subscript"/>
        <sz val="11"/>
        <rFont val="Times New Roman"/>
      </rPr>
      <t>3</t>
    </r>
  </si>
  <si>
    <r>
      <t>Y</t>
    </r>
    <r>
      <rPr>
        <vertAlign val="subscript"/>
        <sz val="11"/>
        <rFont val="Times New Roman"/>
      </rPr>
      <t>2</t>
    </r>
    <r>
      <rPr>
        <sz val="11"/>
        <rFont val="Times New Roman"/>
      </rPr>
      <t>O</t>
    </r>
    <r>
      <rPr>
        <vertAlign val="subscript"/>
        <sz val="11"/>
        <rFont val="Times New Roman"/>
      </rPr>
      <t>3</t>
    </r>
  </si>
  <si>
    <r>
      <t>V</t>
    </r>
    <r>
      <rPr>
        <vertAlign val="subscript"/>
        <sz val="11"/>
        <rFont val="Times New Roman"/>
      </rPr>
      <t>2</t>
    </r>
    <r>
      <rPr>
        <sz val="11"/>
        <rFont val="Times New Roman"/>
      </rPr>
      <t>O</t>
    </r>
    <r>
      <rPr>
        <vertAlign val="subscript"/>
        <sz val="11"/>
        <rFont val="Times New Roman"/>
      </rPr>
      <t>3</t>
    </r>
  </si>
  <si>
    <r>
      <t>d</t>
    </r>
    <r>
      <rPr>
        <b/>
        <vertAlign val="superscript"/>
        <sz val="10"/>
        <rFont val="Times New Roman"/>
      </rPr>
      <t>2</t>
    </r>
  </si>
  <si>
    <r>
      <t>t</t>
    </r>
    <r>
      <rPr>
        <b/>
        <vertAlign val="subscript"/>
        <sz val="11"/>
        <rFont val="Times New Roman"/>
      </rPr>
      <t>crit (α 0.05)</t>
    </r>
  </si>
  <si>
    <r>
      <t>&lt;=&gt; p-value  ≤ α =&gt; there would be no reason to reject the null hypothesis (accept H</t>
    </r>
    <r>
      <rPr>
        <b/>
        <vertAlign val="subscript"/>
        <sz val="11"/>
        <rFont val="Times New Roman"/>
      </rPr>
      <t>0</t>
    </r>
    <r>
      <rPr>
        <b/>
        <sz val="11"/>
        <rFont val="Times New Roman"/>
      </rPr>
      <t>)</t>
    </r>
  </si>
  <si>
    <r>
      <t>&lt;=&gt; p-value  ≥ α =&gt;  there would be enough evidence to reject the null hypothesis and accept the alternative hypothesis in its place (accept H</t>
    </r>
    <r>
      <rPr>
        <b/>
        <vertAlign val="subscript"/>
        <sz val="11"/>
        <rFont val="Times New Roman"/>
      </rPr>
      <t>A</t>
    </r>
    <r>
      <rPr>
        <b/>
        <sz val="11"/>
        <rFont val="Times New Roman"/>
      </rPr>
      <t>)</t>
    </r>
  </si>
  <si>
    <r>
      <t>S</t>
    </r>
    <r>
      <rPr>
        <sz val="11"/>
        <rFont val="Times New Roman"/>
      </rPr>
      <t>d</t>
    </r>
  </si>
  <si>
    <r>
      <t>(S</t>
    </r>
    <r>
      <rPr>
        <sz val="11"/>
        <rFont val="Times New Roman"/>
      </rPr>
      <t>d)</t>
    </r>
    <r>
      <rPr>
        <vertAlign val="superscript"/>
        <sz val="11"/>
        <rFont val="Times New Roman"/>
      </rPr>
      <t>2</t>
    </r>
  </si>
  <si>
    <r>
      <t>S</t>
    </r>
    <r>
      <rPr>
        <sz val="11"/>
        <rFont val="Times New Roman"/>
      </rPr>
      <t>d</t>
    </r>
    <r>
      <rPr>
        <vertAlign val="superscript"/>
        <sz val="11"/>
        <rFont val="Times New Roman"/>
      </rPr>
      <t>2</t>
    </r>
  </si>
  <si>
    <r>
      <t>S</t>
    </r>
    <r>
      <rPr>
        <sz val="11"/>
        <rFont val="Times New Roman"/>
      </rPr>
      <t>d/N</t>
    </r>
  </si>
  <si>
    <r>
      <rPr>
        <b/>
        <sz val="11"/>
        <rFont val="Arial"/>
      </rPr>
      <t>t</t>
    </r>
    <r>
      <rPr>
        <b/>
        <vertAlign val="subscript"/>
        <sz val="11"/>
        <rFont val="Times New Roman"/>
      </rPr>
      <t>crit (α 0.05)</t>
    </r>
  </si>
  <si>
    <r>
      <t>is the difference between log(EC</t>
    </r>
    <r>
      <rPr>
        <vertAlign val="subscript"/>
        <sz val="10"/>
        <rFont val="Times New Roman"/>
      </rPr>
      <t>50</t>
    </r>
    <r>
      <rPr>
        <sz val="10"/>
        <rFont val="Times New Roman"/>
      </rPr>
      <t>)</t>
    </r>
    <r>
      <rPr>
        <vertAlign val="superscript"/>
        <sz val="10"/>
        <rFont val="Times New Roman"/>
      </rPr>
      <t>-1</t>
    </r>
    <r>
      <rPr>
        <sz val="10"/>
        <rFont val="Times New Roman"/>
      </rPr>
      <t xml:space="preserve"> values for each xi, yi data pair </t>
    </r>
  </si>
  <si>
    <r>
      <t>d</t>
    </r>
    <r>
      <rPr>
        <vertAlign val="superscript"/>
        <sz val="10"/>
        <rFont val="Times New Roman"/>
      </rPr>
      <t>2</t>
    </r>
  </si>
  <si>
    <r>
      <t>is the squares of the difference between log(EC</t>
    </r>
    <r>
      <rPr>
        <vertAlign val="subscript"/>
        <sz val="10"/>
        <rFont val="Times New Roman"/>
      </rPr>
      <t>50</t>
    </r>
    <r>
      <rPr>
        <sz val="10"/>
        <rFont val="Times New Roman"/>
      </rPr>
      <t>)</t>
    </r>
    <r>
      <rPr>
        <vertAlign val="superscript"/>
        <sz val="10"/>
        <rFont val="Times New Roman"/>
      </rPr>
      <t>-1</t>
    </r>
    <r>
      <rPr>
        <sz val="10"/>
        <rFont val="Times New Roman"/>
      </rPr>
      <t xml:space="preserve"> values</t>
    </r>
  </si>
  <si>
    <r>
      <t>S</t>
    </r>
    <r>
      <rPr>
        <sz val="10"/>
        <rFont val="Times New Roman"/>
      </rPr>
      <t>d</t>
    </r>
    <r>
      <rPr>
        <vertAlign val="superscript"/>
        <sz val="10"/>
        <rFont val="Times New Roman"/>
      </rPr>
      <t>2</t>
    </r>
  </si>
  <si>
    <r>
      <t>is the sum of all the squares of the difference between log(EC</t>
    </r>
    <r>
      <rPr>
        <vertAlign val="subscript"/>
        <sz val="10"/>
        <rFont val="Times New Roman"/>
      </rPr>
      <t>50</t>
    </r>
    <r>
      <rPr>
        <sz val="10"/>
        <rFont val="Times New Roman"/>
      </rPr>
      <t>)</t>
    </r>
    <r>
      <rPr>
        <vertAlign val="superscript"/>
        <sz val="10"/>
        <rFont val="Times New Roman"/>
      </rPr>
      <t>-1</t>
    </r>
    <r>
      <rPr>
        <sz val="10"/>
        <rFont val="Times New Roman"/>
      </rPr>
      <t xml:space="preserve"> values</t>
    </r>
  </si>
  <si>
    <r>
      <t>ZrO</t>
    </r>
    <r>
      <rPr>
        <b/>
        <vertAlign val="subscript"/>
        <sz val="11"/>
        <rFont val="Times New Roman"/>
      </rPr>
      <t>2</t>
    </r>
  </si>
  <si>
    <r>
      <t>SiO</t>
    </r>
    <r>
      <rPr>
        <b/>
        <vertAlign val="subscript"/>
        <sz val="11"/>
        <rFont val="Times New Roman"/>
      </rPr>
      <t>2</t>
    </r>
  </si>
  <si>
    <r>
      <t>Al</t>
    </r>
    <r>
      <rPr>
        <b/>
        <vertAlign val="subscript"/>
        <sz val="11"/>
        <rFont val="Times New Roman"/>
      </rPr>
      <t>2</t>
    </r>
    <r>
      <rPr>
        <b/>
        <sz val="11"/>
        <rFont val="Times New Roman"/>
      </rPr>
      <t>O</t>
    </r>
    <r>
      <rPr>
        <b/>
        <vertAlign val="subscript"/>
        <sz val="11"/>
        <rFont val="Times New Roman"/>
      </rPr>
      <t>3</t>
    </r>
  </si>
  <si>
    <r>
      <t>Cr</t>
    </r>
    <r>
      <rPr>
        <b/>
        <vertAlign val="subscript"/>
        <sz val="11"/>
        <rFont val="Times New Roman"/>
      </rPr>
      <t>2</t>
    </r>
    <r>
      <rPr>
        <b/>
        <sz val="11"/>
        <rFont val="Times New Roman"/>
      </rPr>
      <t>O</t>
    </r>
    <r>
      <rPr>
        <b/>
        <vertAlign val="subscript"/>
        <sz val="11"/>
        <rFont val="Times New Roman"/>
      </rPr>
      <t>3</t>
    </r>
  </si>
  <si>
    <r>
      <t>In</t>
    </r>
    <r>
      <rPr>
        <b/>
        <vertAlign val="subscript"/>
        <sz val="11"/>
        <rFont val="Times New Roman"/>
      </rPr>
      <t>2</t>
    </r>
    <r>
      <rPr>
        <b/>
        <sz val="11"/>
        <rFont val="Times New Roman"/>
      </rPr>
      <t>O</t>
    </r>
    <r>
      <rPr>
        <b/>
        <vertAlign val="subscript"/>
        <sz val="11"/>
        <rFont val="Times New Roman"/>
      </rPr>
      <t>3</t>
    </r>
  </si>
  <si>
    <r>
      <t>Bi</t>
    </r>
    <r>
      <rPr>
        <b/>
        <vertAlign val="subscript"/>
        <sz val="11"/>
        <rFont val="Times New Roman"/>
      </rPr>
      <t>2</t>
    </r>
    <r>
      <rPr>
        <b/>
        <sz val="11"/>
        <rFont val="Times New Roman"/>
      </rPr>
      <t>O</t>
    </r>
    <r>
      <rPr>
        <b/>
        <vertAlign val="subscript"/>
        <sz val="11"/>
        <rFont val="Times New Roman"/>
      </rPr>
      <t>3</t>
    </r>
  </si>
  <si>
    <r>
      <t>Y</t>
    </r>
    <r>
      <rPr>
        <b/>
        <vertAlign val="subscript"/>
        <sz val="11"/>
        <rFont val="Times New Roman"/>
      </rPr>
      <t>2</t>
    </r>
    <r>
      <rPr>
        <b/>
        <sz val="11"/>
        <rFont val="Times New Roman"/>
      </rPr>
      <t>O</t>
    </r>
    <r>
      <rPr>
        <b/>
        <vertAlign val="subscript"/>
        <sz val="11"/>
        <rFont val="Times New Roman"/>
      </rPr>
      <t>3</t>
    </r>
  </si>
  <si>
    <r>
      <t>V</t>
    </r>
    <r>
      <rPr>
        <b/>
        <vertAlign val="subscript"/>
        <sz val="11"/>
        <rFont val="Times New Roman"/>
      </rPr>
      <t>2</t>
    </r>
    <r>
      <rPr>
        <b/>
        <sz val="11"/>
        <rFont val="Times New Roman"/>
      </rPr>
      <t>O</t>
    </r>
    <r>
      <rPr>
        <b/>
        <vertAlign val="subscript"/>
        <sz val="11"/>
        <rFont val="Times New Roman"/>
      </rPr>
      <t>3</t>
    </r>
  </si>
  <si>
    <r>
      <t>Predicting log(EC</t>
    </r>
    <r>
      <rPr>
        <b/>
        <vertAlign val="subscript"/>
        <sz val="14"/>
        <color theme="1"/>
        <rFont val="Arial"/>
      </rPr>
      <t>50</t>
    </r>
    <r>
      <rPr>
        <b/>
        <sz val="14"/>
        <color theme="1"/>
        <rFont val="Arial"/>
      </rPr>
      <t>)</t>
    </r>
    <r>
      <rPr>
        <b/>
        <vertAlign val="superscript"/>
        <sz val="14"/>
        <color theme="1"/>
        <rFont val="Arial"/>
      </rPr>
      <t>-1</t>
    </r>
    <r>
      <rPr>
        <b/>
        <sz val="14"/>
        <color theme="1"/>
        <rFont val="Arial"/>
      </rPr>
      <t xml:space="preserve"> with Nano-QRA</t>
    </r>
    <r>
      <rPr>
        <b/>
        <vertAlign val="subscript"/>
        <sz val="14"/>
        <color theme="1"/>
        <rFont val="Arial"/>
      </rPr>
      <t xml:space="preserve">PC </t>
    </r>
    <r>
      <rPr>
        <b/>
        <sz val="14"/>
        <color theme="1"/>
        <rFont val="Arial"/>
      </rPr>
      <t>approach</t>
    </r>
  </si>
  <si>
    <r>
      <rPr>
        <b/>
        <sz val="14"/>
        <rFont val="Arial"/>
      </rPr>
      <t>Testing the significance of the Nano-QRA</t>
    </r>
    <r>
      <rPr>
        <b/>
        <vertAlign val="subscript"/>
        <sz val="14"/>
        <rFont val="Arial"/>
      </rPr>
      <t>PC</t>
    </r>
    <r>
      <rPr>
        <b/>
        <sz val="14"/>
        <rFont val="Arial"/>
      </rPr>
      <t xml:space="preserve"> predictions with the pairwise Student’s t test</t>
    </r>
  </si>
  <si>
    <r>
      <rPr>
        <b/>
        <sz val="11"/>
        <rFont val="Symbol"/>
      </rPr>
      <t>χ</t>
    </r>
    <r>
      <rPr>
        <b/>
        <vertAlign val="superscript"/>
        <sz val="11"/>
        <rFont val="Arial"/>
      </rPr>
      <t>c</t>
    </r>
  </si>
  <si>
    <r>
      <rPr>
        <b/>
        <sz val="11"/>
        <rFont val="Times New Roman"/>
      </rPr>
      <t>Z.</t>
    </r>
    <r>
      <rPr>
        <b/>
        <sz val="11"/>
        <rFont val="Symbol"/>
      </rPr>
      <t>χ</t>
    </r>
    <r>
      <rPr>
        <b/>
        <vertAlign val="superscript"/>
        <sz val="11"/>
        <rFont val="Arial"/>
      </rPr>
      <t>c</t>
    </r>
  </si>
  <si>
    <r>
      <t>ΔH</t>
    </r>
    <r>
      <rPr>
        <b/>
        <vertAlign val="subscript"/>
        <sz val="11"/>
        <rFont val="Times New Roman"/>
      </rPr>
      <t>f</t>
    </r>
    <r>
      <rPr>
        <b/>
        <vertAlign val="superscript"/>
        <sz val="11"/>
        <rFont val="Times New Roman"/>
      </rPr>
      <t>c</t>
    </r>
  </si>
  <si>
    <r>
      <t>Z.ΔH</t>
    </r>
    <r>
      <rPr>
        <b/>
        <vertAlign val="subscript"/>
        <sz val="11"/>
        <rFont val="Times New Roman"/>
      </rPr>
      <t>f</t>
    </r>
    <r>
      <rPr>
        <b/>
        <vertAlign val="superscript"/>
        <sz val="11"/>
        <rFont val="Times New Roman"/>
      </rPr>
      <t>c</t>
    </r>
  </si>
  <si>
    <r>
      <t>WO</t>
    </r>
    <r>
      <rPr>
        <vertAlign val="subscript"/>
        <sz val="11"/>
        <rFont val="Times New Roman"/>
      </rPr>
      <t>3</t>
    </r>
  </si>
  <si>
    <r>
      <t>Mn</t>
    </r>
    <r>
      <rPr>
        <vertAlign val="subscript"/>
        <sz val="11"/>
        <rFont val="Times New Roman"/>
      </rPr>
      <t>2</t>
    </r>
    <r>
      <rPr>
        <sz val="11"/>
        <rFont val="Times New Roman"/>
      </rPr>
      <t>O</t>
    </r>
    <r>
      <rPr>
        <vertAlign val="subscript"/>
        <sz val="11"/>
        <rFont val="Times New Roman"/>
      </rPr>
      <t>3</t>
    </r>
  </si>
  <si>
    <r>
      <t>PC</t>
    </r>
    <r>
      <rPr>
        <b/>
        <vertAlign val="subscript"/>
        <sz val="11"/>
        <color theme="1"/>
        <rFont val="Times New Roman"/>
      </rPr>
      <t>1</t>
    </r>
    <r>
      <rPr>
        <b/>
        <vertAlign val="superscript"/>
        <sz val="11"/>
        <color theme="1"/>
        <rFont val="Times New Roman"/>
      </rPr>
      <t xml:space="preserve">SCORES </t>
    </r>
    <r>
      <rPr>
        <b/>
        <sz val="11"/>
        <color theme="1"/>
        <rFont val="Times New Roman"/>
      </rPr>
      <t>= 0.707 Z.</t>
    </r>
    <r>
      <rPr>
        <b/>
        <sz val="11"/>
        <color theme="1"/>
        <rFont val="Symbol"/>
      </rPr>
      <t>χ</t>
    </r>
    <r>
      <rPr>
        <b/>
        <vertAlign val="superscript"/>
        <sz val="11"/>
        <color theme="1"/>
        <rFont val="Times New Roman"/>
      </rPr>
      <t>c</t>
    </r>
    <r>
      <rPr>
        <b/>
        <vertAlign val="subscript"/>
        <sz val="11"/>
        <color theme="1"/>
        <rFont val="Times New Roman"/>
      </rPr>
      <t xml:space="preserve"> </t>
    </r>
    <r>
      <rPr>
        <b/>
        <sz val="11"/>
        <color theme="1"/>
        <rFont val="Times New Roman"/>
      </rPr>
      <t>+ 0.707 Z.ΔH</t>
    </r>
    <r>
      <rPr>
        <b/>
        <vertAlign val="subscript"/>
        <sz val="11"/>
        <color theme="1"/>
        <rFont val="Times New Roman"/>
      </rPr>
      <t>f</t>
    </r>
    <r>
      <rPr>
        <b/>
        <vertAlign val="superscript"/>
        <sz val="11"/>
        <color theme="1"/>
        <rFont val="Times New Roman"/>
      </rPr>
      <t>c</t>
    </r>
  </si>
  <si>
    <r>
      <t>Fe</t>
    </r>
    <r>
      <rPr>
        <b/>
        <vertAlign val="subscript"/>
        <sz val="11"/>
        <rFont val="Times New Roman"/>
      </rPr>
      <t>2</t>
    </r>
    <r>
      <rPr>
        <b/>
        <sz val="11"/>
        <rFont val="Times New Roman"/>
      </rPr>
      <t>O</t>
    </r>
    <r>
      <rPr>
        <b/>
        <vertAlign val="subscript"/>
        <sz val="11"/>
        <rFont val="Times New Roman"/>
      </rPr>
      <t>3</t>
    </r>
  </si>
  <si>
    <r>
      <t>SnO</t>
    </r>
    <r>
      <rPr>
        <b/>
        <vertAlign val="subscript"/>
        <sz val="11"/>
        <rFont val="Times New Roman"/>
      </rPr>
      <t>2</t>
    </r>
  </si>
  <si>
    <r>
      <t>Sb</t>
    </r>
    <r>
      <rPr>
        <b/>
        <vertAlign val="subscript"/>
        <sz val="11"/>
        <rFont val="Times New Roman"/>
      </rPr>
      <t>2</t>
    </r>
    <r>
      <rPr>
        <b/>
        <sz val="11"/>
        <rFont val="Times New Roman"/>
      </rPr>
      <t>O</t>
    </r>
    <r>
      <rPr>
        <b/>
        <vertAlign val="subscript"/>
        <sz val="11"/>
        <rFont val="Times New Roman"/>
      </rPr>
      <t>3</t>
    </r>
  </si>
  <si>
    <r>
      <t>Exp log(LC</t>
    </r>
    <r>
      <rPr>
        <b/>
        <vertAlign val="subscript"/>
        <sz val="11"/>
        <rFont val="Times New Roman"/>
      </rPr>
      <t>50</t>
    </r>
    <r>
      <rPr>
        <b/>
        <sz val="11"/>
        <rFont val="Times New Roman"/>
      </rPr>
      <t>)</t>
    </r>
    <r>
      <rPr>
        <b/>
        <vertAlign val="superscript"/>
        <sz val="11"/>
        <rFont val="Times New Roman"/>
      </rPr>
      <t>-1</t>
    </r>
  </si>
  <si>
    <r>
      <t>Pred log(LC</t>
    </r>
    <r>
      <rPr>
        <b/>
        <vertAlign val="subscript"/>
        <sz val="11"/>
        <rFont val="Times New Roman"/>
      </rPr>
      <t>50</t>
    </r>
    <r>
      <rPr>
        <b/>
        <sz val="11"/>
        <rFont val="Times New Roman"/>
      </rPr>
      <t>)</t>
    </r>
    <r>
      <rPr>
        <b/>
        <vertAlign val="superscript"/>
        <sz val="11"/>
        <rFont val="Times New Roman"/>
      </rPr>
      <t>-1</t>
    </r>
  </si>
  <si>
    <r>
      <t>Predicting log(LC</t>
    </r>
    <r>
      <rPr>
        <b/>
        <vertAlign val="subscript"/>
        <sz val="14"/>
        <color theme="1"/>
        <rFont val="Arial"/>
      </rPr>
      <t>50</t>
    </r>
    <r>
      <rPr>
        <b/>
        <sz val="14"/>
        <color theme="1"/>
        <rFont val="Arial"/>
      </rPr>
      <t>)</t>
    </r>
    <r>
      <rPr>
        <b/>
        <vertAlign val="superscript"/>
        <sz val="14"/>
        <color theme="1"/>
        <rFont val="Arial"/>
      </rPr>
      <t>-1</t>
    </r>
    <r>
      <rPr>
        <b/>
        <sz val="14"/>
        <color theme="1"/>
        <rFont val="Arial"/>
      </rPr>
      <t xml:space="preserve"> with Nano-QRA</t>
    </r>
    <r>
      <rPr>
        <b/>
        <vertAlign val="subscript"/>
        <sz val="14"/>
        <color theme="1"/>
        <rFont val="Arial"/>
      </rPr>
      <t xml:space="preserve">PC </t>
    </r>
    <r>
      <rPr>
        <b/>
        <sz val="14"/>
        <color theme="1"/>
        <rFont val="Arial"/>
      </rPr>
      <t>approach</t>
    </r>
  </si>
  <si>
    <r>
      <t>S</t>
    </r>
    <r>
      <rPr>
        <sz val="11"/>
        <rFont val="Times New Roman"/>
      </rPr>
      <t>d</t>
    </r>
    <r>
      <rPr>
        <vertAlign val="superscript"/>
        <sz val="11"/>
        <rFont val="Times New Roman"/>
      </rPr>
      <t>2</t>
    </r>
    <r>
      <rPr>
        <sz val="11"/>
        <rFont val="Times New Roman"/>
      </rPr>
      <t xml:space="preserve"> - ((</t>
    </r>
    <r>
      <rPr>
        <sz val="11"/>
        <rFont val="Symbol"/>
      </rPr>
      <t>S</t>
    </r>
    <r>
      <rPr>
        <sz val="11"/>
        <rFont val="Times New Roman"/>
      </rPr>
      <t>d)</t>
    </r>
    <r>
      <rPr>
        <vertAlign val="superscript"/>
        <sz val="11"/>
        <rFont val="Times New Roman"/>
      </rPr>
      <t>2</t>
    </r>
    <r>
      <rPr>
        <sz val="11"/>
        <rFont val="Times New Roman"/>
      </rPr>
      <t>/N)</t>
    </r>
  </si>
  <si>
    <r>
      <t>is the difference between log(LC</t>
    </r>
    <r>
      <rPr>
        <vertAlign val="subscript"/>
        <sz val="10"/>
        <rFont val="Times New Roman"/>
      </rPr>
      <t>50</t>
    </r>
    <r>
      <rPr>
        <sz val="10"/>
        <rFont val="Times New Roman"/>
      </rPr>
      <t>)</t>
    </r>
    <r>
      <rPr>
        <vertAlign val="superscript"/>
        <sz val="10"/>
        <rFont val="Times New Roman"/>
      </rPr>
      <t>-1</t>
    </r>
    <r>
      <rPr>
        <sz val="10"/>
        <rFont val="Times New Roman"/>
      </rPr>
      <t xml:space="preserve"> values for each xi, yi data pair </t>
    </r>
  </si>
  <si>
    <r>
      <t>is the squares of the difference between log(LC</t>
    </r>
    <r>
      <rPr>
        <vertAlign val="subscript"/>
        <sz val="10"/>
        <rFont val="Times New Roman"/>
      </rPr>
      <t>50</t>
    </r>
    <r>
      <rPr>
        <sz val="10"/>
        <rFont val="Times New Roman"/>
      </rPr>
      <t>)</t>
    </r>
    <r>
      <rPr>
        <vertAlign val="superscript"/>
        <sz val="10"/>
        <rFont val="Times New Roman"/>
      </rPr>
      <t>-1</t>
    </r>
    <r>
      <rPr>
        <sz val="10"/>
        <rFont val="Times New Roman"/>
      </rPr>
      <t xml:space="preserve"> values</t>
    </r>
  </si>
  <si>
    <r>
      <t>is the sum of all the squares of the difference between log(LC</t>
    </r>
    <r>
      <rPr>
        <vertAlign val="subscript"/>
        <sz val="10"/>
        <rFont val="Times New Roman"/>
      </rPr>
      <t>50</t>
    </r>
    <r>
      <rPr>
        <sz val="10"/>
        <rFont val="Times New Roman"/>
      </rPr>
      <t>)</t>
    </r>
    <r>
      <rPr>
        <vertAlign val="superscript"/>
        <sz val="10"/>
        <rFont val="Times New Roman"/>
      </rPr>
      <t>-1</t>
    </r>
    <r>
      <rPr>
        <sz val="10"/>
        <rFont val="Times New Roman"/>
      </rPr>
      <t xml:space="preserve"> values</t>
    </r>
  </si>
  <si>
    <t>Z.ΔHMe+</t>
  </si>
  <si>
    <t>Z.LZELEHHO</t>
  </si>
  <si>
    <r>
      <t>PC</t>
    </r>
    <r>
      <rPr>
        <b/>
        <vertAlign val="subscript"/>
        <sz val="11"/>
        <color theme="1"/>
        <rFont val="Times New Roman"/>
      </rPr>
      <t>1</t>
    </r>
    <r>
      <rPr>
        <b/>
        <vertAlign val="superscript"/>
        <sz val="11"/>
        <color theme="1"/>
        <rFont val="Times New Roman"/>
      </rPr>
      <t xml:space="preserve">SCORES </t>
    </r>
    <r>
      <rPr>
        <b/>
        <sz val="11"/>
        <color theme="1"/>
        <rFont val="Times New Roman"/>
      </rPr>
      <t>= 0.707 Z.LZELEHHO</t>
    </r>
    <r>
      <rPr>
        <b/>
        <vertAlign val="subscript"/>
        <sz val="11"/>
        <color theme="1"/>
        <rFont val="Times New Roman"/>
      </rPr>
      <t xml:space="preserve"> </t>
    </r>
    <r>
      <rPr>
        <b/>
        <sz val="11"/>
        <color theme="1"/>
        <rFont val="Times New Roman"/>
      </rPr>
      <t>+ 0.707 Z.ΔH</t>
    </r>
    <r>
      <rPr>
        <b/>
        <vertAlign val="subscript"/>
        <sz val="11"/>
        <color theme="1"/>
        <rFont val="Times New Roman"/>
      </rPr>
      <t>Me+</t>
    </r>
  </si>
  <si>
    <r>
      <t>Exp     log(LC</t>
    </r>
    <r>
      <rPr>
        <b/>
        <vertAlign val="subscript"/>
        <sz val="11"/>
        <rFont val="Times New Roman"/>
      </rPr>
      <t>50</t>
    </r>
    <r>
      <rPr>
        <b/>
        <sz val="11"/>
        <rFont val="Times New Roman"/>
      </rPr>
      <t>)</t>
    </r>
    <r>
      <rPr>
        <b/>
        <vertAlign val="superscript"/>
        <sz val="11"/>
        <rFont val="Times New Roman"/>
      </rPr>
      <t>-1</t>
    </r>
  </si>
  <si>
    <r>
      <t>Pred    log(LC</t>
    </r>
    <r>
      <rPr>
        <b/>
        <vertAlign val="subscript"/>
        <sz val="11"/>
        <rFont val="Times New Roman"/>
      </rPr>
      <t>50</t>
    </r>
    <r>
      <rPr>
        <b/>
        <sz val="11"/>
        <rFont val="Times New Roman"/>
      </rPr>
      <t>)</t>
    </r>
    <r>
      <rPr>
        <b/>
        <vertAlign val="superscript"/>
        <sz val="11"/>
        <rFont val="Times New Roman"/>
      </rPr>
      <t>-1</t>
    </r>
  </si>
  <si>
    <t xml:space="preserve">R = </t>
  </si>
  <si>
    <r>
      <t>R</t>
    </r>
    <r>
      <rPr>
        <b/>
        <vertAlign val="superscript"/>
        <sz val="11"/>
        <color rgb="FF1166FA"/>
        <rFont val="Times New Roman"/>
      </rPr>
      <t xml:space="preserve">2 </t>
    </r>
    <r>
      <rPr>
        <b/>
        <sz val="11"/>
        <color rgb="FF1166FA"/>
        <rFont val="Times New Roman"/>
      </rPr>
      <t>=</t>
    </r>
    <r>
      <rPr>
        <b/>
        <vertAlign val="superscript"/>
        <sz val="11"/>
        <color rgb="FF1166FA"/>
        <rFont val="Times New Roman"/>
      </rPr>
      <t xml:space="preserve"> </t>
    </r>
  </si>
  <si>
    <t xml:space="preserve">RMSE = </t>
  </si>
  <si>
    <t xml:space="preserve">AAEP = </t>
  </si>
  <si>
    <t xml:space="preserve">AAE = </t>
  </si>
  <si>
    <r>
      <t>Q</t>
    </r>
    <r>
      <rPr>
        <b/>
        <vertAlign val="superscript"/>
        <sz val="11"/>
        <color rgb="FF1166FA"/>
        <rFont val="Times New Roman"/>
      </rPr>
      <t xml:space="preserve">2 </t>
    </r>
    <r>
      <rPr>
        <b/>
        <sz val="11"/>
        <color rgb="FF1166FA"/>
        <rFont val="Times New Roman"/>
      </rPr>
      <t>=</t>
    </r>
    <r>
      <rPr>
        <b/>
        <vertAlign val="superscript"/>
        <sz val="11"/>
        <color rgb="FF1166FA"/>
        <rFont val="Times New Roman"/>
      </rPr>
      <t xml:space="preserve"> </t>
    </r>
  </si>
  <si>
    <r>
      <rPr>
        <b/>
        <sz val="11"/>
        <color rgb="FF1166FA"/>
        <rFont val="Arial"/>
      </rPr>
      <t>t</t>
    </r>
    <r>
      <rPr>
        <b/>
        <vertAlign val="subscript"/>
        <sz val="11"/>
        <color rgb="FF1166FA"/>
        <rFont val="Times New Roman"/>
      </rPr>
      <t>crit (α 0.05)</t>
    </r>
  </si>
  <si>
    <r>
      <t>y</t>
    </r>
    <r>
      <rPr>
        <b/>
        <vertAlign val="superscript"/>
        <sz val="11"/>
        <rFont val="Times New Roman"/>
      </rPr>
      <t xml:space="preserve">pred </t>
    </r>
    <r>
      <rPr>
        <b/>
        <sz val="11"/>
        <rFont val="Times New Roman"/>
      </rPr>
      <t>- y</t>
    </r>
    <r>
      <rPr>
        <b/>
        <vertAlign val="superscript"/>
        <sz val="11"/>
        <rFont val="Times New Roman"/>
      </rPr>
      <t>pred</t>
    </r>
    <r>
      <rPr>
        <b/>
        <vertAlign val="subscript"/>
        <sz val="11"/>
        <rFont val="Times New Roman"/>
      </rPr>
      <t>mean</t>
    </r>
  </si>
  <si>
    <r>
      <t>(y</t>
    </r>
    <r>
      <rPr>
        <b/>
        <vertAlign val="superscript"/>
        <sz val="11"/>
        <rFont val="Times New Roman"/>
      </rPr>
      <t xml:space="preserve">pred </t>
    </r>
    <r>
      <rPr>
        <b/>
        <sz val="11"/>
        <rFont val="Times New Roman"/>
      </rPr>
      <t>- y</t>
    </r>
    <r>
      <rPr>
        <b/>
        <vertAlign val="superscript"/>
        <sz val="11"/>
        <rFont val="Times New Roman"/>
      </rPr>
      <t>pred</t>
    </r>
    <r>
      <rPr>
        <b/>
        <vertAlign val="subscript"/>
        <sz val="11"/>
        <rFont val="Times New Roman"/>
      </rPr>
      <t>mean</t>
    </r>
    <r>
      <rPr>
        <b/>
        <sz val="11"/>
        <rFont val="Times New Roman"/>
      </rPr>
      <t>)</t>
    </r>
    <r>
      <rPr>
        <b/>
        <vertAlign val="superscript"/>
        <sz val="11"/>
        <rFont val="Times New Roman"/>
      </rPr>
      <t>2</t>
    </r>
  </si>
  <si>
    <r>
      <t>(y</t>
    </r>
    <r>
      <rPr>
        <b/>
        <vertAlign val="superscript"/>
        <sz val="11"/>
        <rFont val="Times New Roman"/>
      </rPr>
      <t xml:space="preserve">exp </t>
    </r>
    <r>
      <rPr>
        <b/>
        <sz val="11"/>
        <rFont val="Times New Roman"/>
      </rPr>
      <t>- y</t>
    </r>
    <r>
      <rPr>
        <b/>
        <vertAlign val="superscript"/>
        <sz val="11"/>
        <rFont val="Times New Roman"/>
      </rPr>
      <t>exp</t>
    </r>
    <r>
      <rPr>
        <b/>
        <vertAlign val="subscript"/>
        <sz val="11"/>
        <rFont val="Times New Roman"/>
      </rPr>
      <t>mean</t>
    </r>
    <r>
      <rPr>
        <b/>
        <sz val="11"/>
        <rFont val="Times New Roman"/>
      </rPr>
      <t>)(y</t>
    </r>
    <r>
      <rPr>
        <b/>
        <vertAlign val="superscript"/>
        <sz val="11"/>
        <rFont val="Times New Roman"/>
      </rPr>
      <t>pred</t>
    </r>
    <r>
      <rPr>
        <b/>
        <vertAlign val="subscript"/>
        <sz val="11"/>
        <rFont val="Times New Roman"/>
      </rPr>
      <t xml:space="preserve"> </t>
    </r>
    <r>
      <rPr>
        <b/>
        <sz val="11"/>
        <rFont val="Times New Roman"/>
      </rPr>
      <t>- y</t>
    </r>
    <r>
      <rPr>
        <b/>
        <vertAlign val="superscript"/>
        <sz val="11"/>
        <rFont val="Times New Roman"/>
      </rPr>
      <t>pred</t>
    </r>
    <r>
      <rPr>
        <b/>
        <vertAlign val="subscript"/>
        <sz val="11"/>
        <rFont val="Times New Roman"/>
      </rPr>
      <t>mean)</t>
    </r>
  </si>
  <si>
    <t>CCC =</t>
  </si>
  <si>
    <t>R =</t>
  </si>
  <si>
    <r>
      <t>R</t>
    </r>
    <r>
      <rPr>
        <b/>
        <vertAlign val="superscript"/>
        <sz val="11"/>
        <color rgb="FF1166FA"/>
        <rFont val="Times New Roman"/>
      </rPr>
      <t xml:space="preserve">2 </t>
    </r>
    <r>
      <rPr>
        <b/>
        <sz val="11"/>
        <color rgb="FF1166FA"/>
        <rFont val="Times New Roman"/>
      </rPr>
      <t>=</t>
    </r>
  </si>
  <si>
    <r>
      <t>Q</t>
    </r>
    <r>
      <rPr>
        <b/>
        <vertAlign val="superscript"/>
        <sz val="11"/>
        <color rgb="FF1166FA"/>
        <rFont val="Times New Roman"/>
      </rPr>
      <t xml:space="preserve">2 </t>
    </r>
    <r>
      <rPr>
        <b/>
        <sz val="11"/>
        <color rgb="FF1166FA"/>
        <rFont val="Times New Roman"/>
      </rPr>
      <t>=</t>
    </r>
  </si>
  <si>
    <t>Lev</t>
  </si>
  <si>
    <t>Z.Residuals</t>
  </si>
  <si>
    <r>
      <t>Aplicabilty domain of the Nano-QRA</t>
    </r>
    <r>
      <rPr>
        <b/>
        <vertAlign val="subscript"/>
        <sz val="14"/>
        <rFont val="Arial"/>
      </rPr>
      <t>PC</t>
    </r>
    <r>
      <rPr>
        <b/>
        <sz val="14"/>
        <rFont val="Arial"/>
      </rPr>
      <t xml:space="preserve"> model verification with the laverage approach</t>
    </r>
  </si>
  <si>
    <t>Pred log(EC50)-1</t>
  </si>
  <si>
    <r>
      <t>Since the calculated t-value is lower than the Student's t critical value, and the p-value is grater than the significance level of 5% (p ≥ 0.05), thus there is no reason to reject the null hypothesis. Therefore, one can conclude that there is no significant difference between the experimentally measured and predicted values of log(LC</t>
    </r>
    <r>
      <rPr>
        <vertAlign val="subscript"/>
        <sz val="11"/>
        <rFont val="Times New Roman"/>
      </rPr>
      <t>50</t>
    </r>
    <r>
      <rPr>
        <sz val="11"/>
        <rFont val="Times New Roman"/>
      </rPr>
      <t>)</t>
    </r>
    <r>
      <rPr>
        <vertAlign val="superscript"/>
        <sz val="11"/>
        <rFont val="Times New Roman"/>
      </rPr>
      <t>-1</t>
    </r>
    <r>
      <rPr>
        <sz val="11"/>
        <rFont val="Times New Roman"/>
      </rPr>
      <t>.</t>
    </r>
  </si>
  <si>
    <r>
      <t>Since the calculated t-value is lower than the Student's t critical value, and the p-value is grater than the significance level of 5% (p ≥ 0.05), thus there is no reason to reject the null hypothesis. Therefore, one can conclude that there is no significant difference between the experimentally measured and predicted values of log(EC</t>
    </r>
    <r>
      <rPr>
        <vertAlign val="subscript"/>
        <sz val="11"/>
        <rFont val="Times New Roman"/>
      </rPr>
      <t>50</t>
    </r>
    <r>
      <rPr>
        <sz val="11"/>
        <rFont val="Times New Roman"/>
      </rPr>
      <t>)</t>
    </r>
    <r>
      <rPr>
        <vertAlign val="superscript"/>
        <sz val="11"/>
        <rFont val="Times New Roman"/>
      </rPr>
      <t>-1</t>
    </r>
    <r>
      <rPr>
        <sz val="11"/>
        <rFont val="Times New Roman"/>
      </rPr>
      <t>.</t>
    </r>
  </si>
  <si>
    <r>
      <rPr>
        <b/>
        <sz val="11"/>
        <rFont val="Times New Roman"/>
      </rPr>
      <t>S.</t>
    </r>
    <r>
      <rPr>
        <b/>
        <sz val="11"/>
        <rFont val="Symbol"/>
      </rPr>
      <t>χ</t>
    </r>
    <r>
      <rPr>
        <b/>
        <vertAlign val="superscript"/>
        <sz val="11"/>
        <rFont val="Arial"/>
      </rPr>
      <t>c</t>
    </r>
  </si>
  <si>
    <r>
      <t>S.ΔH</t>
    </r>
    <r>
      <rPr>
        <b/>
        <vertAlign val="subscript"/>
        <sz val="11"/>
        <rFont val="Times New Roman"/>
      </rPr>
      <t>f</t>
    </r>
    <r>
      <rPr>
        <b/>
        <vertAlign val="superscript"/>
        <sz val="11"/>
        <rFont val="Times New Roman"/>
      </rPr>
      <t>c</t>
    </r>
  </si>
  <si>
    <t>Status</t>
  </si>
  <si>
    <t>not an X-outlier</t>
  </si>
  <si>
    <t>within AD</t>
  </si>
  <si>
    <r>
      <t>MEAN</t>
    </r>
    <r>
      <rPr>
        <b/>
        <vertAlign val="subscript"/>
        <sz val="11"/>
        <color theme="1"/>
        <rFont val="Times New Roman"/>
      </rPr>
      <t>T</t>
    </r>
  </si>
  <si>
    <r>
      <t>SD</t>
    </r>
    <r>
      <rPr>
        <b/>
        <vertAlign val="subscript"/>
        <sz val="11"/>
        <color theme="1"/>
        <rFont val="Times New Roman"/>
      </rPr>
      <t>T</t>
    </r>
  </si>
  <si>
    <r>
      <t>S</t>
    </r>
    <r>
      <rPr>
        <b/>
        <vertAlign val="subscript"/>
        <sz val="12"/>
        <color indexed="8"/>
        <rFont val="Times New Roman"/>
      </rPr>
      <t>new</t>
    </r>
  </si>
  <si>
    <r>
      <t>Aplicabilty domain of the Nano-QRA</t>
    </r>
    <r>
      <rPr>
        <b/>
        <vertAlign val="subscript"/>
        <sz val="14"/>
        <rFont val="Arial"/>
      </rPr>
      <t>PC</t>
    </r>
    <r>
      <rPr>
        <b/>
        <sz val="14"/>
        <rFont val="Arial"/>
      </rPr>
      <t xml:space="preserve"> model verification using standardization approach</t>
    </r>
  </si>
  <si>
    <r>
      <t>MEAN</t>
    </r>
    <r>
      <rPr>
        <b/>
        <vertAlign val="subscript"/>
        <sz val="11"/>
        <color theme="1"/>
        <rFont val="Times New Roman"/>
      </rPr>
      <t>Sk</t>
    </r>
  </si>
  <si>
    <r>
      <t>SD</t>
    </r>
    <r>
      <rPr>
        <b/>
        <vertAlign val="subscript"/>
        <sz val="11"/>
        <color theme="1"/>
        <rFont val="Times New Roman"/>
      </rPr>
      <t>Sk</t>
    </r>
  </si>
  <si>
    <r>
      <t>S.ΔH</t>
    </r>
    <r>
      <rPr>
        <b/>
        <vertAlign val="subscript"/>
        <sz val="11"/>
        <rFont val="Times New Roman"/>
      </rPr>
      <t>Me+</t>
    </r>
  </si>
  <si>
    <r>
      <t>S.Me</t>
    </r>
    <r>
      <rPr>
        <b/>
        <vertAlign val="superscript"/>
        <sz val="11"/>
        <rFont val="Times New Roman"/>
      </rPr>
      <t>+</t>
    </r>
  </si>
  <si>
    <t>S.LZELEHHO</t>
  </si>
  <si>
    <r>
      <t xml:space="preserve">a </t>
    </r>
    <r>
      <rPr>
        <i/>
        <sz val="11"/>
        <color indexed="8"/>
        <rFont val="Arial"/>
      </rPr>
      <t xml:space="preserve">Laboratory of Environmental Chemometrics, Institute for Environmental and Human Health </t>
    </r>
  </si>
  <si>
    <t>Protection, Faculty of Chemistry, University of Gdańsk, Gdańsk, Poland</t>
  </si>
  <si>
    <t>Supplementary material</t>
  </si>
  <si>
    <t>Development of valuable predictive read-across models based on “real-life” (sparse) nanotoxicity data</t>
  </si>
  <si>
    <t>A. Gajewicz</t>
  </si>
  <si>
    <t>*Corresponding author phone :phone: (+48 58) 523 52 46; fax: (+48 58) 523 50 12; e-mail: a.gajewicz@qsar.eu.org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</si>
</sst>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00"/>
  </numFmts>
  <fonts count="63" x14ac:knownFonts="1">
    <font>
      <sz val="12"/>
      <color theme="1"/>
      <name val="Calibri"/>
      <family val="2"/>
      <charset val="238"/>
      <scheme val="minor"/>
    </font>
    <font>
      <sz val="12"/>
      <name val="Calibri"/>
      <scheme val="minor"/>
    </font>
    <font>
      <b/>
      <sz val="12"/>
      <name val="Calibri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11"/>
      <name val="Times New Roman"/>
    </font>
    <font>
      <b/>
      <sz val="11"/>
      <name val="Times New Roman"/>
    </font>
    <font>
      <sz val="10"/>
      <name val="Arial"/>
    </font>
    <font>
      <vertAlign val="subscript"/>
      <sz val="11"/>
      <name val="Times New Roman"/>
    </font>
    <font>
      <vertAlign val="superscript"/>
      <sz val="11"/>
      <name val="Times New Roman"/>
    </font>
    <font>
      <b/>
      <vertAlign val="subscript"/>
      <sz val="11"/>
      <name val="Times New Roman"/>
    </font>
    <font>
      <b/>
      <vertAlign val="superscript"/>
      <sz val="11"/>
      <name val="Times New Roman"/>
    </font>
    <font>
      <b/>
      <sz val="11"/>
      <name val="Arial"/>
    </font>
    <font>
      <b/>
      <vertAlign val="superscript"/>
      <sz val="11"/>
      <name val="Arial"/>
    </font>
    <font>
      <b/>
      <sz val="12"/>
      <color theme="1"/>
      <name val="Arial"/>
    </font>
    <font>
      <sz val="11"/>
      <color rgb="FFFF0000"/>
      <name val="Arial"/>
    </font>
    <font>
      <sz val="11"/>
      <name val="Arial"/>
    </font>
    <font>
      <b/>
      <sz val="11"/>
      <color theme="1"/>
      <name val="Arial"/>
    </font>
    <font>
      <sz val="11"/>
      <color theme="1"/>
      <name val="Arial"/>
    </font>
    <font>
      <sz val="11"/>
      <color theme="1"/>
      <name val="Times New Roman"/>
    </font>
    <font>
      <sz val="11"/>
      <color rgb="FF000000"/>
      <name val="Times New Roman"/>
    </font>
    <font>
      <b/>
      <sz val="11"/>
      <color theme="1"/>
      <name val="Times New Roman"/>
    </font>
    <font>
      <b/>
      <vertAlign val="subscript"/>
      <sz val="11"/>
      <color theme="1"/>
      <name val="Times New Roman"/>
    </font>
    <font>
      <b/>
      <vertAlign val="superscript"/>
      <sz val="11"/>
      <color theme="1"/>
      <name val="Times New Roman"/>
    </font>
    <font>
      <b/>
      <sz val="10"/>
      <color theme="1"/>
      <name val="Arial"/>
    </font>
    <font>
      <b/>
      <sz val="14"/>
      <color theme="1"/>
      <name val="Arial"/>
    </font>
    <font>
      <b/>
      <vertAlign val="subscript"/>
      <sz val="12"/>
      <color theme="1"/>
      <name val="Arial"/>
    </font>
    <font>
      <b/>
      <vertAlign val="subscript"/>
      <sz val="14"/>
      <color theme="1"/>
      <name val="Arial"/>
    </font>
    <font>
      <b/>
      <vertAlign val="superscript"/>
      <sz val="14"/>
      <color theme="1"/>
      <name val="Arial"/>
    </font>
    <font>
      <b/>
      <vertAlign val="superscript"/>
      <sz val="12"/>
      <color theme="1"/>
      <name val="Arial"/>
    </font>
    <font>
      <b/>
      <sz val="10"/>
      <name val="Times New Roman"/>
    </font>
    <font>
      <b/>
      <vertAlign val="superscript"/>
      <sz val="10"/>
      <name val="Times New Roman"/>
    </font>
    <font>
      <sz val="11"/>
      <name val="Symbol"/>
    </font>
    <font>
      <b/>
      <sz val="11"/>
      <name val="Symbol"/>
    </font>
    <font>
      <sz val="11"/>
      <name val="Calibri"/>
      <family val="2"/>
      <charset val="136"/>
      <scheme val="minor"/>
    </font>
    <font>
      <sz val="10"/>
      <name val="Times New Roman"/>
    </font>
    <font>
      <vertAlign val="subscript"/>
      <sz val="10"/>
      <name val="Times New Roman"/>
    </font>
    <font>
      <vertAlign val="superscript"/>
      <sz val="10"/>
      <name val="Times New Roman"/>
    </font>
    <font>
      <sz val="10"/>
      <name val="Symbol"/>
    </font>
    <font>
      <b/>
      <sz val="14"/>
      <name val="Arial"/>
    </font>
    <font>
      <b/>
      <vertAlign val="subscript"/>
      <sz val="14"/>
      <name val="Arial"/>
    </font>
    <font>
      <b/>
      <sz val="11"/>
      <color theme="1"/>
      <name val="Symbol"/>
    </font>
    <font>
      <sz val="11"/>
      <color rgb="FF1166FA"/>
      <name val="Times New Roman"/>
    </font>
    <font>
      <b/>
      <sz val="11"/>
      <color rgb="FF1166FA"/>
      <name val="Times New Roman"/>
    </font>
    <font>
      <b/>
      <vertAlign val="superscript"/>
      <sz val="11"/>
      <color rgb="FF1166FA"/>
      <name val="Times New Roman"/>
    </font>
    <font>
      <b/>
      <sz val="12"/>
      <color rgb="FF1166FA"/>
      <name val="Times New Roman"/>
    </font>
    <font>
      <b/>
      <sz val="11"/>
      <color rgb="FF1166FA"/>
      <name val="Symbol"/>
    </font>
    <font>
      <b/>
      <sz val="11"/>
      <color rgb="FF1166FA"/>
      <name val="Arial"/>
    </font>
    <font>
      <b/>
      <vertAlign val="subscript"/>
      <sz val="11"/>
      <color rgb="FF1166FA"/>
      <name val="Times New Roman"/>
    </font>
    <font>
      <sz val="11"/>
      <color indexed="8"/>
      <name val="Calibri"/>
      <family val="2"/>
    </font>
    <font>
      <b/>
      <sz val="12"/>
      <color indexed="8"/>
      <name val="Times New Roman"/>
    </font>
    <font>
      <b/>
      <vertAlign val="subscript"/>
      <sz val="12"/>
      <color indexed="8"/>
      <name val="Times New Roman"/>
    </font>
    <font>
      <b/>
      <sz val="18"/>
      <color theme="1"/>
      <name val="Arial"/>
    </font>
    <font>
      <sz val="22"/>
      <color theme="1"/>
      <name val="Arial"/>
    </font>
    <font>
      <sz val="16"/>
      <color indexed="8"/>
      <name val="Arial"/>
    </font>
    <font>
      <sz val="13.5"/>
      <color rgb="FF000000"/>
      <name val="Arial"/>
    </font>
    <font>
      <i/>
      <vertAlign val="superscript"/>
      <sz val="11"/>
      <color theme="1"/>
      <name val="Arial"/>
    </font>
    <font>
      <i/>
      <sz val="11"/>
      <color indexed="8"/>
      <name val="Arial"/>
    </font>
    <font>
      <i/>
      <sz val="11"/>
      <color theme="1"/>
      <name val="Arial"/>
    </font>
    <font>
      <b/>
      <sz val="22"/>
      <color theme="1"/>
      <name val="Arial"/>
    </font>
    <font>
      <sz val="14"/>
      <color theme="1"/>
      <name val="Arial"/>
    </font>
    <font>
      <sz val="12"/>
      <color theme="1"/>
      <name val="Arial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FF"/>
        <bgColor indexed="64"/>
      </patternFill>
    </fill>
  </fills>
  <borders count="19">
    <border>
      <left/>
      <right/>
      <top/>
      <bottom/>
      <diagonal/>
    </border>
    <border>
      <left style="medium">
        <color rgb="FF1148F1"/>
      </left>
      <right/>
      <top style="medium">
        <color rgb="FF1148F1"/>
      </top>
      <bottom/>
      <diagonal/>
    </border>
    <border>
      <left/>
      <right/>
      <top style="medium">
        <color rgb="FF1148F1"/>
      </top>
      <bottom/>
      <diagonal/>
    </border>
    <border>
      <left/>
      <right style="medium">
        <color rgb="FF1148F1"/>
      </right>
      <top style="medium">
        <color rgb="FF1148F1"/>
      </top>
      <bottom/>
      <diagonal/>
    </border>
    <border>
      <left style="medium">
        <color rgb="FF1148F1"/>
      </left>
      <right/>
      <top/>
      <bottom style="medium">
        <color rgb="FF1148F1"/>
      </bottom>
      <diagonal/>
    </border>
    <border>
      <left/>
      <right/>
      <top/>
      <bottom style="medium">
        <color rgb="FF1148F1"/>
      </bottom>
      <diagonal/>
    </border>
    <border>
      <left/>
      <right style="medium">
        <color rgb="FF1148F1"/>
      </right>
      <top/>
      <bottom style="medium">
        <color rgb="FF1148F1"/>
      </bottom>
      <diagonal/>
    </border>
    <border>
      <left style="medium">
        <color rgb="FF0A37C5"/>
      </left>
      <right/>
      <top style="medium">
        <color rgb="FF0A37C5"/>
      </top>
      <bottom style="medium">
        <color rgb="FF0A37C5"/>
      </bottom>
      <diagonal/>
    </border>
    <border>
      <left/>
      <right/>
      <top style="medium">
        <color rgb="FF0A37C5"/>
      </top>
      <bottom style="medium">
        <color rgb="FF0A37C5"/>
      </bottom>
      <diagonal/>
    </border>
    <border>
      <left/>
      <right style="medium">
        <color rgb="FF0A37C5"/>
      </right>
      <top style="medium">
        <color rgb="FF0A37C5"/>
      </top>
      <bottom style="medium">
        <color rgb="FF0A37C5"/>
      </bottom>
      <diagonal/>
    </border>
    <border>
      <left style="medium">
        <color rgb="FF0A1FB8"/>
      </left>
      <right/>
      <top style="medium">
        <color rgb="FF0A1FB8"/>
      </top>
      <bottom style="medium">
        <color rgb="FF0A1FB8"/>
      </bottom>
      <diagonal/>
    </border>
    <border>
      <left/>
      <right/>
      <top style="medium">
        <color rgb="FF0A1FB8"/>
      </top>
      <bottom style="medium">
        <color rgb="FF0A1FB8"/>
      </bottom>
      <diagonal/>
    </border>
    <border>
      <left/>
      <right style="medium">
        <color rgb="FF0A1FB8"/>
      </right>
      <top style="medium">
        <color rgb="FF0A1FB8"/>
      </top>
      <bottom style="medium">
        <color rgb="FF0A1FB8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</borders>
  <cellStyleXfs count="158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9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9">
    <xf numFmtId="0" fontId="0" fillId="0" borderId="0" xfId="0"/>
    <xf numFmtId="166" fontId="0" fillId="0" borderId="0" xfId="0" applyNumberFormat="1"/>
    <xf numFmtId="2" fontId="0" fillId="0" borderId="0" xfId="0" applyNumberForma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Border="1"/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/>
    <xf numFmtId="2" fontId="15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2" fontId="5" fillId="0" borderId="0" xfId="0" applyNumberFormat="1" applyFont="1" applyBorder="1" applyAlignment="1">
      <alignment horizontal="center" vertical="center"/>
    </xf>
    <xf numFmtId="2" fontId="20" fillId="0" borderId="0" xfId="0" applyNumberFormat="1" applyFont="1"/>
    <xf numFmtId="165" fontId="19" fillId="0" borderId="0" xfId="0" applyNumberFormat="1" applyFont="1"/>
    <xf numFmtId="0" fontId="5" fillId="0" borderId="0" xfId="0" applyFont="1"/>
    <xf numFmtId="2" fontId="5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19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6" fillId="0" borderId="0" xfId="0" applyNumberFormat="1" applyFont="1"/>
    <xf numFmtId="0" fontId="6" fillId="0" borderId="0" xfId="0" applyFont="1"/>
    <xf numFmtId="0" fontId="5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19" fillId="0" borderId="0" xfId="0" applyFont="1" applyFill="1" applyBorder="1"/>
    <xf numFmtId="0" fontId="6" fillId="0" borderId="0" xfId="0" applyFont="1" applyBorder="1"/>
    <xf numFmtId="2" fontId="6" fillId="0" borderId="0" xfId="0" applyNumberFormat="1" applyFont="1" applyBorder="1"/>
    <xf numFmtId="0" fontId="19" fillId="0" borderId="0" xfId="0" applyFont="1" applyBorder="1"/>
    <xf numFmtId="2" fontId="6" fillId="0" borderId="0" xfId="0" applyNumberFormat="1" applyFont="1" applyFill="1" applyBorder="1"/>
    <xf numFmtId="0" fontId="6" fillId="0" borderId="0" xfId="0" applyFont="1" applyFill="1" applyBorder="1"/>
    <xf numFmtId="0" fontId="16" fillId="0" borderId="0" xfId="0" applyFont="1"/>
    <xf numFmtId="2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2" fontId="6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" fillId="0" borderId="0" xfId="0" applyFont="1" applyBorder="1"/>
    <xf numFmtId="165" fontId="5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/>
    <xf numFmtId="0" fontId="16" fillId="0" borderId="0" xfId="0" applyFont="1" applyBorder="1"/>
    <xf numFmtId="165" fontId="6" fillId="0" borderId="0" xfId="0" applyNumberFormat="1" applyFont="1"/>
    <xf numFmtId="0" fontId="32" fillId="0" borderId="0" xfId="0" applyFont="1" applyAlignment="1">
      <alignment horizontal="center" vertical="center"/>
    </xf>
    <xf numFmtId="2" fontId="5" fillId="0" borderId="0" xfId="0" applyNumberFormat="1" applyFont="1"/>
    <xf numFmtId="2" fontId="16" fillId="0" borderId="0" xfId="0" applyNumberFormat="1" applyFont="1"/>
    <xf numFmtId="0" fontId="3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2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2" fontId="5" fillId="0" borderId="0" xfId="0" applyNumberFormat="1" applyFont="1" applyBorder="1"/>
    <xf numFmtId="0" fontId="42" fillId="0" borderId="0" xfId="0" applyFont="1" applyFill="1" applyBorder="1" applyAlignment="1">
      <alignment horizontal="center" vertical="center"/>
    </xf>
    <xf numFmtId="2" fontId="43" fillId="0" borderId="0" xfId="0" applyNumberFormat="1" applyFont="1" applyFill="1" applyBorder="1" applyAlignment="1">
      <alignment horizontal="right" vertical="center"/>
    </xf>
    <xf numFmtId="2" fontId="43" fillId="0" borderId="0" xfId="0" applyNumberFormat="1" applyFont="1" applyBorder="1" applyAlignment="1">
      <alignment horizontal="right" vertical="center"/>
    </xf>
    <xf numFmtId="2" fontId="45" fillId="0" borderId="0" xfId="0" applyNumberFormat="1" applyFont="1" applyBorder="1" applyAlignment="1">
      <alignment horizontal="right" vertical="center"/>
    </xf>
    <xf numFmtId="2" fontId="43" fillId="0" borderId="0" xfId="0" applyNumberFormat="1" applyFont="1" applyFill="1" applyBorder="1" applyAlignment="1">
      <alignment horizontal="left" vertical="center" wrapText="1"/>
    </xf>
    <xf numFmtId="2" fontId="43" fillId="0" borderId="0" xfId="0" applyNumberFormat="1" applyFont="1" applyBorder="1" applyAlignment="1">
      <alignment horizontal="left" vertical="center"/>
    </xf>
    <xf numFmtId="2" fontId="43" fillId="0" borderId="0" xfId="0" applyNumberFormat="1" applyFont="1" applyFill="1" applyBorder="1" applyAlignment="1">
      <alignment horizontal="left" vertical="center"/>
    </xf>
    <xf numFmtId="0" fontId="43" fillId="0" borderId="0" xfId="0" applyFont="1" applyAlignment="1">
      <alignment horizontal="center" vertical="center"/>
    </xf>
    <xf numFmtId="2" fontId="43" fillId="0" borderId="0" xfId="0" applyNumberFormat="1" applyFont="1"/>
    <xf numFmtId="0" fontId="46" fillId="0" borderId="0" xfId="0" applyFont="1" applyAlignment="1">
      <alignment horizontal="center" vertical="center"/>
    </xf>
    <xf numFmtId="165" fontId="43" fillId="0" borderId="0" xfId="0" applyNumberFormat="1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2" fontId="19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2" fontId="50" fillId="0" borderId="0" xfId="1429" applyNumberFormat="1" applyFont="1" applyFill="1" applyAlignment="1">
      <alignment horizontal="center"/>
    </xf>
    <xf numFmtId="0" fontId="52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8" fillId="0" borderId="0" xfId="0" applyFont="1"/>
    <xf numFmtId="0" fontId="5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left" wrapText="1"/>
    </xf>
    <xf numFmtId="0" fontId="59" fillId="0" borderId="0" xfId="0" applyFont="1" applyAlignment="1">
      <alignment horizontal="center" vertical="center"/>
    </xf>
    <xf numFmtId="0" fontId="60" fillId="0" borderId="0" xfId="0" applyFont="1"/>
    <xf numFmtId="0" fontId="61" fillId="0" borderId="0" xfId="0" applyFont="1" applyAlignment="1">
      <alignment horizontal="left"/>
    </xf>
    <xf numFmtId="0" fontId="39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</cellXfs>
  <cellStyles count="1586">
    <cellStyle name="Hiperłącze" xfId="1" builtinId="8" hidden="1"/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Hiperłącze" xfId="13" builtinId="8" hidden="1"/>
    <cellStyle name="Hiperłącze" xfId="15" builtinId="8" hidden="1"/>
    <cellStyle name="Hiperłącze" xfId="17" builtinId="8" hidden="1"/>
    <cellStyle name="Hiperłącze" xfId="19" builtinId="8" hidden="1"/>
    <cellStyle name="Hiperłącze" xfId="21" builtinId="8" hidden="1"/>
    <cellStyle name="Hiperłącze" xfId="23" builtinId="8" hidden="1"/>
    <cellStyle name="Hiperłącze" xfId="25" builtinId="8" hidden="1"/>
    <cellStyle name="Hiperłącze" xfId="27" builtinId="8" hidden="1"/>
    <cellStyle name="Hiperłącze" xfId="29" builtinId="8" hidden="1"/>
    <cellStyle name="Hiperłącze" xfId="31" builtinId="8" hidden="1"/>
    <cellStyle name="Hiperłącze" xfId="33" builtinId="8" hidden="1"/>
    <cellStyle name="Hiperłącze" xfId="35" builtinId="8" hidden="1"/>
    <cellStyle name="Hiperłącze" xfId="37" builtinId="8" hidden="1"/>
    <cellStyle name="Hiperłącze" xfId="39" builtinId="8" hidden="1"/>
    <cellStyle name="Hiperłącze" xfId="41" builtinId="8" hidden="1"/>
    <cellStyle name="Hiperłącze" xfId="43" builtinId="8" hidden="1"/>
    <cellStyle name="Hiperłącze" xfId="45" builtinId="8" hidden="1"/>
    <cellStyle name="Hiperłącze" xfId="47" builtinId="8" hidden="1"/>
    <cellStyle name="Hiperłącze" xfId="49" builtinId="8" hidden="1"/>
    <cellStyle name="Hiperłącze" xfId="51" builtinId="8" hidden="1"/>
    <cellStyle name="Hiperłącze" xfId="53" builtinId="8" hidden="1"/>
    <cellStyle name="Hiperłącze" xfId="55" builtinId="8" hidden="1"/>
    <cellStyle name="Hiperłącze" xfId="57" builtinId="8" hidden="1"/>
    <cellStyle name="Hiperłącze" xfId="59" builtinId="8" hidden="1"/>
    <cellStyle name="Hiperłącze" xfId="61" builtinId="8" hidden="1"/>
    <cellStyle name="Hiperłącze" xfId="63" builtinId="8" hidden="1"/>
    <cellStyle name="Hiperłącze" xfId="65" builtinId="8" hidden="1"/>
    <cellStyle name="Hiperłącze" xfId="67" builtinId="8" hidden="1"/>
    <cellStyle name="Hiperłącze" xfId="69" builtinId="8" hidden="1"/>
    <cellStyle name="Hiperłącze" xfId="71" builtinId="8" hidden="1"/>
    <cellStyle name="Hiperłącze" xfId="73" builtinId="8" hidden="1"/>
    <cellStyle name="Hiperłącze" xfId="75" builtinId="8" hidden="1"/>
    <cellStyle name="Hiperłącze" xfId="77" builtinId="8" hidden="1"/>
    <cellStyle name="Hiperłącze" xfId="79" builtinId="8" hidden="1"/>
    <cellStyle name="Hiperłącze" xfId="81" builtinId="8" hidden="1"/>
    <cellStyle name="Hiperłącze" xfId="83" builtinId="8" hidden="1"/>
    <cellStyle name="Hiperłącze" xfId="85" builtinId="8" hidden="1"/>
    <cellStyle name="Hiperłącze" xfId="87" builtinId="8" hidden="1"/>
    <cellStyle name="Hiperłącze" xfId="89" builtinId="8" hidden="1"/>
    <cellStyle name="Hiperłącze" xfId="91" builtinId="8" hidden="1"/>
    <cellStyle name="Hiperłącze" xfId="93" builtinId="8" hidden="1"/>
    <cellStyle name="Hiperłącze" xfId="95" builtinId="8" hidden="1"/>
    <cellStyle name="Hiperłącze" xfId="97" builtinId="8" hidden="1"/>
    <cellStyle name="Hiperłącze" xfId="99" builtinId="8" hidden="1"/>
    <cellStyle name="Hiperłącze" xfId="101" builtinId="8" hidden="1"/>
    <cellStyle name="Hiperłącze" xfId="103" builtinId="8" hidden="1"/>
    <cellStyle name="Hiperłącze" xfId="105" builtinId="8" hidden="1"/>
    <cellStyle name="Hiperłącze" xfId="107" builtinId="8" hidden="1"/>
    <cellStyle name="Hiperłącze" xfId="109" builtinId="8" hidden="1"/>
    <cellStyle name="Hiperłącze" xfId="111" builtinId="8" hidden="1"/>
    <cellStyle name="Hiperłącze" xfId="113" builtinId="8" hidden="1"/>
    <cellStyle name="Hiperłącze" xfId="115" builtinId="8" hidden="1"/>
    <cellStyle name="Hiperłącze" xfId="117" builtinId="8" hidden="1"/>
    <cellStyle name="Hiperłącze" xfId="119" builtinId="8" hidden="1"/>
    <cellStyle name="Hiperłącze" xfId="121" builtinId="8" hidden="1"/>
    <cellStyle name="Hiperłącze" xfId="123" builtinId="8" hidden="1"/>
    <cellStyle name="Hiperłącze" xfId="125" builtinId="8" hidden="1"/>
    <cellStyle name="Hiperłącze" xfId="127" builtinId="8" hidden="1"/>
    <cellStyle name="Hiperłącze" xfId="129" builtinId="8" hidden="1"/>
    <cellStyle name="Hiperłącze" xfId="131" builtinId="8" hidden="1"/>
    <cellStyle name="Hiperłącze" xfId="133" builtinId="8" hidden="1"/>
    <cellStyle name="Hiperłącze" xfId="135" builtinId="8" hidden="1"/>
    <cellStyle name="Hiperłącze" xfId="137" builtinId="8" hidden="1"/>
    <cellStyle name="Hiperłącze" xfId="139" builtinId="8" hidden="1"/>
    <cellStyle name="Hiperłącze" xfId="141" builtinId="8" hidden="1"/>
    <cellStyle name="Hiperłącze" xfId="143" builtinId="8" hidden="1"/>
    <cellStyle name="Hiperłącze" xfId="145" builtinId="8" hidden="1"/>
    <cellStyle name="Hiperłącze" xfId="147" builtinId="8" hidden="1"/>
    <cellStyle name="Hiperłącze" xfId="149" builtinId="8" hidden="1"/>
    <cellStyle name="Hiperłącze" xfId="151" builtinId="8" hidden="1"/>
    <cellStyle name="Hiperłącze" xfId="153" builtinId="8" hidden="1"/>
    <cellStyle name="Hiperłącze" xfId="155" builtinId="8" hidden="1"/>
    <cellStyle name="Hiperłącze" xfId="157" builtinId="8" hidden="1"/>
    <cellStyle name="Hiperłącze" xfId="159" builtinId="8" hidden="1"/>
    <cellStyle name="Hiperłącze" xfId="161" builtinId="8" hidden="1"/>
    <cellStyle name="Hiperłącze" xfId="163" builtinId="8" hidden="1"/>
    <cellStyle name="Hiperłącze" xfId="165" builtinId="8" hidden="1"/>
    <cellStyle name="Hiperłącze" xfId="167" builtinId="8" hidden="1"/>
    <cellStyle name="Hiperłącze" xfId="169" builtinId="8" hidden="1"/>
    <cellStyle name="Hiperłącze" xfId="171" builtinId="8" hidden="1"/>
    <cellStyle name="Hiperłącze" xfId="173" builtinId="8" hidden="1"/>
    <cellStyle name="Hiperłącze" xfId="175" builtinId="8" hidden="1"/>
    <cellStyle name="Hiperłącze" xfId="177" builtinId="8" hidden="1"/>
    <cellStyle name="Hiperłącze" xfId="179" builtinId="8" hidden="1"/>
    <cellStyle name="Hiperłącze" xfId="181" builtinId="8" hidden="1"/>
    <cellStyle name="Hiperłącze" xfId="183" builtinId="8" hidden="1"/>
    <cellStyle name="Hiperłącze" xfId="185" builtinId="8" hidden="1"/>
    <cellStyle name="Hiperłącze" xfId="187" builtinId="8" hidden="1"/>
    <cellStyle name="Hiperłącze" xfId="189" builtinId="8" hidden="1"/>
    <cellStyle name="Hiperłącze" xfId="191" builtinId="8" hidden="1"/>
    <cellStyle name="Hiperłącze" xfId="193" builtinId="8" hidden="1"/>
    <cellStyle name="Hiperłącze" xfId="195" builtinId="8" hidden="1"/>
    <cellStyle name="Hiperłącze" xfId="197" builtinId="8" hidden="1"/>
    <cellStyle name="Hiperłącze" xfId="199" builtinId="8" hidden="1"/>
    <cellStyle name="Hiperłącze" xfId="201" builtinId="8" hidden="1"/>
    <cellStyle name="Hiperłącze" xfId="203" builtinId="8" hidden="1"/>
    <cellStyle name="Hiperłącze" xfId="205" builtinId="8" hidden="1"/>
    <cellStyle name="Hiperłącze" xfId="207" builtinId="8" hidden="1"/>
    <cellStyle name="Hiperłącze" xfId="209" builtinId="8" hidden="1"/>
    <cellStyle name="Hiperłącze" xfId="211" builtinId="8" hidden="1"/>
    <cellStyle name="Hiperłącze" xfId="213" builtinId="8" hidden="1"/>
    <cellStyle name="Hiperłącze" xfId="215" builtinId="8" hidden="1"/>
    <cellStyle name="Hiperłącze" xfId="217" builtinId="8" hidden="1"/>
    <cellStyle name="Hiperłącze" xfId="219" builtinId="8" hidden="1"/>
    <cellStyle name="Hiperłącze" xfId="221" builtinId="8" hidden="1"/>
    <cellStyle name="Hiperłącze" xfId="223" builtinId="8" hidden="1"/>
    <cellStyle name="Hiperłącze" xfId="225" builtinId="8" hidden="1"/>
    <cellStyle name="Hiperłącze" xfId="227" builtinId="8" hidden="1"/>
    <cellStyle name="Hiperłącze" xfId="229" builtinId="8" hidden="1"/>
    <cellStyle name="Hiperłącze" xfId="231" builtinId="8" hidden="1"/>
    <cellStyle name="Hiperłącze" xfId="233" builtinId="8" hidden="1"/>
    <cellStyle name="Hiperłącze" xfId="235" builtinId="8" hidden="1"/>
    <cellStyle name="Hiperłącze" xfId="237" builtinId="8" hidden="1"/>
    <cellStyle name="Hiperłącze" xfId="239" builtinId="8" hidden="1"/>
    <cellStyle name="Hiperłącze" xfId="241" builtinId="8" hidden="1"/>
    <cellStyle name="Hiperłącze" xfId="243" builtinId="8" hidden="1"/>
    <cellStyle name="Hiperłącze" xfId="245" builtinId="8" hidden="1"/>
    <cellStyle name="Hiperłącze" xfId="247" builtinId="8" hidden="1"/>
    <cellStyle name="Hiperłącze" xfId="249" builtinId="8" hidden="1"/>
    <cellStyle name="Hiperłącze" xfId="251" builtinId="8" hidden="1"/>
    <cellStyle name="Hiperłącze" xfId="253" builtinId="8" hidden="1"/>
    <cellStyle name="Hiperłącze" xfId="255" builtinId="8" hidden="1"/>
    <cellStyle name="Hiperłącze" xfId="257" builtinId="8" hidden="1"/>
    <cellStyle name="Hiperłącze" xfId="259" builtinId="8" hidden="1"/>
    <cellStyle name="Hiperłącze" xfId="261" builtinId="8" hidden="1"/>
    <cellStyle name="Hiperłącze" xfId="263" builtinId="8" hidden="1"/>
    <cellStyle name="Hiperłącze" xfId="265" builtinId="8" hidden="1"/>
    <cellStyle name="Hiperłącze" xfId="267" builtinId="8" hidden="1"/>
    <cellStyle name="Hiperłącze" xfId="269" builtinId="8" hidden="1"/>
    <cellStyle name="Hiperłącze" xfId="271" builtinId="8" hidden="1"/>
    <cellStyle name="Hiperłącze" xfId="273" builtinId="8" hidden="1"/>
    <cellStyle name="Hiperłącze" xfId="275" builtinId="8" hidden="1"/>
    <cellStyle name="Hiperłącze" xfId="277" builtinId="8" hidden="1"/>
    <cellStyle name="Hiperłącze" xfId="279" builtinId="8" hidden="1"/>
    <cellStyle name="Hiperłącze" xfId="281" builtinId="8" hidden="1"/>
    <cellStyle name="Hiperłącze" xfId="283" builtinId="8" hidden="1"/>
    <cellStyle name="Hiperłącze" xfId="285" builtinId="8" hidden="1"/>
    <cellStyle name="Hiperłącze" xfId="287" builtinId="8" hidden="1"/>
    <cellStyle name="Hiperłącze" xfId="289" builtinId="8" hidden="1"/>
    <cellStyle name="Hiperłącze" xfId="291" builtinId="8" hidden="1"/>
    <cellStyle name="Hiperłącze" xfId="293" builtinId="8" hidden="1"/>
    <cellStyle name="Hiperłącze" xfId="295" builtinId="8" hidden="1"/>
    <cellStyle name="Hiperłącze" xfId="297" builtinId="8" hidden="1"/>
    <cellStyle name="Hiperłącze" xfId="299" builtinId="8" hidden="1"/>
    <cellStyle name="Hiperłącze" xfId="301" builtinId="8" hidden="1"/>
    <cellStyle name="Hiperłącze" xfId="303" builtinId="8" hidden="1"/>
    <cellStyle name="Hiperłącze" xfId="305" builtinId="8" hidden="1"/>
    <cellStyle name="Hiperłącze" xfId="307" builtinId="8" hidden="1"/>
    <cellStyle name="Hiperłącze" xfId="309" builtinId="8" hidden="1"/>
    <cellStyle name="Hiperłącze" xfId="311" builtinId="8" hidden="1"/>
    <cellStyle name="Hiperłącze" xfId="313" builtinId="8" hidden="1"/>
    <cellStyle name="Hiperłącze" xfId="315" builtinId="8" hidden="1"/>
    <cellStyle name="Hiperłącze" xfId="317" builtinId="8" hidden="1"/>
    <cellStyle name="Hiperłącze" xfId="319" builtinId="8" hidden="1"/>
    <cellStyle name="Hiperłącze" xfId="321" builtinId="8" hidden="1"/>
    <cellStyle name="Hiperłącze" xfId="323" builtinId="8" hidden="1"/>
    <cellStyle name="Hiperłącze" xfId="325" builtinId="8" hidden="1"/>
    <cellStyle name="Hiperłącze" xfId="327" builtinId="8" hidden="1"/>
    <cellStyle name="Hiperłącze" xfId="329" builtinId="8" hidden="1"/>
    <cellStyle name="Hiperłącze" xfId="331" builtinId="8" hidden="1"/>
    <cellStyle name="Hiperłącze" xfId="333" builtinId="8" hidden="1"/>
    <cellStyle name="Hiperłącze" xfId="335" builtinId="8" hidden="1"/>
    <cellStyle name="Hiperłącze" xfId="337" builtinId="8" hidden="1"/>
    <cellStyle name="Hiperłącze" xfId="339" builtinId="8" hidden="1"/>
    <cellStyle name="Hiperłącze" xfId="341" builtinId="8" hidden="1"/>
    <cellStyle name="Hiperłącze" xfId="343" builtinId="8" hidden="1"/>
    <cellStyle name="Hiperłącze" xfId="345" builtinId="8" hidden="1"/>
    <cellStyle name="Hiperłącze" xfId="347" builtinId="8" hidden="1"/>
    <cellStyle name="Hiperłącze" xfId="349" builtinId="8" hidden="1"/>
    <cellStyle name="Hiperłącze" xfId="351" builtinId="8" hidden="1"/>
    <cellStyle name="Hiperłącze" xfId="353" builtinId="8" hidden="1"/>
    <cellStyle name="Hiperłącze" xfId="355" builtinId="8" hidden="1"/>
    <cellStyle name="Hiperłącze" xfId="357" builtinId="8" hidden="1"/>
    <cellStyle name="Hiperłącze" xfId="359" builtinId="8" hidden="1"/>
    <cellStyle name="Hiperłącze" xfId="361" builtinId="8" hidden="1"/>
    <cellStyle name="Hiperłącze" xfId="363" builtinId="8" hidden="1"/>
    <cellStyle name="Hiperłącze" xfId="365" builtinId="8" hidden="1"/>
    <cellStyle name="Hiperłącze" xfId="367" builtinId="8" hidden="1"/>
    <cellStyle name="Hiperłącze" xfId="369" builtinId="8" hidden="1"/>
    <cellStyle name="Hiperłącze" xfId="371" builtinId="8" hidden="1"/>
    <cellStyle name="Hiperłącze" xfId="373" builtinId="8" hidden="1"/>
    <cellStyle name="Hiperłącze" xfId="375" builtinId="8" hidden="1"/>
    <cellStyle name="Hiperłącze" xfId="377" builtinId="8" hidden="1"/>
    <cellStyle name="Hiperłącze" xfId="379" builtinId="8" hidden="1"/>
    <cellStyle name="Hiperłącze" xfId="381" builtinId="8" hidden="1"/>
    <cellStyle name="Hiperłącze" xfId="383" builtinId="8" hidden="1"/>
    <cellStyle name="Hiperłącze" xfId="385" builtinId="8" hidden="1"/>
    <cellStyle name="Hiperłącze" xfId="387" builtinId="8" hidden="1"/>
    <cellStyle name="Hiperłącze" xfId="389" builtinId="8" hidden="1"/>
    <cellStyle name="Hiperłącze" xfId="391" builtinId="8" hidden="1"/>
    <cellStyle name="Hiperłącze" xfId="393" builtinId="8" hidden="1"/>
    <cellStyle name="Hiperłącze" xfId="395" builtinId="8" hidden="1"/>
    <cellStyle name="Hiperłącze" xfId="397" builtinId="8" hidden="1"/>
    <cellStyle name="Hiperłącze" xfId="399" builtinId="8" hidden="1"/>
    <cellStyle name="Hiperłącze" xfId="401" builtinId="8" hidden="1"/>
    <cellStyle name="Hiperłącze" xfId="403" builtinId="8" hidden="1"/>
    <cellStyle name="Hiperłącze" xfId="405" builtinId="8" hidden="1"/>
    <cellStyle name="Hiperłącze" xfId="407" builtinId="8" hidden="1"/>
    <cellStyle name="Hiperłącze" xfId="409" builtinId="8" hidden="1"/>
    <cellStyle name="Hiperłącze" xfId="411" builtinId="8" hidden="1"/>
    <cellStyle name="Hiperłącze" xfId="413" builtinId="8" hidden="1"/>
    <cellStyle name="Hiperłącze" xfId="415" builtinId="8" hidden="1"/>
    <cellStyle name="Hiperłącze" xfId="417" builtinId="8" hidden="1"/>
    <cellStyle name="Hiperłącze" xfId="419" builtinId="8" hidden="1"/>
    <cellStyle name="Hiperłącze" xfId="421" builtinId="8" hidden="1"/>
    <cellStyle name="Hiperłącze" xfId="423" builtinId="8" hidden="1"/>
    <cellStyle name="Hiperłącze" xfId="425" builtinId="8" hidden="1"/>
    <cellStyle name="Hiperłącze" xfId="427" builtinId="8" hidden="1"/>
    <cellStyle name="Hiperłącze" xfId="429" builtinId="8" hidden="1"/>
    <cellStyle name="Hiperłącze" xfId="431" builtinId="8" hidden="1"/>
    <cellStyle name="Hiperłącze" xfId="433" builtinId="8" hidden="1"/>
    <cellStyle name="Hiperłącze" xfId="435" builtinId="8" hidden="1"/>
    <cellStyle name="Hiperłącze" xfId="437" builtinId="8" hidden="1"/>
    <cellStyle name="Hiperłącze" xfId="439" builtinId="8" hidden="1"/>
    <cellStyle name="Hiperłącze" xfId="441" builtinId="8" hidden="1"/>
    <cellStyle name="Hiperłącze" xfId="443" builtinId="8" hidden="1"/>
    <cellStyle name="Hiperłącze" xfId="445" builtinId="8" hidden="1"/>
    <cellStyle name="Hiperłącze" xfId="447" builtinId="8" hidden="1"/>
    <cellStyle name="Hiperłącze" xfId="449" builtinId="8" hidden="1"/>
    <cellStyle name="Hiperłącze" xfId="451" builtinId="8" hidden="1"/>
    <cellStyle name="Hiperłącze" xfId="453" builtinId="8" hidden="1"/>
    <cellStyle name="Hiperłącze" xfId="455" builtinId="8" hidden="1"/>
    <cellStyle name="Hiperłącze" xfId="457" builtinId="8" hidden="1"/>
    <cellStyle name="Hiperłącze" xfId="459" builtinId="8" hidden="1"/>
    <cellStyle name="Hiperłącze" xfId="461" builtinId="8" hidden="1"/>
    <cellStyle name="Hiperłącze" xfId="463" builtinId="8" hidden="1"/>
    <cellStyle name="Hiperłącze" xfId="465" builtinId="8" hidden="1"/>
    <cellStyle name="Hiperłącze" xfId="467" builtinId="8" hidden="1"/>
    <cellStyle name="Hiperłącze" xfId="469" builtinId="8" hidden="1"/>
    <cellStyle name="Hiperłącze" xfId="471" builtinId="8" hidden="1"/>
    <cellStyle name="Hiperłącze" xfId="473" builtinId="8" hidden="1"/>
    <cellStyle name="Hiperłącze" xfId="475" builtinId="8" hidden="1"/>
    <cellStyle name="Hiperłącze" xfId="477" builtinId="8" hidden="1"/>
    <cellStyle name="Hiperłącze" xfId="479" builtinId="8" hidden="1"/>
    <cellStyle name="Hiperłącze" xfId="481" builtinId="8" hidden="1"/>
    <cellStyle name="Hiperłącze" xfId="483" builtinId="8" hidden="1"/>
    <cellStyle name="Hiperłącze" xfId="485" builtinId="8" hidden="1"/>
    <cellStyle name="Hiperłącze" xfId="487" builtinId="8" hidden="1"/>
    <cellStyle name="Hiperłącze" xfId="489" builtinId="8" hidden="1"/>
    <cellStyle name="Hiperłącze" xfId="491" builtinId="8" hidden="1"/>
    <cellStyle name="Hiperłącze" xfId="493" builtinId="8" hidden="1"/>
    <cellStyle name="Hiperłącze" xfId="495" builtinId="8" hidden="1"/>
    <cellStyle name="Hiperłącze" xfId="497" builtinId="8" hidden="1"/>
    <cellStyle name="Hiperłącze" xfId="499" builtinId="8" hidden="1"/>
    <cellStyle name="Hiperłącze" xfId="501" builtinId="8" hidden="1"/>
    <cellStyle name="Hiperłącze" xfId="503" builtinId="8" hidden="1"/>
    <cellStyle name="Hiperłącze" xfId="505" builtinId="8" hidden="1"/>
    <cellStyle name="Hiperłącze" xfId="507" builtinId="8" hidden="1"/>
    <cellStyle name="Hiperłącze" xfId="509" builtinId="8" hidden="1"/>
    <cellStyle name="Hiperłącze" xfId="511" builtinId="8" hidden="1"/>
    <cellStyle name="Hiperłącze" xfId="513" builtinId="8" hidden="1"/>
    <cellStyle name="Hiperłącze" xfId="515" builtinId="8" hidden="1"/>
    <cellStyle name="Hiperłącze" xfId="517" builtinId="8" hidden="1"/>
    <cellStyle name="Hiperłącze" xfId="519" builtinId="8" hidden="1"/>
    <cellStyle name="Hiperłącze" xfId="521" builtinId="8" hidden="1"/>
    <cellStyle name="Hiperłącze" xfId="523" builtinId="8" hidden="1"/>
    <cellStyle name="Hiperłącze" xfId="525" builtinId="8" hidden="1"/>
    <cellStyle name="Hiperłącze" xfId="527" builtinId="8" hidden="1"/>
    <cellStyle name="Hiperłącze" xfId="529" builtinId="8" hidden="1"/>
    <cellStyle name="Hiperłącze" xfId="531" builtinId="8" hidden="1"/>
    <cellStyle name="Hiperłącze" xfId="533" builtinId="8" hidden="1"/>
    <cellStyle name="Hiperłącze" xfId="535" builtinId="8" hidden="1"/>
    <cellStyle name="Hiperłącze" xfId="537" builtinId="8" hidden="1"/>
    <cellStyle name="Hiperłącze" xfId="539" builtinId="8" hidden="1"/>
    <cellStyle name="Hiperłącze" xfId="541" builtinId="8" hidden="1"/>
    <cellStyle name="Hiperłącze" xfId="543" builtinId="8" hidden="1"/>
    <cellStyle name="Hiperłącze" xfId="545" builtinId="8" hidden="1"/>
    <cellStyle name="Hiperłącze" xfId="547" builtinId="8" hidden="1"/>
    <cellStyle name="Hiperłącze" xfId="549" builtinId="8" hidden="1"/>
    <cellStyle name="Hiperłącze" xfId="551" builtinId="8" hidden="1"/>
    <cellStyle name="Hiperłącze" xfId="553" builtinId="8" hidden="1"/>
    <cellStyle name="Hiperłącze" xfId="555" builtinId="8" hidden="1"/>
    <cellStyle name="Hiperłącze" xfId="557" builtinId="8" hidden="1"/>
    <cellStyle name="Hiperłącze" xfId="559" builtinId="8" hidden="1"/>
    <cellStyle name="Hiperłącze" xfId="561" builtinId="8" hidden="1"/>
    <cellStyle name="Hiperłącze" xfId="563" builtinId="8" hidden="1"/>
    <cellStyle name="Hiperłącze" xfId="565" builtinId="8" hidden="1"/>
    <cellStyle name="Hiperłącze" xfId="567" builtinId="8" hidden="1"/>
    <cellStyle name="Hiperłącze" xfId="569" builtinId="8" hidden="1"/>
    <cellStyle name="Hiperłącze" xfId="571" builtinId="8" hidden="1"/>
    <cellStyle name="Hiperłącze" xfId="573" builtinId="8" hidden="1"/>
    <cellStyle name="Hiperłącze" xfId="575" builtinId="8" hidden="1"/>
    <cellStyle name="Hiperłącze" xfId="577" builtinId="8" hidden="1"/>
    <cellStyle name="Hiperłącze" xfId="579" builtinId="8" hidden="1"/>
    <cellStyle name="Hiperłącze" xfId="581" builtinId="8" hidden="1"/>
    <cellStyle name="Hiperłącze" xfId="583" builtinId="8" hidden="1"/>
    <cellStyle name="Hiperłącze" xfId="585" builtinId="8" hidden="1"/>
    <cellStyle name="Hiperłącze" xfId="587" builtinId="8" hidden="1"/>
    <cellStyle name="Hiperłącze" xfId="589" builtinId="8" hidden="1"/>
    <cellStyle name="Hiperłącze" xfId="591" builtinId="8" hidden="1"/>
    <cellStyle name="Hiperłącze" xfId="593" builtinId="8" hidden="1"/>
    <cellStyle name="Hiperłącze" xfId="595" builtinId="8" hidden="1"/>
    <cellStyle name="Hiperłącze" xfId="597" builtinId="8" hidden="1"/>
    <cellStyle name="Hiperłącze" xfId="599" builtinId="8" hidden="1"/>
    <cellStyle name="Hiperłącze" xfId="601" builtinId="8" hidden="1"/>
    <cellStyle name="Hiperłącze" xfId="603" builtinId="8" hidden="1"/>
    <cellStyle name="Hiperłącze" xfId="605" builtinId="8" hidden="1"/>
    <cellStyle name="Hiperłącze" xfId="607" builtinId="8" hidden="1"/>
    <cellStyle name="Hiperłącze" xfId="609" builtinId="8" hidden="1"/>
    <cellStyle name="Hiperłącze" xfId="611" builtinId="8" hidden="1"/>
    <cellStyle name="Hiperłącze" xfId="613" builtinId="8" hidden="1"/>
    <cellStyle name="Hiperłącze" xfId="615" builtinId="8" hidden="1"/>
    <cellStyle name="Hiperłącze" xfId="617" builtinId="8" hidden="1"/>
    <cellStyle name="Hiperłącze" xfId="619" builtinId="8" hidden="1"/>
    <cellStyle name="Hiperłącze" xfId="621" builtinId="8" hidden="1"/>
    <cellStyle name="Hiperłącze" xfId="623" builtinId="8" hidden="1"/>
    <cellStyle name="Hiperłącze" xfId="625" builtinId="8" hidden="1"/>
    <cellStyle name="Hiperłącze" xfId="627" builtinId="8" hidden="1"/>
    <cellStyle name="Hiperłącze" xfId="629" builtinId="8" hidden="1"/>
    <cellStyle name="Hiperłącze" xfId="631" builtinId="8" hidden="1"/>
    <cellStyle name="Hiperłącze" xfId="633" builtinId="8" hidden="1"/>
    <cellStyle name="Hiperłącze" xfId="635" builtinId="8" hidden="1"/>
    <cellStyle name="Hiperłącze" xfId="637" builtinId="8" hidden="1"/>
    <cellStyle name="Hiperłącze" xfId="639" builtinId="8" hidden="1"/>
    <cellStyle name="Hiperłącze" xfId="641" builtinId="8" hidden="1"/>
    <cellStyle name="Hiperłącze" xfId="643" builtinId="8" hidden="1"/>
    <cellStyle name="Hiperłącze" xfId="645" builtinId="8" hidden="1"/>
    <cellStyle name="Hiperłącze" xfId="647" builtinId="8" hidden="1"/>
    <cellStyle name="Hiperłącze" xfId="649" builtinId="8" hidden="1"/>
    <cellStyle name="Hiperłącze" xfId="651" builtinId="8" hidden="1"/>
    <cellStyle name="Hiperłącze" xfId="653" builtinId="8" hidden="1"/>
    <cellStyle name="Hiperłącze" xfId="655" builtinId="8" hidden="1"/>
    <cellStyle name="Hiperłącze" xfId="657" builtinId="8" hidden="1"/>
    <cellStyle name="Hiperłącze" xfId="659" builtinId="8" hidden="1"/>
    <cellStyle name="Hiperłącze" xfId="661" builtinId="8" hidden="1"/>
    <cellStyle name="Hiperłącze" xfId="663" builtinId="8" hidden="1"/>
    <cellStyle name="Hiperłącze" xfId="665" builtinId="8" hidden="1"/>
    <cellStyle name="Hiperłącze" xfId="667" builtinId="8" hidden="1"/>
    <cellStyle name="Hiperłącze" xfId="669" builtinId="8" hidden="1"/>
    <cellStyle name="Hiperłącze" xfId="671" builtinId="8" hidden="1"/>
    <cellStyle name="Hiperłącze" xfId="673" builtinId="8" hidden="1"/>
    <cellStyle name="Hiperłącze" xfId="675" builtinId="8" hidden="1"/>
    <cellStyle name="Hiperłącze" xfId="677" builtinId="8" hidden="1"/>
    <cellStyle name="Hiperłącze" xfId="679" builtinId="8" hidden="1"/>
    <cellStyle name="Hiperłącze" xfId="681" builtinId="8" hidden="1"/>
    <cellStyle name="Hiperłącze" xfId="683" builtinId="8" hidden="1"/>
    <cellStyle name="Hiperłącze" xfId="685" builtinId="8" hidden="1"/>
    <cellStyle name="Hiperłącze" xfId="687" builtinId="8" hidden="1"/>
    <cellStyle name="Hiperłącze" xfId="689" builtinId="8" hidden="1"/>
    <cellStyle name="Hiperłącze" xfId="691" builtinId="8" hidden="1"/>
    <cellStyle name="Hiperłącze" xfId="693" builtinId="8" hidden="1"/>
    <cellStyle name="Hiperłącze" xfId="695" builtinId="8" hidden="1"/>
    <cellStyle name="Hiperłącze" xfId="697" builtinId="8" hidden="1"/>
    <cellStyle name="Hiperłącze" xfId="699" builtinId="8" hidden="1"/>
    <cellStyle name="Hiperłącze" xfId="701" builtinId="8" hidden="1"/>
    <cellStyle name="Hiperłącze" xfId="703" builtinId="8" hidden="1"/>
    <cellStyle name="Hiperłącze" xfId="705" builtinId="8" hidden="1"/>
    <cellStyle name="Hiperłącze" xfId="707" builtinId="8" hidden="1"/>
    <cellStyle name="Hiperłącze" xfId="709" builtinId="8" hidden="1"/>
    <cellStyle name="Hiperłącze" xfId="711" builtinId="8" hidden="1"/>
    <cellStyle name="Hiperłącze" xfId="713" builtinId="8" hidden="1"/>
    <cellStyle name="Hiperłącze" xfId="715" builtinId="8" hidden="1"/>
    <cellStyle name="Hiperłącze" xfId="717" builtinId="8" hidden="1"/>
    <cellStyle name="Hiperłącze" xfId="719" builtinId="8" hidden="1"/>
    <cellStyle name="Hiperłącze" xfId="721" builtinId="8" hidden="1"/>
    <cellStyle name="Hiperłącze" xfId="723" builtinId="8" hidden="1"/>
    <cellStyle name="Hiperłącze" xfId="725" builtinId="8" hidden="1"/>
    <cellStyle name="Hiperłącze" xfId="727" builtinId="8" hidden="1"/>
    <cellStyle name="Hiperłącze" xfId="729" builtinId="8" hidden="1"/>
    <cellStyle name="Hiperłącze" xfId="731" builtinId="8" hidden="1"/>
    <cellStyle name="Hiperłącze" xfId="733" builtinId="8" hidden="1"/>
    <cellStyle name="Hiperłącze" xfId="735" builtinId="8" hidden="1"/>
    <cellStyle name="Hiperłącze" xfId="737" builtinId="8" hidden="1"/>
    <cellStyle name="Hiperłącze" xfId="739" builtinId="8" hidden="1"/>
    <cellStyle name="Hiperłącze" xfId="741" builtinId="8" hidden="1"/>
    <cellStyle name="Hiperłącze" xfId="743" builtinId="8" hidden="1"/>
    <cellStyle name="Hiperłącze" xfId="745" builtinId="8" hidden="1"/>
    <cellStyle name="Hiperłącze" xfId="747" builtinId="8" hidden="1"/>
    <cellStyle name="Hiperłącze" xfId="749" builtinId="8" hidden="1"/>
    <cellStyle name="Hiperłącze" xfId="751" builtinId="8" hidden="1"/>
    <cellStyle name="Hiperłącze" xfId="753" builtinId="8" hidden="1"/>
    <cellStyle name="Hiperłącze" xfId="755" builtinId="8" hidden="1"/>
    <cellStyle name="Hiperłącze" xfId="757" builtinId="8" hidden="1"/>
    <cellStyle name="Hiperłącze" xfId="759" builtinId="8" hidden="1"/>
    <cellStyle name="Hiperłącze" xfId="761" builtinId="8" hidden="1"/>
    <cellStyle name="Hiperłącze" xfId="763" builtinId="8" hidden="1"/>
    <cellStyle name="Hiperłącze" xfId="765" builtinId="8" hidden="1"/>
    <cellStyle name="Hiperłącze" xfId="767" builtinId="8" hidden="1"/>
    <cellStyle name="Hiperłącze" xfId="769" builtinId="8" hidden="1"/>
    <cellStyle name="Hiperłącze" xfId="771" builtinId="8" hidden="1"/>
    <cellStyle name="Hiperłącze" xfId="773" builtinId="8" hidden="1"/>
    <cellStyle name="Hiperłącze" xfId="775" builtinId="8" hidden="1"/>
    <cellStyle name="Hiperłącze" xfId="777" builtinId="8" hidden="1"/>
    <cellStyle name="Hiperłącze" xfId="779" builtinId="8" hidden="1"/>
    <cellStyle name="Hiperłącze" xfId="781" builtinId="8" hidden="1"/>
    <cellStyle name="Hiperłącze" xfId="783" builtinId="8" hidden="1"/>
    <cellStyle name="Hiperłącze" xfId="785" builtinId="8" hidden="1"/>
    <cellStyle name="Hiperłącze" xfId="787" builtinId="8" hidden="1"/>
    <cellStyle name="Hiperłącze" xfId="789" builtinId="8" hidden="1"/>
    <cellStyle name="Hiperłącze" xfId="791" builtinId="8" hidden="1"/>
    <cellStyle name="Hiperłącze" xfId="793" builtinId="8" hidden="1"/>
    <cellStyle name="Hiperłącze" xfId="795" builtinId="8" hidden="1"/>
    <cellStyle name="Hiperłącze" xfId="797" builtinId="8" hidden="1"/>
    <cellStyle name="Hiperłącze" xfId="799" builtinId="8" hidden="1"/>
    <cellStyle name="Hiperłącze" xfId="801" builtinId="8" hidden="1"/>
    <cellStyle name="Hiperłącze" xfId="803" builtinId="8" hidden="1"/>
    <cellStyle name="Hiperłącze" xfId="805" builtinId="8" hidden="1"/>
    <cellStyle name="Hiperłącze" xfId="807" builtinId="8" hidden="1"/>
    <cellStyle name="Hiperłącze" xfId="809" builtinId="8" hidden="1"/>
    <cellStyle name="Hiperłącze" xfId="811" builtinId="8" hidden="1"/>
    <cellStyle name="Hiperłącze" xfId="813" builtinId="8" hidden="1"/>
    <cellStyle name="Hiperłącze" xfId="815" builtinId="8" hidden="1"/>
    <cellStyle name="Hiperłącze" xfId="817" builtinId="8" hidden="1"/>
    <cellStyle name="Hiperłącze" xfId="819" builtinId="8" hidden="1"/>
    <cellStyle name="Hiperłącze" xfId="821" builtinId="8" hidden="1"/>
    <cellStyle name="Hiperłącze" xfId="823" builtinId="8" hidden="1"/>
    <cellStyle name="Hiperłącze" xfId="825" builtinId="8" hidden="1"/>
    <cellStyle name="Hiperłącze" xfId="827" builtinId="8" hidden="1"/>
    <cellStyle name="Hiperłącze" xfId="829" builtinId="8" hidden="1"/>
    <cellStyle name="Hiperłącze" xfId="831" builtinId="8" hidden="1"/>
    <cellStyle name="Hiperłącze" xfId="833" builtinId="8" hidden="1"/>
    <cellStyle name="Hiperłącze" xfId="835" builtinId="8" hidden="1"/>
    <cellStyle name="Hiperłącze" xfId="837" builtinId="8" hidden="1"/>
    <cellStyle name="Hiperłącze" xfId="839" builtinId="8" hidden="1"/>
    <cellStyle name="Hiperłącze" xfId="841" builtinId="8" hidden="1"/>
    <cellStyle name="Hiperłącze" xfId="843" builtinId="8" hidden="1"/>
    <cellStyle name="Hiperłącze" xfId="845" builtinId="8" hidden="1"/>
    <cellStyle name="Hiperłącze" xfId="847" builtinId="8" hidden="1"/>
    <cellStyle name="Hiperłącze" xfId="849" builtinId="8" hidden="1"/>
    <cellStyle name="Hiperłącze" xfId="851" builtinId="8" hidden="1"/>
    <cellStyle name="Hiperłącze" xfId="853" builtinId="8" hidden="1"/>
    <cellStyle name="Hiperłącze" xfId="855" builtinId="8" hidden="1"/>
    <cellStyle name="Hiperłącze" xfId="857" builtinId="8" hidden="1"/>
    <cellStyle name="Hiperłącze" xfId="859" builtinId="8" hidden="1"/>
    <cellStyle name="Hiperłącze" xfId="861" builtinId="8" hidden="1"/>
    <cellStyle name="Hiperłącze" xfId="863" builtinId="8" hidden="1"/>
    <cellStyle name="Hiperłącze" xfId="865" builtinId="8" hidden="1"/>
    <cellStyle name="Hiperłącze" xfId="867" builtinId="8" hidden="1"/>
    <cellStyle name="Hiperłącze" xfId="869" builtinId="8" hidden="1"/>
    <cellStyle name="Hiperłącze" xfId="871" builtinId="8" hidden="1"/>
    <cellStyle name="Hiperłącze" xfId="873" builtinId="8" hidden="1"/>
    <cellStyle name="Hiperłącze" xfId="875" builtinId="8" hidden="1"/>
    <cellStyle name="Hiperłącze" xfId="877" builtinId="8" hidden="1"/>
    <cellStyle name="Hiperłącze" xfId="879" builtinId="8" hidden="1"/>
    <cellStyle name="Hiperłącze" xfId="881" builtinId="8" hidden="1"/>
    <cellStyle name="Hiperłącze" xfId="883" builtinId="8" hidden="1"/>
    <cellStyle name="Hiperłącze" xfId="885" builtinId="8" hidden="1"/>
    <cellStyle name="Hiperłącze" xfId="887" builtinId="8" hidden="1"/>
    <cellStyle name="Hiperłącze" xfId="889" builtinId="8" hidden="1"/>
    <cellStyle name="Hiperłącze" xfId="891" builtinId="8" hidden="1"/>
    <cellStyle name="Hiperłącze" xfId="893" builtinId="8" hidden="1"/>
    <cellStyle name="Hiperłącze" xfId="895" builtinId="8" hidden="1"/>
    <cellStyle name="Hiperłącze" xfId="897" builtinId="8" hidden="1"/>
    <cellStyle name="Hiperłącze" xfId="899" builtinId="8" hidden="1"/>
    <cellStyle name="Hiperłącze" xfId="901" builtinId="8" hidden="1"/>
    <cellStyle name="Hiperłącze" xfId="903" builtinId="8" hidden="1"/>
    <cellStyle name="Hiperłącze" xfId="905" builtinId="8" hidden="1"/>
    <cellStyle name="Hiperłącze" xfId="907" builtinId="8" hidden="1"/>
    <cellStyle name="Hiperłącze" xfId="909" builtinId="8" hidden="1"/>
    <cellStyle name="Hiperłącze" xfId="911" builtinId="8" hidden="1"/>
    <cellStyle name="Hiperłącze" xfId="913" builtinId="8" hidden="1"/>
    <cellStyle name="Hiperłącze" xfId="915" builtinId="8" hidden="1"/>
    <cellStyle name="Hiperłącze" xfId="917" builtinId="8" hidden="1"/>
    <cellStyle name="Hiperłącze" xfId="919" builtinId="8" hidden="1"/>
    <cellStyle name="Hiperłącze" xfId="921" builtinId="8" hidden="1"/>
    <cellStyle name="Hiperłącze" xfId="923" builtinId="8" hidden="1"/>
    <cellStyle name="Hiperłącze" xfId="925" builtinId="8" hidden="1"/>
    <cellStyle name="Hiperłącze" xfId="927" builtinId="8" hidden="1"/>
    <cellStyle name="Hiperłącze" xfId="929" builtinId="8" hidden="1"/>
    <cellStyle name="Hiperłącze" xfId="931" builtinId="8" hidden="1"/>
    <cellStyle name="Hiperłącze" xfId="933" builtinId="8" hidden="1"/>
    <cellStyle name="Hiperłącze" xfId="935" builtinId="8" hidden="1"/>
    <cellStyle name="Hiperłącze" xfId="937" builtinId="8" hidden="1"/>
    <cellStyle name="Hiperłącze" xfId="939" builtinId="8" hidden="1"/>
    <cellStyle name="Hiperłącze" xfId="941" builtinId="8" hidden="1"/>
    <cellStyle name="Hiperłącze" xfId="943" builtinId="8" hidden="1"/>
    <cellStyle name="Hiperłącze" xfId="945" builtinId="8" hidden="1"/>
    <cellStyle name="Hiperłącze" xfId="947" builtinId="8" hidden="1"/>
    <cellStyle name="Hiperłącze" xfId="949" builtinId="8" hidden="1"/>
    <cellStyle name="Hiperłącze" xfId="951" builtinId="8" hidden="1"/>
    <cellStyle name="Hiperłącze" xfId="953" builtinId="8" hidden="1"/>
    <cellStyle name="Hiperłącze" xfId="955" builtinId="8" hidden="1"/>
    <cellStyle name="Hiperłącze" xfId="957" builtinId="8" hidden="1"/>
    <cellStyle name="Hiperłącze" xfId="959" builtinId="8" hidden="1"/>
    <cellStyle name="Hiperłącze" xfId="961" builtinId="8" hidden="1"/>
    <cellStyle name="Hiperłącze" xfId="963" builtinId="8" hidden="1"/>
    <cellStyle name="Hiperłącze" xfId="965" builtinId="8" hidden="1"/>
    <cellStyle name="Hiperłącze" xfId="967" builtinId="8" hidden="1"/>
    <cellStyle name="Hiperłącze" xfId="969" builtinId="8" hidden="1"/>
    <cellStyle name="Hiperłącze" xfId="971" builtinId="8" hidden="1"/>
    <cellStyle name="Hiperłącze" xfId="973" builtinId="8" hidden="1"/>
    <cellStyle name="Hiperłącze" xfId="975" builtinId="8" hidden="1"/>
    <cellStyle name="Hiperłącze" xfId="977" builtinId="8" hidden="1"/>
    <cellStyle name="Hiperłącze" xfId="979" builtinId="8" hidden="1"/>
    <cellStyle name="Hiperłącze" xfId="981" builtinId="8" hidden="1"/>
    <cellStyle name="Hiperłącze" xfId="983" builtinId="8" hidden="1"/>
    <cellStyle name="Hiperłącze" xfId="985" builtinId="8" hidden="1"/>
    <cellStyle name="Hiperłącze" xfId="987" builtinId="8" hidden="1"/>
    <cellStyle name="Hiperłącze" xfId="989" builtinId="8" hidden="1"/>
    <cellStyle name="Hiperłącze" xfId="991" builtinId="8" hidden="1"/>
    <cellStyle name="Hiperłącze" xfId="993" builtinId="8" hidden="1"/>
    <cellStyle name="Hiperłącze" xfId="995" builtinId="8" hidden="1"/>
    <cellStyle name="Hiperłącze" xfId="997" builtinId="8" hidden="1"/>
    <cellStyle name="Hiperłącze" xfId="999" builtinId="8" hidden="1"/>
    <cellStyle name="Hiperłącze" xfId="1001" builtinId="8" hidden="1"/>
    <cellStyle name="Hiperłącze" xfId="1003" builtinId="8" hidden="1"/>
    <cellStyle name="Hiperłącze" xfId="1005" builtinId="8" hidden="1"/>
    <cellStyle name="Hiperłącze" xfId="1007" builtinId="8" hidden="1"/>
    <cellStyle name="Hiperłącze" xfId="1009" builtinId="8" hidden="1"/>
    <cellStyle name="Hiperłącze" xfId="1011" builtinId="8" hidden="1"/>
    <cellStyle name="Hiperłącze" xfId="1013" builtinId="8" hidden="1"/>
    <cellStyle name="Hiperłącze" xfId="1015" builtinId="8" hidden="1"/>
    <cellStyle name="Hiperłącze" xfId="1017" builtinId="8" hidden="1"/>
    <cellStyle name="Hiperłącze" xfId="1019" builtinId="8" hidden="1"/>
    <cellStyle name="Hiperłącze" xfId="1021" builtinId="8" hidden="1"/>
    <cellStyle name="Hiperłącze" xfId="1023" builtinId="8" hidden="1"/>
    <cellStyle name="Hiperłącze" xfId="1025" builtinId="8" hidden="1"/>
    <cellStyle name="Hiperłącze" xfId="1027" builtinId="8" hidden="1"/>
    <cellStyle name="Hiperłącze" xfId="1029" builtinId="8" hidden="1"/>
    <cellStyle name="Hiperłącze" xfId="1031" builtinId="8" hidden="1"/>
    <cellStyle name="Hiperłącze" xfId="1033" builtinId="8" hidden="1"/>
    <cellStyle name="Hiperłącze" xfId="1035" builtinId="8" hidden="1"/>
    <cellStyle name="Hiperłącze" xfId="1037" builtinId="8" hidden="1"/>
    <cellStyle name="Hiperłącze" xfId="1039" builtinId="8" hidden="1"/>
    <cellStyle name="Hiperłącze" xfId="1041" builtinId="8" hidden="1"/>
    <cellStyle name="Hiperłącze" xfId="1043" builtinId="8" hidden="1"/>
    <cellStyle name="Hiperłącze" xfId="1045" builtinId="8" hidden="1"/>
    <cellStyle name="Hiperłącze" xfId="1047" builtinId="8" hidden="1"/>
    <cellStyle name="Hiperłącze" xfId="1049" builtinId="8" hidden="1"/>
    <cellStyle name="Hiperłącze" xfId="1051" builtinId="8" hidden="1"/>
    <cellStyle name="Hiperłącze" xfId="1053" builtinId="8" hidden="1"/>
    <cellStyle name="Hiperłącze" xfId="1055" builtinId="8" hidden="1"/>
    <cellStyle name="Hiperłącze" xfId="1057" builtinId="8" hidden="1"/>
    <cellStyle name="Hiperłącze" xfId="1059" builtinId="8" hidden="1"/>
    <cellStyle name="Hiperłącze" xfId="1061" builtinId="8" hidden="1"/>
    <cellStyle name="Hiperłącze" xfId="1063" builtinId="8" hidden="1"/>
    <cellStyle name="Hiperłącze" xfId="1065" builtinId="8" hidden="1"/>
    <cellStyle name="Hiperłącze" xfId="1067" builtinId="8" hidden="1"/>
    <cellStyle name="Hiperłącze" xfId="1069" builtinId="8" hidden="1"/>
    <cellStyle name="Hiperłącze" xfId="1071" builtinId="8" hidden="1"/>
    <cellStyle name="Hiperłącze" xfId="1073" builtinId="8" hidden="1"/>
    <cellStyle name="Hiperłącze" xfId="1075" builtinId="8" hidden="1"/>
    <cellStyle name="Hiperłącze" xfId="1077" builtinId="8" hidden="1"/>
    <cellStyle name="Hiperłącze" xfId="1079" builtinId="8" hidden="1"/>
    <cellStyle name="Hiperłącze" xfId="1081" builtinId="8" hidden="1"/>
    <cellStyle name="Hiperłącze" xfId="1083" builtinId="8" hidden="1"/>
    <cellStyle name="Hiperłącze" xfId="1085" builtinId="8" hidden="1"/>
    <cellStyle name="Hiperłącze" xfId="1087" builtinId="8" hidden="1"/>
    <cellStyle name="Hiperłącze" xfId="1089" builtinId="8" hidden="1"/>
    <cellStyle name="Hiperłącze" xfId="1091" builtinId="8" hidden="1"/>
    <cellStyle name="Hiperłącze" xfId="1093" builtinId="8" hidden="1"/>
    <cellStyle name="Hiperłącze" xfId="1095" builtinId="8" hidden="1"/>
    <cellStyle name="Hiperłącze" xfId="1097" builtinId="8" hidden="1"/>
    <cellStyle name="Hiperłącze" xfId="1099" builtinId="8" hidden="1"/>
    <cellStyle name="Hiperłącze" xfId="1101" builtinId="8" hidden="1"/>
    <cellStyle name="Hiperłącze" xfId="1103" builtinId="8" hidden="1"/>
    <cellStyle name="Hiperłącze" xfId="1105" builtinId="8" hidden="1"/>
    <cellStyle name="Hiperłącze" xfId="1107" builtinId="8" hidden="1"/>
    <cellStyle name="Hiperłącze" xfId="1109" builtinId="8" hidden="1"/>
    <cellStyle name="Hiperłącze" xfId="1111" builtinId="8" hidden="1"/>
    <cellStyle name="Hiperłącze" xfId="1113" builtinId="8" hidden="1"/>
    <cellStyle name="Hiperłącze" xfId="1115" builtinId="8" hidden="1"/>
    <cellStyle name="Hiperłącze" xfId="1117" builtinId="8" hidden="1"/>
    <cellStyle name="Hiperłącze" xfId="1119" builtinId="8" hidden="1"/>
    <cellStyle name="Hiperłącze" xfId="1121" builtinId="8" hidden="1"/>
    <cellStyle name="Hiperłącze" xfId="1123" builtinId="8" hidden="1"/>
    <cellStyle name="Hiperłącze" xfId="1125" builtinId="8" hidden="1"/>
    <cellStyle name="Hiperłącze" xfId="1127" builtinId="8" hidden="1"/>
    <cellStyle name="Hiperłącze" xfId="1129" builtinId="8" hidden="1"/>
    <cellStyle name="Hiperłącze" xfId="1131" builtinId="8" hidden="1"/>
    <cellStyle name="Hiperłącze" xfId="1133" builtinId="8" hidden="1"/>
    <cellStyle name="Hiperłącze" xfId="1135" builtinId="8" hidden="1"/>
    <cellStyle name="Hiperłącze" xfId="1137" builtinId="8" hidden="1"/>
    <cellStyle name="Hiperłącze" xfId="1139" builtinId="8" hidden="1"/>
    <cellStyle name="Hiperłącze" xfId="1141" builtinId="8" hidden="1"/>
    <cellStyle name="Hiperłącze" xfId="1143" builtinId="8" hidden="1"/>
    <cellStyle name="Hiperłącze" xfId="1145" builtinId="8" hidden="1"/>
    <cellStyle name="Hiperłącze" xfId="1147" builtinId="8" hidden="1"/>
    <cellStyle name="Hiperłącze" xfId="1149" builtinId="8" hidden="1"/>
    <cellStyle name="Hiperłącze" xfId="1151" builtinId="8" hidden="1"/>
    <cellStyle name="Hiperłącze" xfId="1153" builtinId="8" hidden="1"/>
    <cellStyle name="Hiperłącze" xfId="1155" builtinId="8" hidden="1"/>
    <cellStyle name="Hiperłącze" xfId="1157" builtinId="8" hidden="1"/>
    <cellStyle name="Hiperłącze" xfId="1159" builtinId="8" hidden="1"/>
    <cellStyle name="Hiperłącze" xfId="1161" builtinId="8" hidden="1"/>
    <cellStyle name="Hiperłącze" xfId="1163" builtinId="8" hidden="1"/>
    <cellStyle name="Hiperłącze" xfId="1165" builtinId="8" hidden="1"/>
    <cellStyle name="Hiperłącze" xfId="1167" builtinId="8" hidden="1"/>
    <cellStyle name="Hiperłącze" xfId="1169" builtinId="8" hidden="1"/>
    <cellStyle name="Hiperłącze" xfId="1171" builtinId="8" hidden="1"/>
    <cellStyle name="Hiperłącze" xfId="1173" builtinId="8" hidden="1"/>
    <cellStyle name="Hiperłącze" xfId="1175" builtinId="8" hidden="1"/>
    <cellStyle name="Hiperłącze" xfId="1177" builtinId="8" hidden="1"/>
    <cellStyle name="Hiperłącze" xfId="1179" builtinId="8" hidden="1"/>
    <cellStyle name="Hiperłącze" xfId="1181" builtinId="8" hidden="1"/>
    <cellStyle name="Hiperłącze" xfId="1183" builtinId="8" hidden="1"/>
    <cellStyle name="Hiperłącze" xfId="1185" builtinId="8" hidden="1"/>
    <cellStyle name="Hiperłącze" xfId="1187" builtinId="8" hidden="1"/>
    <cellStyle name="Hiperłącze" xfId="1189" builtinId="8" hidden="1"/>
    <cellStyle name="Hiperłącze" xfId="1191" builtinId="8" hidden="1"/>
    <cellStyle name="Hiperłącze" xfId="1193" builtinId="8" hidden="1"/>
    <cellStyle name="Hiperłącze" xfId="1195" builtinId="8" hidden="1"/>
    <cellStyle name="Hiperłącze" xfId="1197" builtinId="8" hidden="1"/>
    <cellStyle name="Hiperłącze" xfId="1199" builtinId="8" hidden="1"/>
    <cellStyle name="Hiperłącze" xfId="1201" builtinId="8" hidden="1"/>
    <cellStyle name="Hiperłącze" xfId="1203" builtinId="8" hidden="1"/>
    <cellStyle name="Hiperłącze" xfId="1205" builtinId="8" hidden="1"/>
    <cellStyle name="Hiperłącze" xfId="1207" builtinId="8" hidden="1"/>
    <cellStyle name="Hiperłącze" xfId="1209" builtinId="8" hidden="1"/>
    <cellStyle name="Hiperłącze" xfId="1211" builtinId="8" hidden="1"/>
    <cellStyle name="Hiperłącze" xfId="1213" builtinId="8" hidden="1"/>
    <cellStyle name="Hiperłącze" xfId="1215" builtinId="8" hidden="1"/>
    <cellStyle name="Hiperłącze" xfId="1217" builtinId="8" hidden="1"/>
    <cellStyle name="Hiperłącze" xfId="1219" builtinId="8" hidden="1"/>
    <cellStyle name="Hiperłącze" xfId="1221" builtinId="8" hidden="1"/>
    <cellStyle name="Hiperłącze" xfId="1223" builtinId="8" hidden="1"/>
    <cellStyle name="Hiperłącze" xfId="1225" builtinId="8" hidden="1"/>
    <cellStyle name="Hiperłącze" xfId="1227" builtinId="8" hidden="1"/>
    <cellStyle name="Hiperłącze" xfId="1229" builtinId="8" hidden="1"/>
    <cellStyle name="Hiperłącze" xfId="1231" builtinId="8" hidden="1"/>
    <cellStyle name="Hiperłącze" xfId="1233" builtinId="8" hidden="1"/>
    <cellStyle name="Hiperłącze" xfId="1235" builtinId="8" hidden="1"/>
    <cellStyle name="Hiperłącze" xfId="1237" builtinId="8" hidden="1"/>
    <cellStyle name="Hiperłącze" xfId="1239" builtinId="8" hidden="1"/>
    <cellStyle name="Hiperłącze" xfId="1241" builtinId="8" hidden="1"/>
    <cellStyle name="Hiperłącze" xfId="1243" builtinId="8" hidden="1"/>
    <cellStyle name="Hiperłącze" xfId="1245" builtinId="8" hidden="1"/>
    <cellStyle name="Hiperłącze" xfId="1247" builtinId="8" hidden="1"/>
    <cellStyle name="Hiperłącze" xfId="1249" builtinId="8" hidden="1"/>
    <cellStyle name="Hiperłącze" xfId="1251" builtinId="8" hidden="1"/>
    <cellStyle name="Hiperłącze" xfId="1253" builtinId="8" hidden="1"/>
    <cellStyle name="Hiperłącze" xfId="1255" builtinId="8" hidden="1"/>
    <cellStyle name="Hiperłącze" xfId="1257" builtinId="8" hidden="1"/>
    <cellStyle name="Hiperłącze" xfId="1259" builtinId="8" hidden="1"/>
    <cellStyle name="Hiperłącze" xfId="1261" builtinId="8" hidden="1"/>
    <cellStyle name="Hiperłącze" xfId="1263" builtinId="8" hidden="1"/>
    <cellStyle name="Hiperłącze" xfId="1265" builtinId="8" hidden="1"/>
    <cellStyle name="Hiperłącze" xfId="1267" builtinId="8" hidden="1"/>
    <cellStyle name="Hiperłącze" xfId="1269" builtinId="8" hidden="1"/>
    <cellStyle name="Hiperłącze" xfId="1271" builtinId="8" hidden="1"/>
    <cellStyle name="Hiperłącze" xfId="1273" builtinId="8" hidden="1"/>
    <cellStyle name="Hiperłącze" xfId="1275" builtinId="8" hidden="1"/>
    <cellStyle name="Hiperłącze" xfId="1277" builtinId="8" hidden="1"/>
    <cellStyle name="Hiperłącze" xfId="1279" builtinId="8" hidden="1"/>
    <cellStyle name="Hiperłącze" xfId="1281" builtinId="8" hidden="1"/>
    <cellStyle name="Hiperłącze" xfId="1283" builtinId="8" hidden="1"/>
    <cellStyle name="Hiperłącze" xfId="1285" builtinId="8" hidden="1"/>
    <cellStyle name="Hiperłącze" xfId="1287" builtinId="8" hidden="1"/>
    <cellStyle name="Hiperłącze" xfId="1289" builtinId="8" hidden="1"/>
    <cellStyle name="Hiperłącze" xfId="1291" builtinId="8" hidden="1"/>
    <cellStyle name="Hiperłącze" xfId="1293" builtinId="8" hidden="1"/>
    <cellStyle name="Hiperłącze" xfId="1295" builtinId="8" hidden="1"/>
    <cellStyle name="Hiperłącze" xfId="1297" builtinId="8" hidden="1"/>
    <cellStyle name="Hiperłącze" xfId="1299" builtinId="8" hidden="1"/>
    <cellStyle name="Hiperłącze" xfId="1301" builtinId="8" hidden="1"/>
    <cellStyle name="Hiperłącze" xfId="1303" builtinId="8" hidden="1"/>
    <cellStyle name="Hiperłącze" xfId="1305" builtinId="8" hidden="1"/>
    <cellStyle name="Hiperłącze" xfId="1307" builtinId="8" hidden="1"/>
    <cellStyle name="Hiperłącze" xfId="1309" builtinId="8" hidden="1"/>
    <cellStyle name="Hiperłącze" xfId="1311" builtinId="8" hidden="1"/>
    <cellStyle name="Hiperłącze" xfId="1313" builtinId="8" hidden="1"/>
    <cellStyle name="Hiperłącze" xfId="1315" builtinId="8" hidden="1"/>
    <cellStyle name="Hiperłącze" xfId="1317" builtinId="8" hidden="1"/>
    <cellStyle name="Hiperłącze" xfId="1319" builtinId="8" hidden="1"/>
    <cellStyle name="Hiperłącze" xfId="1321" builtinId="8" hidden="1"/>
    <cellStyle name="Hiperłącze" xfId="1323" builtinId="8" hidden="1"/>
    <cellStyle name="Hiperłącze" xfId="1325" builtinId="8" hidden="1"/>
    <cellStyle name="Hiperłącze" xfId="1327" builtinId="8" hidden="1"/>
    <cellStyle name="Hiperłącze" xfId="1329" builtinId="8" hidden="1"/>
    <cellStyle name="Hiperłącze" xfId="1331" builtinId="8" hidden="1"/>
    <cellStyle name="Hiperłącze" xfId="1333" builtinId="8" hidden="1"/>
    <cellStyle name="Hiperłącze" xfId="1335" builtinId="8" hidden="1"/>
    <cellStyle name="Hiperłącze" xfId="1337" builtinId="8" hidden="1"/>
    <cellStyle name="Hiperłącze" xfId="1339" builtinId="8" hidden="1"/>
    <cellStyle name="Hiperłącze" xfId="1341" builtinId="8" hidden="1"/>
    <cellStyle name="Hiperłącze" xfId="1343" builtinId="8" hidden="1"/>
    <cellStyle name="Hiperłącze" xfId="1345" builtinId="8" hidden="1"/>
    <cellStyle name="Hiperłącze" xfId="1347" builtinId="8" hidden="1"/>
    <cellStyle name="Hiperłącze" xfId="1349" builtinId="8" hidden="1"/>
    <cellStyle name="Hiperłącze" xfId="1351" builtinId="8" hidden="1"/>
    <cellStyle name="Hiperłącze" xfId="1353" builtinId="8" hidden="1"/>
    <cellStyle name="Hiperłącze" xfId="1355" builtinId="8" hidden="1"/>
    <cellStyle name="Hiperłącze" xfId="1357" builtinId="8" hidden="1"/>
    <cellStyle name="Hiperłącze" xfId="1359" builtinId="8" hidden="1"/>
    <cellStyle name="Hiperłącze" xfId="1361" builtinId="8" hidden="1"/>
    <cellStyle name="Hiperłącze" xfId="1363" builtinId="8" hidden="1"/>
    <cellStyle name="Hiperłącze" xfId="1365" builtinId="8" hidden="1"/>
    <cellStyle name="Hiperłącze" xfId="1367" builtinId="8" hidden="1"/>
    <cellStyle name="Hiperłącze" xfId="1369" builtinId="8" hidden="1"/>
    <cellStyle name="Hiperłącze" xfId="1371" builtinId="8" hidden="1"/>
    <cellStyle name="Hiperłącze" xfId="1373" builtinId="8" hidden="1"/>
    <cellStyle name="Hiperłącze" xfId="1375" builtinId="8" hidden="1"/>
    <cellStyle name="Hiperłącze" xfId="1377" builtinId="8" hidden="1"/>
    <cellStyle name="Hiperłącze" xfId="1379" builtinId="8" hidden="1"/>
    <cellStyle name="Hiperłącze" xfId="1381" builtinId="8" hidden="1"/>
    <cellStyle name="Hiperłącze" xfId="1383" builtinId="8" hidden="1"/>
    <cellStyle name="Hiperłącze" xfId="1385" builtinId="8" hidden="1"/>
    <cellStyle name="Hiperłącze" xfId="1387" builtinId="8" hidden="1"/>
    <cellStyle name="Hiperłącze" xfId="1389" builtinId="8" hidden="1"/>
    <cellStyle name="Hiperłącze" xfId="1391" builtinId="8" hidden="1"/>
    <cellStyle name="Hiperłącze" xfId="1393" builtinId="8" hidden="1"/>
    <cellStyle name="Hiperłącze" xfId="1395" builtinId="8" hidden="1"/>
    <cellStyle name="Hiperłącze" xfId="1397" builtinId="8" hidden="1"/>
    <cellStyle name="Hiperłącze" xfId="1399" builtinId="8" hidden="1"/>
    <cellStyle name="Hiperłącze" xfId="1401" builtinId="8" hidden="1"/>
    <cellStyle name="Hiperłącze" xfId="1403" builtinId="8" hidden="1"/>
    <cellStyle name="Hiperłącze" xfId="1405" builtinId="8" hidden="1"/>
    <cellStyle name="Hiperłącze" xfId="1407" builtinId="8" hidden="1"/>
    <cellStyle name="Hiperłącze" xfId="1409" builtinId="8" hidden="1"/>
    <cellStyle name="Hiperłącze" xfId="1411" builtinId="8" hidden="1"/>
    <cellStyle name="Hiperłącze" xfId="1413" builtinId="8" hidden="1"/>
    <cellStyle name="Hiperłącze" xfId="1415" builtinId="8" hidden="1"/>
    <cellStyle name="Hiperłącze" xfId="1417" builtinId="8" hidden="1"/>
    <cellStyle name="Hiperłącze" xfId="1419" builtinId="8" hidden="1"/>
    <cellStyle name="Hiperłącze" xfId="1421" builtinId="8" hidden="1"/>
    <cellStyle name="Hiperłącze" xfId="1423" builtinId="8" hidden="1"/>
    <cellStyle name="Hiperłącze" xfId="1425" builtinId="8" hidden="1"/>
    <cellStyle name="Hiperłącze" xfId="1427" builtinId="8" hidden="1"/>
    <cellStyle name="Hiperłącze" xfId="1430" builtinId="8" hidden="1"/>
    <cellStyle name="Hiperłącze" xfId="1432" builtinId="8" hidden="1"/>
    <cellStyle name="Hiperłącze" xfId="1434" builtinId="8" hidden="1"/>
    <cellStyle name="Hiperłącze" xfId="1436" builtinId="8" hidden="1"/>
    <cellStyle name="Hiperłącze" xfId="1438" builtinId="8" hidden="1"/>
    <cellStyle name="Hiperłącze" xfId="1440" builtinId="8" hidden="1"/>
    <cellStyle name="Hiperłącze" xfId="1442" builtinId="8" hidden="1"/>
    <cellStyle name="Hiperłącze" xfId="1444" builtinId="8" hidden="1"/>
    <cellStyle name="Hiperłącze" xfId="1446" builtinId="8" hidden="1"/>
    <cellStyle name="Hiperłącze" xfId="1448" builtinId="8" hidden="1"/>
    <cellStyle name="Hiperłącze" xfId="1450" builtinId="8" hidden="1"/>
    <cellStyle name="Hiperłącze" xfId="1452" builtinId="8" hidden="1"/>
    <cellStyle name="Hiperłącze" xfId="1454" builtinId="8" hidden="1"/>
    <cellStyle name="Hiperłącze" xfId="1456" builtinId="8" hidden="1"/>
    <cellStyle name="Hiperłącze" xfId="1458" builtinId="8" hidden="1"/>
    <cellStyle name="Hiperłącze" xfId="1460" builtinId="8" hidden="1"/>
    <cellStyle name="Hiperłącze" xfId="1462" builtinId="8" hidden="1"/>
    <cellStyle name="Hiperłącze" xfId="1464" builtinId="8" hidden="1"/>
    <cellStyle name="Hiperłącze" xfId="1466" builtinId="8" hidden="1"/>
    <cellStyle name="Hiperłącze" xfId="1468" builtinId="8" hidden="1"/>
    <cellStyle name="Hiperłącze" xfId="1470" builtinId="8" hidden="1"/>
    <cellStyle name="Hiperłącze" xfId="1472" builtinId="8" hidden="1"/>
    <cellStyle name="Hiperłącze" xfId="1474" builtinId="8" hidden="1"/>
    <cellStyle name="Hiperłącze" xfId="1476" builtinId="8" hidden="1"/>
    <cellStyle name="Hiperłącze" xfId="1478" builtinId="8" hidden="1"/>
    <cellStyle name="Hiperłącze" xfId="1480" builtinId="8" hidden="1"/>
    <cellStyle name="Hiperłącze" xfId="1482" builtinId="8" hidden="1"/>
    <cellStyle name="Hiperłącze" xfId="1484" builtinId="8" hidden="1"/>
    <cellStyle name="Hiperłącze" xfId="1486" builtinId="8" hidden="1"/>
    <cellStyle name="Hiperłącze" xfId="1488" builtinId="8" hidden="1"/>
    <cellStyle name="Hiperłącze" xfId="1490" builtinId="8" hidden="1"/>
    <cellStyle name="Hiperłącze" xfId="1492" builtinId="8" hidden="1"/>
    <cellStyle name="Hiperłącze" xfId="1494" builtinId="8" hidden="1"/>
    <cellStyle name="Hiperłącze" xfId="1496" builtinId="8" hidden="1"/>
    <cellStyle name="Hiperłącze" xfId="1498" builtinId="8" hidden="1"/>
    <cellStyle name="Hiperłącze" xfId="1500" builtinId="8" hidden="1"/>
    <cellStyle name="Hiperłącze" xfId="1502" builtinId="8" hidden="1"/>
    <cellStyle name="Hiperłącze" xfId="1504" builtinId="8" hidden="1"/>
    <cellStyle name="Hiperłącze" xfId="1506" builtinId="8" hidden="1"/>
    <cellStyle name="Hiperłącze" xfId="1508" builtinId="8" hidden="1"/>
    <cellStyle name="Hiperłącze" xfId="1510" builtinId="8" hidden="1"/>
    <cellStyle name="Hiperłącze" xfId="1512" builtinId="8" hidden="1"/>
    <cellStyle name="Hiperłącze" xfId="1514" builtinId="8" hidden="1"/>
    <cellStyle name="Hiperłącze" xfId="1516" builtinId="8" hidden="1"/>
    <cellStyle name="Hiperłącze" xfId="1518" builtinId="8" hidden="1"/>
    <cellStyle name="Hiperłącze" xfId="1520" builtinId="8" hidden="1"/>
    <cellStyle name="Hiperłącze" xfId="1522" builtinId="8" hidden="1"/>
    <cellStyle name="Hiperłącze" xfId="1524" builtinId="8" hidden="1"/>
    <cellStyle name="Hiperłącze" xfId="1526" builtinId="8" hidden="1"/>
    <cellStyle name="Hiperłącze" xfId="1528" builtinId="8" hidden="1"/>
    <cellStyle name="Hiperłącze" xfId="1530" builtinId="8" hidden="1"/>
    <cellStyle name="Hiperłącze" xfId="1532" builtinId="8" hidden="1"/>
    <cellStyle name="Hiperłącze" xfId="1534" builtinId="8" hidden="1"/>
    <cellStyle name="Hiperłącze" xfId="1536" builtinId="8" hidden="1"/>
    <cellStyle name="Hiperłącze" xfId="1538" builtinId="8" hidden="1"/>
    <cellStyle name="Hiperłącze" xfId="1540" builtinId="8" hidden="1"/>
    <cellStyle name="Hiperłącze" xfId="1542" builtinId="8" hidden="1"/>
    <cellStyle name="Hiperłącze" xfId="1544" builtinId="8" hidden="1"/>
    <cellStyle name="Hiperłącze" xfId="1546" builtinId="8" hidden="1"/>
    <cellStyle name="Hiperłącze" xfId="1548" builtinId="8" hidden="1"/>
    <cellStyle name="Hiperłącze" xfId="1550" builtinId="8" hidden="1"/>
    <cellStyle name="Hiperłącze" xfId="1552" builtinId="8" hidden="1"/>
    <cellStyle name="Hiperłącze" xfId="1554" builtinId="8" hidden="1"/>
    <cellStyle name="Hiperłącze" xfId="1556" builtinId="8" hidden="1"/>
    <cellStyle name="Hiperłącze" xfId="1558" builtinId="8" hidden="1"/>
    <cellStyle name="Hiperłącze" xfId="1560" builtinId="8" hidden="1"/>
    <cellStyle name="Hiperłącze" xfId="1562" builtinId="8" hidden="1"/>
    <cellStyle name="Hiperłącze" xfId="1564" builtinId="8" hidden="1"/>
    <cellStyle name="Hiperłącze" xfId="1566" builtinId="8" hidden="1"/>
    <cellStyle name="Hiperłącze" xfId="1568" builtinId="8" hidden="1"/>
    <cellStyle name="Hiperłącze" xfId="1570" builtinId="8" hidden="1"/>
    <cellStyle name="Hiperłącze" xfId="1572" builtinId="8" hidden="1"/>
    <cellStyle name="Hiperłącze" xfId="1574" builtinId="8" hidden="1"/>
    <cellStyle name="Hiperłącze" xfId="1576" builtinId="8" hidden="1"/>
    <cellStyle name="Hiperłącze" xfId="1578" builtinId="8" hidden="1"/>
    <cellStyle name="Hiperłącze" xfId="1580" builtinId="8" hidden="1"/>
    <cellStyle name="Hiperłącze" xfId="1582" builtinId="8" hidden="1"/>
    <cellStyle name="Hiperłącze" xfId="1584" builtinId="8" hidden="1"/>
    <cellStyle name="Normal_Sheet1" xfId="1429"/>
    <cellStyle name="Standardowy" xfId="0" builtinId="0"/>
    <cellStyle name="Użyte hiperłącze" xfId="2" builtinId="9" hidden="1"/>
    <cellStyle name="Użyte hiperłącze" xfId="4" builtinId="9" hidden="1"/>
    <cellStyle name="Użyte hiperłącze" xfId="6" builtinId="9" hidden="1"/>
    <cellStyle name="Użyte hiperłącze" xfId="8" builtinId="9" hidden="1"/>
    <cellStyle name="Użyte hiperłącze" xfId="10" builtinId="9" hidden="1"/>
    <cellStyle name="Użyte hiperłącze" xfId="12" builtinId="9" hidden="1"/>
    <cellStyle name="Użyte hiperłącze" xfId="14" builtinId="9" hidden="1"/>
    <cellStyle name="Użyte hiperłącze" xfId="16" builtinId="9" hidden="1"/>
    <cellStyle name="Użyte hiperłącze" xfId="18" builtinId="9" hidden="1"/>
    <cellStyle name="Użyte hiperłącze" xfId="20" builtinId="9" hidden="1"/>
    <cellStyle name="Użyte hiperłącze" xfId="22" builtinId="9" hidden="1"/>
    <cellStyle name="Użyte hiperłącze" xfId="24" builtinId="9" hidden="1"/>
    <cellStyle name="Użyte hiperłącze" xfId="26" builtinId="9" hidden="1"/>
    <cellStyle name="Użyte hiperłącze" xfId="28" builtinId="9" hidden="1"/>
    <cellStyle name="Użyte hiperłącze" xfId="30" builtinId="9" hidden="1"/>
    <cellStyle name="Użyte hiperłącze" xfId="32" builtinId="9" hidden="1"/>
    <cellStyle name="Użyte hiperłącze" xfId="34" builtinId="9" hidden="1"/>
    <cellStyle name="Użyte hiperłącze" xfId="36" builtinId="9" hidden="1"/>
    <cellStyle name="Użyte hiperłącze" xfId="38" builtinId="9" hidden="1"/>
    <cellStyle name="Użyte hiperłącze" xfId="40" builtinId="9" hidden="1"/>
    <cellStyle name="Użyte hiperłącze" xfId="42" builtinId="9" hidden="1"/>
    <cellStyle name="Użyte hiperłącze" xfId="44" builtinId="9" hidden="1"/>
    <cellStyle name="Użyte hiperłącze" xfId="46" builtinId="9" hidden="1"/>
    <cellStyle name="Użyte hiperłącze" xfId="48" builtinId="9" hidden="1"/>
    <cellStyle name="Użyte hiperłącze" xfId="50" builtinId="9" hidden="1"/>
    <cellStyle name="Użyte hiperłącze" xfId="52" builtinId="9" hidden="1"/>
    <cellStyle name="Użyte hiperłącze" xfId="54" builtinId="9" hidden="1"/>
    <cellStyle name="Użyte hiperłącze" xfId="56" builtinId="9" hidden="1"/>
    <cellStyle name="Użyte hiperłącze" xfId="58" builtinId="9" hidden="1"/>
    <cellStyle name="Użyte hiperłącze" xfId="60" builtinId="9" hidden="1"/>
    <cellStyle name="Użyte hiperłącze" xfId="62" builtinId="9" hidden="1"/>
    <cellStyle name="Użyte hiperłącze" xfId="64" builtinId="9" hidden="1"/>
    <cellStyle name="Użyte hiperłącze" xfId="66" builtinId="9" hidden="1"/>
    <cellStyle name="Użyte hiperłącze" xfId="68" builtinId="9" hidden="1"/>
    <cellStyle name="Użyte hiperłącze" xfId="70" builtinId="9" hidden="1"/>
    <cellStyle name="Użyte hiperłącze" xfId="72" builtinId="9" hidden="1"/>
    <cellStyle name="Użyte hiperłącze" xfId="74" builtinId="9" hidden="1"/>
    <cellStyle name="Użyte hiperłącze" xfId="76" builtinId="9" hidden="1"/>
    <cellStyle name="Użyte hiperłącze" xfId="78" builtinId="9" hidden="1"/>
    <cellStyle name="Użyte hiperłącze" xfId="80" builtinId="9" hidden="1"/>
    <cellStyle name="Użyte hiperłącze" xfId="82" builtinId="9" hidden="1"/>
    <cellStyle name="Użyte hiperłącze" xfId="84" builtinId="9" hidden="1"/>
    <cellStyle name="Użyte hiperłącze" xfId="86" builtinId="9" hidden="1"/>
    <cellStyle name="Użyte hiperłącze" xfId="88" builtinId="9" hidden="1"/>
    <cellStyle name="Użyte hiperłącze" xfId="90" builtinId="9" hidden="1"/>
    <cellStyle name="Użyte hiperłącze" xfId="92" builtinId="9" hidden="1"/>
    <cellStyle name="Użyte hiperłącze" xfId="94" builtinId="9" hidden="1"/>
    <cellStyle name="Użyte hiperłącze" xfId="96" builtinId="9" hidden="1"/>
    <cellStyle name="Użyte hiperłącze" xfId="98" builtinId="9" hidden="1"/>
    <cellStyle name="Użyte hiperłącze" xfId="100" builtinId="9" hidden="1"/>
    <cellStyle name="Użyte hiperłącze" xfId="102" builtinId="9" hidden="1"/>
    <cellStyle name="Użyte hiperłącze" xfId="104" builtinId="9" hidden="1"/>
    <cellStyle name="Użyte hiperłącze" xfId="106" builtinId="9" hidden="1"/>
    <cellStyle name="Użyte hiperłącze" xfId="108" builtinId="9" hidden="1"/>
    <cellStyle name="Użyte hiperłącze" xfId="110" builtinId="9" hidden="1"/>
    <cellStyle name="Użyte hiperłącze" xfId="112" builtinId="9" hidden="1"/>
    <cellStyle name="Użyte hiperłącze" xfId="114" builtinId="9" hidden="1"/>
    <cellStyle name="Użyte hiperłącze" xfId="116" builtinId="9" hidden="1"/>
    <cellStyle name="Użyte hiperłącze" xfId="118" builtinId="9" hidden="1"/>
    <cellStyle name="Użyte hiperłącze" xfId="120" builtinId="9" hidden="1"/>
    <cellStyle name="Użyte hiperłącze" xfId="122" builtinId="9" hidden="1"/>
    <cellStyle name="Użyte hiperłącze" xfId="124" builtinId="9" hidden="1"/>
    <cellStyle name="Użyte hiperłącze" xfId="126" builtinId="9" hidden="1"/>
    <cellStyle name="Użyte hiperłącze" xfId="128" builtinId="9" hidden="1"/>
    <cellStyle name="Użyte hiperłącze" xfId="130" builtinId="9" hidden="1"/>
    <cellStyle name="Użyte hiperłącze" xfId="132" builtinId="9" hidden="1"/>
    <cellStyle name="Użyte hiperłącze" xfId="134" builtinId="9" hidden="1"/>
    <cellStyle name="Użyte hiperłącze" xfId="136" builtinId="9" hidden="1"/>
    <cellStyle name="Użyte hiperłącze" xfId="138" builtinId="9" hidden="1"/>
    <cellStyle name="Użyte hiperłącze" xfId="140" builtinId="9" hidden="1"/>
    <cellStyle name="Użyte hiperłącze" xfId="142" builtinId="9" hidden="1"/>
    <cellStyle name="Użyte hiperłącze" xfId="144" builtinId="9" hidden="1"/>
    <cellStyle name="Użyte hiperłącze" xfId="146" builtinId="9" hidden="1"/>
    <cellStyle name="Użyte hiperłącze" xfId="148" builtinId="9" hidden="1"/>
    <cellStyle name="Użyte hiperłącze" xfId="150" builtinId="9" hidden="1"/>
    <cellStyle name="Użyte hiperłącze" xfId="152" builtinId="9" hidden="1"/>
    <cellStyle name="Użyte hiperłącze" xfId="154" builtinId="9" hidden="1"/>
    <cellStyle name="Użyte hiperłącze" xfId="156" builtinId="9" hidden="1"/>
    <cellStyle name="Użyte hiperłącze" xfId="158" builtinId="9" hidden="1"/>
    <cellStyle name="Użyte hiperłącze" xfId="160" builtinId="9" hidden="1"/>
    <cellStyle name="Użyte hiperłącze" xfId="162" builtinId="9" hidden="1"/>
    <cellStyle name="Użyte hiperłącze" xfId="164" builtinId="9" hidden="1"/>
    <cellStyle name="Użyte hiperłącze" xfId="166" builtinId="9" hidden="1"/>
    <cellStyle name="Użyte hiperłącze" xfId="168" builtinId="9" hidden="1"/>
    <cellStyle name="Użyte hiperłącze" xfId="170" builtinId="9" hidden="1"/>
    <cellStyle name="Użyte hiperłącze" xfId="172" builtinId="9" hidden="1"/>
    <cellStyle name="Użyte hiperłącze" xfId="174" builtinId="9" hidden="1"/>
    <cellStyle name="Użyte hiperłącze" xfId="176" builtinId="9" hidden="1"/>
    <cellStyle name="Użyte hiperłącze" xfId="178" builtinId="9" hidden="1"/>
    <cellStyle name="Użyte hiperłącze" xfId="180" builtinId="9" hidden="1"/>
    <cellStyle name="Użyte hiperłącze" xfId="182" builtinId="9" hidden="1"/>
    <cellStyle name="Użyte hiperłącze" xfId="184" builtinId="9" hidden="1"/>
    <cellStyle name="Użyte hiperłącze" xfId="186" builtinId="9" hidden="1"/>
    <cellStyle name="Użyte hiperłącze" xfId="188" builtinId="9" hidden="1"/>
    <cellStyle name="Użyte hiperłącze" xfId="190" builtinId="9" hidden="1"/>
    <cellStyle name="Użyte hiperłącze" xfId="192" builtinId="9" hidden="1"/>
    <cellStyle name="Użyte hiperłącze" xfId="194" builtinId="9" hidden="1"/>
    <cellStyle name="Użyte hiperłącze" xfId="196" builtinId="9" hidden="1"/>
    <cellStyle name="Użyte hiperłącze" xfId="198" builtinId="9" hidden="1"/>
    <cellStyle name="Użyte hiperłącze" xfId="200" builtinId="9" hidden="1"/>
    <cellStyle name="Użyte hiperłącze" xfId="202" builtinId="9" hidden="1"/>
    <cellStyle name="Użyte hiperłącze" xfId="204" builtinId="9" hidden="1"/>
    <cellStyle name="Użyte hiperłącze" xfId="206" builtinId="9" hidden="1"/>
    <cellStyle name="Użyte hiperłącze" xfId="208" builtinId="9" hidden="1"/>
    <cellStyle name="Użyte hiperłącze" xfId="210" builtinId="9" hidden="1"/>
    <cellStyle name="Użyte hiperłącze" xfId="212" builtinId="9" hidden="1"/>
    <cellStyle name="Użyte hiperłącze" xfId="214" builtinId="9" hidden="1"/>
    <cellStyle name="Użyte hiperłącze" xfId="216" builtinId="9" hidden="1"/>
    <cellStyle name="Użyte hiperłącze" xfId="218" builtinId="9" hidden="1"/>
    <cellStyle name="Użyte hiperłącze" xfId="220" builtinId="9" hidden="1"/>
    <cellStyle name="Użyte hiperłącze" xfId="222" builtinId="9" hidden="1"/>
    <cellStyle name="Użyte hiperłącze" xfId="224" builtinId="9" hidden="1"/>
    <cellStyle name="Użyte hiperłącze" xfId="226" builtinId="9" hidden="1"/>
    <cellStyle name="Użyte hiperłącze" xfId="228" builtinId="9" hidden="1"/>
    <cellStyle name="Użyte hiperłącze" xfId="230" builtinId="9" hidden="1"/>
    <cellStyle name="Użyte hiperłącze" xfId="232" builtinId="9" hidden="1"/>
    <cellStyle name="Użyte hiperłącze" xfId="234" builtinId="9" hidden="1"/>
    <cellStyle name="Użyte hiperłącze" xfId="236" builtinId="9" hidden="1"/>
    <cellStyle name="Użyte hiperłącze" xfId="238" builtinId="9" hidden="1"/>
    <cellStyle name="Użyte hiperłącze" xfId="240" builtinId="9" hidden="1"/>
    <cellStyle name="Użyte hiperłącze" xfId="242" builtinId="9" hidden="1"/>
    <cellStyle name="Użyte hiperłącze" xfId="244" builtinId="9" hidden="1"/>
    <cellStyle name="Użyte hiperłącze" xfId="246" builtinId="9" hidden="1"/>
    <cellStyle name="Użyte hiperłącze" xfId="248" builtinId="9" hidden="1"/>
    <cellStyle name="Użyte hiperłącze" xfId="250" builtinId="9" hidden="1"/>
    <cellStyle name="Użyte hiperłącze" xfId="252" builtinId="9" hidden="1"/>
    <cellStyle name="Użyte hiperłącze" xfId="254" builtinId="9" hidden="1"/>
    <cellStyle name="Użyte hiperłącze" xfId="256" builtinId="9" hidden="1"/>
    <cellStyle name="Użyte hiperłącze" xfId="258" builtinId="9" hidden="1"/>
    <cellStyle name="Użyte hiperłącze" xfId="260" builtinId="9" hidden="1"/>
    <cellStyle name="Użyte hiperłącze" xfId="262" builtinId="9" hidden="1"/>
    <cellStyle name="Użyte hiperłącze" xfId="264" builtinId="9" hidden="1"/>
    <cellStyle name="Użyte hiperłącze" xfId="266" builtinId="9" hidden="1"/>
    <cellStyle name="Użyte hiperłącze" xfId="268" builtinId="9" hidden="1"/>
    <cellStyle name="Użyte hiperłącze" xfId="270" builtinId="9" hidden="1"/>
    <cellStyle name="Użyte hiperłącze" xfId="272" builtinId="9" hidden="1"/>
    <cellStyle name="Użyte hiperłącze" xfId="274" builtinId="9" hidden="1"/>
    <cellStyle name="Użyte hiperłącze" xfId="276" builtinId="9" hidden="1"/>
    <cellStyle name="Użyte hiperłącze" xfId="278" builtinId="9" hidden="1"/>
    <cellStyle name="Użyte hiperłącze" xfId="280" builtinId="9" hidden="1"/>
    <cellStyle name="Użyte hiperłącze" xfId="282" builtinId="9" hidden="1"/>
    <cellStyle name="Użyte hiperłącze" xfId="284" builtinId="9" hidden="1"/>
    <cellStyle name="Użyte hiperłącze" xfId="286" builtinId="9" hidden="1"/>
    <cellStyle name="Użyte hiperłącze" xfId="288" builtinId="9" hidden="1"/>
    <cellStyle name="Użyte hiperłącze" xfId="290" builtinId="9" hidden="1"/>
    <cellStyle name="Użyte hiperłącze" xfId="292" builtinId="9" hidden="1"/>
    <cellStyle name="Użyte hiperłącze" xfId="294" builtinId="9" hidden="1"/>
    <cellStyle name="Użyte hiperłącze" xfId="296" builtinId="9" hidden="1"/>
    <cellStyle name="Użyte hiperłącze" xfId="298" builtinId="9" hidden="1"/>
    <cellStyle name="Użyte hiperłącze" xfId="300" builtinId="9" hidden="1"/>
    <cellStyle name="Użyte hiperłącze" xfId="302" builtinId="9" hidden="1"/>
    <cellStyle name="Użyte hiperłącze" xfId="304" builtinId="9" hidden="1"/>
    <cellStyle name="Użyte hiperłącze" xfId="306" builtinId="9" hidden="1"/>
    <cellStyle name="Użyte hiperłącze" xfId="308" builtinId="9" hidden="1"/>
    <cellStyle name="Użyte hiperłącze" xfId="310" builtinId="9" hidden="1"/>
    <cellStyle name="Użyte hiperłącze" xfId="312" builtinId="9" hidden="1"/>
    <cellStyle name="Użyte hiperłącze" xfId="314" builtinId="9" hidden="1"/>
    <cellStyle name="Użyte hiperłącze" xfId="316" builtinId="9" hidden="1"/>
    <cellStyle name="Użyte hiperłącze" xfId="318" builtinId="9" hidden="1"/>
    <cellStyle name="Użyte hiperłącze" xfId="320" builtinId="9" hidden="1"/>
    <cellStyle name="Użyte hiperłącze" xfId="322" builtinId="9" hidden="1"/>
    <cellStyle name="Użyte hiperłącze" xfId="324" builtinId="9" hidden="1"/>
    <cellStyle name="Użyte hiperłącze" xfId="326" builtinId="9" hidden="1"/>
    <cellStyle name="Użyte hiperłącze" xfId="328" builtinId="9" hidden="1"/>
    <cellStyle name="Użyte hiperłącze" xfId="330" builtinId="9" hidden="1"/>
    <cellStyle name="Użyte hiperłącze" xfId="332" builtinId="9" hidden="1"/>
    <cellStyle name="Użyte hiperłącze" xfId="334" builtinId="9" hidden="1"/>
    <cellStyle name="Użyte hiperłącze" xfId="336" builtinId="9" hidden="1"/>
    <cellStyle name="Użyte hiperłącze" xfId="338" builtinId="9" hidden="1"/>
    <cellStyle name="Użyte hiperłącze" xfId="340" builtinId="9" hidden="1"/>
    <cellStyle name="Użyte hiperłącze" xfId="342" builtinId="9" hidden="1"/>
    <cellStyle name="Użyte hiperłącze" xfId="344" builtinId="9" hidden="1"/>
    <cellStyle name="Użyte hiperłącze" xfId="346" builtinId="9" hidden="1"/>
    <cellStyle name="Użyte hiperłącze" xfId="348" builtinId="9" hidden="1"/>
    <cellStyle name="Użyte hiperłącze" xfId="350" builtinId="9" hidden="1"/>
    <cellStyle name="Użyte hiperłącze" xfId="352" builtinId="9" hidden="1"/>
    <cellStyle name="Użyte hiperłącze" xfId="354" builtinId="9" hidden="1"/>
    <cellStyle name="Użyte hiperłącze" xfId="356" builtinId="9" hidden="1"/>
    <cellStyle name="Użyte hiperłącze" xfId="358" builtinId="9" hidden="1"/>
    <cellStyle name="Użyte hiperłącze" xfId="360" builtinId="9" hidden="1"/>
    <cellStyle name="Użyte hiperłącze" xfId="362" builtinId="9" hidden="1"/>
    <cellStyle name="Użyte hiperłącze" xfId="364" builtinId="9" hidden="1"/>
    <cellStyle name="Użyte hiperłącze" xfId="366" builtinId="9" hidden="1"/>
    <cellStyle name="Użyte hiperłącze" xfId="368" builtinId="9" hidden="1"/>
    <cellStyle name="Użyte hiperłącze" xfId="370" builtinId="9" hidden="1"/>
    <cellStyle name="Użyte hiperłącze" xfId="372" builtinId="9" hidden="1"/>
    <cellStyle name="Użyte hiperłącze" xfId="374" builtinId="9" hidden="1"/>
    <cellStyle name="Użyte hiperłącze" xfId="376" builtinId="9" hidden="1"/>
    <cellStyle name="Użyte hiperłącze" xfId="378" builtinId="9" hidden="1"/>
    <cellStyle name="Użyte hiperłącze" xfId="380" builtinId="9" hidden="1"/>
    <cellStyle name="Użyte hiperłącze" xfId="382" builtinId="9" hidden="1"/>
    <cellStyle name="Użyte hiperłącze" xfId="384" builtinId="9" hidden="1"/>
    <cellStyle name="Użyte hiperłącze" xfId="386" builtinId="9" hidden="1"/>
    <cellStyle name="Użyte hiperłącze" xfId="388" builtinId="9" hidden="1"/>
    <cellStyle name="Użyte hiperłącze" xfId="390" builtinId="9" hidden="1"/>
    <cellStyle name="Użyte hiperłącze" xfId="392" builtinId="9" hidden="1"/>
    <cellStyle name="Użyte hiperłącze" xfId="394" builtinId="9" hidden="1"/>
    <cellStyle name="Użyte hiperłącze" xfId="396" builtinId="9" hidden="1"/>
    <cellStyle name="Użyte hiperłącze" xfId="398" builtinId="9" hidden="1"/>
    <cellStyle name="Użyte hiperłącze" xfId="400" builtinId="9" hidden="1"/>
    <cellStyle name="Użyte hiperłącze" xfId="402" builtinId="9" hidden="1"/>
    <cellStyle name="Użyte hiperłącze" xfId="404" builtinId="9" hidden="1"/>
    <cellStyle name="Użyte hiperłącze" xfId="406" builtinId="9" hidden="1"/>
    <cellStyle name="Użyte hiperłącze" xfId="408" builtinId="9" hidden="1"/>
    <cellStyle name="Użyte hiperłącze" xfId="410" builtinId="9" hidden="1"/>
    <cellStyle name="Użyte hiperłącze" xfId="412" builtinId="9" hidden="1"/>
    <cellStyle name="Użyte hiperłącze" xfId="414" builtinId="9" hidden="1"/>
    <cellStyle name="Użyte hiperłącze" xfId="416" builtinId="9" hidden="1"/>
    <cellStyle name="Użyte hiperłącze" xfId="418" builtinId="9" hidden="1"/>
    <cellStyle name="Użyte hiperłącze" xfId="420" builtinId="9" hidden="1"/>
    <cellStyle name="Użyte hiperłącze" xfId="422" builtinId="9" hidden="1"/>
    <cellStyle name="Użyte hiperłącze" xfId="424" builtinId="9" hidden="1"/>
    <cellStyle name="Użyte hiperłącze" xfId="426" builtinId="9" hidden="1"/>
    <cellStyle name="Użyte hiperłącze" xfId="428" builtinId="9" hidden="1"/>
    <cellStyle name="Użyte hiperłącze" xfId="430" builtinId="9" hidden="1"/>
    <cellStyle name="Użyte hiperłącze" xfId="432" builtinId="9" hidden="1"/>
    <cellStyle name="Użyte hiperłącze" xfId="434" builtinId="9" hidden="1"/>
    <cellStyle name="Użyte hiperłącze" xfId="436" builtinId="9" hidden="1"/>
    <cellStyle name="Użyte hiperłącze" xfId="438" builtinId="9" hidden="1"/>
    <cellStyle name="Użyte hiperłącze" xfId="440" builtinId="9" hidden="1"/>
    <cellStyle name="Użyte hiperłącze" xfId="442" builtinId="9" hidden="1"/>
    <cellStyle name="Użyte hiperłącze" xfId="444" builtinId="9" hidden="1"/>
    <cellStyle name="Użyte hiperłącze" xfId="446" builtinId="9" hidden="1"/>
    <cellStyle name="Użyte hiperłącze" xfId="448" builtinId="9" hidden="1"/>
    <cellStyle name="Użyte hiperłącze" xfId="450" builtinId="9" hidden="1"/>
    <cellStyle name="Użyte hiperłącze" xfId="452" builtinId="9" hidden="1"/>
    <cellStyle name="Użyte hiperłącze" xfId="454" builtinId="9" hidden="1"/>
    <cellStyle name="Użyte hiperłącze" xfId="456" builtinId="9" hidden="1"/>
    <cellStyle name="Użyte hiperłącze" xfId="458" builtinId="9" hidden="1"/>
    <cellStyle name="Użyte hiperłącze" xfId="460" builtinId="9" hidden="1"/>
    <cellStyle name="Użyte hiperłącze" xfId="462" builtinId="9" hidden="1"/>
    <cellStyle name="Użyte hiperłącze" xfId="464" builtinId="9" hidden="1"/>
    <cellStyle name="Użyte hiperłącze" xfId="466" builtinId="9" hidden="1"/>
    <cellStyle name="Użyte hiperłącze" xfId="468" builtinId="9" hidden="1"/>
    <cellStyle name="Użyte hiperłącze" xfId="470" builtinId="9" hidden="1"/>
    <cellStyle name="Użyte hiperłącze" xfId="472" builtinId="9" hidden="1"/>
    <cellStyle name="Użyte hiperłącze" xfId="474" builtinId="9" hidden="1"/>
    <cellStyle name="Użyte hiperłącze" xfId="476" builtinId="9" hidden="1"/>
    <cellStyle name="Użyte hiperłącze" xfId="478" builtinId="9" hidden="1"/>
    <cellStyle name="Użyte hiperłącze" xfId="480" builtinId="9" hidden="1"/>
    <cellStyle name="Użyte hiperłącze" xfId="482" builtinId="9" hidden="1"/>
    <cellStyle name="Użyte hiperłącze" xfId="484" builtinId="9" hidden="1"/>
    <cellStyle name="Użyte hiperłącze" xfId="486" builtinId="9" hidden="1"/>
    <cellStyle name="Użyte hiperłącze" xfId="488" builtinId="9" hidden="1"/>
    <cellStyle name="Użyte hiperłącze" xfId="490" builtinId="9" hidden="1"/>
    <cellStyle name="Użyte hiperłącze" xfId="492" builtinId="9" hidden="1"/>
    <cellStyle name="Użyte hiperłącze" xfId="494" builtinId="9" hidden="1"/>
    <cellStyle name="Użyte hiperłącze" xfId="496" builtinId="9" hidden="1"/>
    <cellStyle name="Użyte hiperłącze" xfId="498" builtinId="9" hidden="1"/>
    <cellStyle name="Użyte hiperłącze" xfId="500" builtinId="9" hidden="1"/>
    <cellStyle name="Użyte hiperłącze" xfId="502" builtinId="9" hidden="1"/>
    <cellStyle name="Użyte hiperłącze" xfId="504" builtinId="9" hidden="1"/>
    <cellStyle name="Użyte hiperłącze" xfId="506" builtinId="9" hidden="1"/>
    <cellStyle name="Użyte hiperłącze" xfId="508" builtinId="9" hidden="1"/>
    <cellStyle name="Użyte hiperłącze" xfId="510" builtinId="9" hidden="1"/>
    <cellStyle name="Użyte hiperłącze" xfId="512" builtinId="9" hidden="1"/>
    <cellStyle name="Użyte hiperłącze" xfId="514" builtinId="9" hidden="1"/>
    <cellStyle name="Użyte hiperłącze" xfId="516" builtinId="9" hidden="1"/>
    <cellStyle name="Użyte hiperłącze" xfId="518" builtinId="9" hidden="1"/>
    <cellStyle name="Użyte hiperłącze" xfId="520" builtinId="9" hidden="1"/>
    <cellStyle name="Użyte hiperłącze" xfId="522" builtinId="9" hidden="1"/>
    <cellStyle name="Użyte hiperłącze" xfId="524" builtinId="9" hidden="1"/>
    <cellStyle name="Użyte hiperłącze" xfId="526" builtinId="9" hidden="1"/>
    <cellStyle name="Użyte hiperłącze" xfId="528" builtinId="9" hidden="1"/>
    <cellStyle name="Użyte hiperłącze" xfId="530" builtinId="9" hidden="1"/>
    <cellStyle name="Użyte hiperłącze" xfId="532" builtinId="9" hidden="1"/>
    <cellStyle name="Użyte hiperłącze" xfId="534" builtinId="9" hidden="1"/>
    <cellStyle name="Użyte hiperłącze" xfId="536" builtinId="9" hidden="1"/>
    <cellStyle name="Użyte hiperłącze" xfId="538" builtinId="9" hidden="1"/>
    <cellStyle name="Użyte hiperłącze" xfId="540" builtinId="9" hidden="1"/>
    <cellStyle name="Użyte hiperłącze" xfId="542" builtinId="9" hidden="1"/>
    <cellStyle name="Użyte hiperłącze" xfId="544" builtinId="9" hidden="1"/>
    <cellStyle name="Użyte hiperłącze" xfId="546" builtinId="9" hidden="1"/>
    <cellStyle name="Użyte hiperłącze" xfId="548" builtinId="9" hidden="1"/>
    <cellStyle name="Użyte hiperłącze" xfId="550" builtinId="9" hidden="1"/>
    <cellStyle name="Użyte hiperłącze" xfId="552" builtinId="9" hidden="1"/>
    <cellStyle name="Użyte hiperłącze" xfId="554" builtinId="9" hidden="1"/>
    <cellStyle name="Użyte hiperłącze" xfId="556" builtinId="9" hidden="1"/>
    <cellStyle name="Użyte hiperłącze" xfId="558" builtinId="9" hidden="1"/>
    <cellStyle name="Użyte hiperłącze" xfId="560" builtinId="9" hidden="1"/>
    <cellStyle name="Użyte hiperłącze" xfId="562" builtinId="9" hidden="1"/>
    <cellStyle name="Użyte hiperłącze" xfId="564" builtinId="9" hidden="1"/>
    <cellStyle name="Użyte hiperłącze" xfId="566" builtinId="9" hidden="1"/>
    <cellStyle name="Użyte hiperłącze" xfId="568" builtinId="9" hidden="1"/>
    <cellStyle name="Użyte hiperłącze" xfId="570" builtinId="9" hidden="1"/>
    <cellStyle name="Użyte hiperłącze" xfId="572" builtinId="9" hidden="1"/>
    <cellStyle name="Użyte hiperłącze" xfId="574" builtinId="9" hidden="1"/>
    <cellStyle name="Użyte hiperłącze" xfId="576" builtinId="9" hidden="1"/>
    <cellStyle name="Użyte hiperłącze" xfId="578" builtinId="9" hidden="1"/>
    <cellStyle name="Użyte hiperłącze" xfId="580" builtinId="9" hidden="1"/>
    <cellStyle name="Użyte hiperłącze" xfId="582" builtinId="9" hidden="1"/>
    <cellStyle name="Użyte hiperłącze" xfId="584" builtinId="9" hidden="1"/>
    <cellStyle name="Użyte hiperłącze" xfId="586" builtinId="9" hidden="1"/>
    <cellStyle name="Użyte hiperłącze" xfId="588" builtinId="9" hidden="1"/>
    <cellStyle name="Użyte hiperłącze" xfId="590" builtinId="9" hidden="1"/>
    <cellStyle name="Użyte hiperłącze" xfId="592" builtinId="9" hidden="1"/>
    <cellStyle name="Użyte hiperłącze" xfId="594" builtinId="9" hidden="1"/>
    <cellStyle name="Użyte hiperłącze" xfId="596" builtinId="9" hidden="1"/>
    <cellStyle name="Użyte hiperłącze" xfId="598" builtinId="9" hidden="1"/>
    <cellStyle name="Użyte hiperłącze" xfId="600" builtinId="9" hidden="1"/>
    <cellStyle name="Użyte hiperłącze" xfId="602" builtinId="9" hidden="1"/>
    <cellStyle name="Użyte hiperłącze" xfId="604" builtinId="9" hidden="1"/>
    <cellStyle name="Użyte hiperłącze" xfId="606" builtinId="9" hidden="1"/>
    <cellStyle name="Użyte hiperłącze" xfId="608" builtinId="9" hidden="1"/>
    <cellStyle name="Użyte hiperłącze" xfId="610" builtinId="9" hidden="1"/>
    <cellStyle name="Użyte hiperłącze" xfId="612" builtinId="9" hidden="1"/>
    <cellStyle name="Użyte hiperłącze" xfId="614" builtinId="9" hidden="1"/>
    <cellStyle name="Użyte hiperłącze" xfId="616" builtinId="9" hidden="1"/>
    <cellStyle name="Użyte hiperłącze" xfId="618" builtinId="9" hidden="1"/>
    <cellStyle name="Użyte hiperłącze" xfId="620" builtinId="9" hidden="1"/>
    <cellStyle name="Użyte hiperłącze" xfId="622" builtinId="9" hidden="1"/>
    <cellStyle name="Użyte hiperłącze" xfId="624" builtinId="9" hidden="1"/>
    <cellStyle name="Użyte hiperłącze" xfId="626" builtinId="9" hidden="1"/>
    <cellStyle name="Użyte hiperłącze" xfId="628" builtinId="9" hidden="1"/>
    <cellStyle name="Użyte hiperłącze" xfId="630" builtinId="9" hidden="1"/>
    <cellStyle name="Użyte hiperłącze" xfId="632" builtinId="9" hidden="1"/>
    <cellStyle name="Użyte hiperłącze" xfId="634" builtinId="9" hidden="1"/>
    <cellStyle name="Użyte hiperłącze" xfId="636" builtinId="9" hidden="1"/>
    <cellStyle name="Użyte hiperłącze" xfId="638" builtinId="9" hidden="1"/>
    <cellStyle name="Użyte hiperłącze" xfId="640" builtinId="9" hidden="1"/>
    <cellStyle name="Użyte hiperłącze" xfId="642" builtinId="9" hidden="1"/>
    <cellStyle name="Użyte hiperłącze" xfId="644" builtinId="9" hidden="1"/>
    <cellStyle name="Użyte hiperłącze" xfId="646" builtinId="9" hidden="1"/>
    <cellStyle name="Użyte hiperłącze" xfId="648" builtinId="9" hidden="1"/>
    <cellStyle name="Użyte hiperłącze" xfId="650" builtinId="9" hidden="1"/>
    <cellStyle name="Użyte hiperłącze" xfId="652" builtinId="9" hidden="1"/>
    <cellStyle name="Użyte hiperłącze" xfId="654" builtinId="9" hidden="1"/>
    <cellStyle name="Użyte hiperłącze" xfId="656" builtinId="9" hidden="1"/>
    <cellStyle name="Użyte hiperłącze" xfId="658" builtinId="9" hidden="1"/>
    <cellStyle name="Użyte hiperłącze" xfId="660" builtinId="9" hidden="1"/>
    <cellStyle name="Użyte hiperłącze" xfId="662" builtinId="9" hidden="1"/>
    <cellStyle name="Użyte hiperłącze" xfId="664" builtinId="9" hidden="1"/>
    <cellStyle name="Użyte hiperłącze" xfId="666" builtinId="9" hidden="1"/>
    <cellStyle name="Użyte hiperłącze" xfId="668" builtinId="9" hidden="1"/>
    <cellStyle name="Użyte hiperłącze" xfId="670" builtinId="9" hidden="1"/>
    <cellStyle name="Użyte hiperłącze" xfId="672" builtinId="9" hidden="1"/>
    <cellStyle name="Użyte hiperłącze" xfId="674" builtinId="9" hidden="1"/>
    <cellStyle name="Użyte hiperłącze" xfId="676" builtinId="9" hidden="1"/>
    <cellStyle name="Użyte hiperłącze" xfId="678" builtinId="9" hidden="1"/>
    <cellStyle name="Użyte hiperłącze" xfId="680" builtinId="9" hidden="1"/>
    <cellStyle name="Użyte hiperłącze" xfId="682" builtinId="9" hidden="1"/>
    <cellStyle name="Użyte hiperłącze" xfId="684" builtinId="9" hidden="1"/>
    <cellStyle name="Użyte hiperłącze" xfId="686" builtinId="9" hidden="1"/>
    <cellStyle name="Użyte hiperłącze" xfId="688" builtinId="9" hidden="1"/>
    <cellStyle name="Użyte hiperłącze" xfId="690" builtinId="9" hidden="1"/>
    <cellStyle name="Użyte hiperłącze" xfId="692" builtinId="9" hidden="1"/>
    <cellStyle name="Użyte hiperłącze" xfId="694" builtinId="9" hidden="1"/>
    <cellStyle name="Użyte hiperłącze" xfId="696" builtinId="9" hidden="1"/>
    <cellStyle name="Użyte hiperłącze" xfId="698" builtinId="9" hidden="1"/>
    <cellStyle name="Użyte hiperłącze" xfId="700" builtinId="9" hidden="1"/>
    <cellStyle name="Użyte hiperłącze" xfId="702" builtinId="9" hidden="1"/>
    <cellStyle name="Użyte hiperłącze" xfId="704" builtinId="9" hidden="1"/>
    <cellStyle name="Użyte hiperłącze" xfId="706" builtinId="9" hidden="1"/>
    <cellStyle name="Użyte hiperłącze" xfId="708" builtinId="9" hidden="1"/>
    <cellStyle name="Użyte hiperłącze" xfId="710" builtinId="9" hidden="1"/>
    <cellStyle name="Użyte hiperłącze" xfId="712" builtinId="9" hidden="1"/>
    <cellStyle name="Użyte hiperłącze" xfId="714" builtinId="9" hidden="1"/>
    <cellStyle name="Użyte hiperłącze" xfId="716" builtinId="9" hidden="1"/>
    <cellStyle name="Użyte hiperłącze" xfId="718" builtinId="9" hidden="1"/>
    <cellStyle name="Użyte hiperłącze" xfId="720" builtinId="9" hidden="1"/>
    <cellStyle name="Użyte hiperłącze" xfId="722" builtinId="9" hidden="1"/>
    <cellStyle name="Użyte hiperłącze" xfId="724" builtinId="9" hidden="1"/>
    <cellStyle name="Użyte hiperłącze" xfId="726" builtinId="9" hidden="1"/>
    <cellStyle name="Użyte hiperłącze" xfId="728" builtinId="9" hidden="1"/>
    <cellStyle name="Użyte hiperłącze" xfId="730" builtinId="9" hidden="1"/>
    <cellStyle name="Użyte hiperłącze" xfId="732" builtinId="9" hidden="1"/>
    <cellStyle name="Użyte hiperłącze" xfId="734" builtinId="9" hidden="1"/>
    <cellStyle name="Użyte hiperłącze" xfId="736" builtinId="9" hidden="1"/>
    <cellStyle name="Użyte hiperłącze" xfId="738" builtinId="9" hidden="1"/>
    <cellStyle name="Użyte hiperłącze" xfId="740" builtinId="9" hidden="1"/>
    <cellStyle name="Użyte hiperłącze" xfId="742" builtinId="9" hidden="1"/>
    <cellStyle name="Użyte hiperłącze" xfId="744" builtinId="9" hidden="1"/>
    <cellStyle name="Użyte hiperłącze" xfId="746" builtinId="9" hidden="1"/>
    <cellStyle name="Użyte hiperłącze" xfId="748" builtinId="9" hidden="1"/>
    <cellStyle name="Użyte hiperłącze" xfId="750" builtinId="9" hidden="1"/>
    <cellStyle name="Użyte hiperłącze" xfId="752" builtinId="9" hidden="1"/>
    <cellStyle name="Użyte hiperłącze" xfId="754" builtinId="9" hidden="1"/>
    <cellStyle name="Użyte hiperłącze" xfId="756" builtinId="9" hidden="1"/>
    <cellStyle name="Użyte hiperłącze" xfId="758" builtinId="9" hidden="1"/>
    <cellStyle name="Użyte hiperłącze" xfId="760" builtinId="9" hidden="1"/>
    <cellStyle name="Użyte hiperłącze" xfId="762" builtinId="9" hidden="1"/>
    <cellStyle name="Użyte hiperłącze" xfId="764" builtinId="9" hidden="1"/>
    <cellStyle name="Użyte hiperłącze" xfId="766" builtinId="9" hidden="1"/>
    <cellStyle name="Użyte hiperłącze" xfId="768" builtinId="9" hidden="1"/>
    <cellStyle name="Użyte hiperłącze" xfId="770" builtinId="9" hidden="1"/>
    <cellStyle name="Użyte hiperłącze" xfId="772" builtinId="9" hidden="1"/>
    <cellStyle name="Użyte hiperłącze" xfId="774" builtinId="9" hidden="1"/>
    <cellStyle name="Użyte hiperłącze" xfId="776" builtinId="9" hidden="1"/>
    <cellStyle name="Użyte hiperłącze" xfId="778" builtinId="9" hidden="1"/>
    <cellStyle name="Użyte hiperłącze" xfId="780" builtinId="9" hidden="1"/>
    <cellStyle name="Użyte hiperłącze" xfId="782" builtinId="9" hidden="1"/>
    <cellStyle name="Użyte hiperłącze" xfId="784" builtinId="9" hidden="1"/>
    <cellStyle name="Użyte hiperłącze" xfId="786" builtinId="9" hidden="1"/>
    <cellStyle name="Użyte hiperłącze" xfId="788" builtinId="9" hidden="1"/>
    <cellStyle name="Użyte hiperłącze" xfId="790" builtinId="9" hidden="1"/>
    <cellStyle name="Użyte hiperłącze" xfId="792" builtinId="9" hidden="1"/>
    <cellStyle name="Użyte hiperłącze" xfId="794" builtinId="9" hidden="1"/>
    <cellStyle name="Użyte hiperłącze" xfId="796" builtinId="9" hidden="1"/>
    <cellStyle name="Użyte hiperłącze" xfId="798" builtinId="9" hidden="1"/>
    <cellStyle name="Użyte hiperłącze" xfId="800" builtinId="9" hidden="1"/>
    <cellStyle name="Użyte hiperłącze" xfId="802" builtinId="9" hidden="1"/>
    <cellStyle name="Użyte hiperłącze" xfId="804" builtinId="9" hidden="1"/>
    <cellStyle name="Użyte hiperłącze" xfId="806" builtinId="9" hidden="1"/>
    <cellStyle name="Użyte hiperłącze" xfId="808" builtinId="9" hidden="1"/>
    <cellStyle name="Użyte hiperłącze" xfId="810" builtinId="9" hidden="1"/>
    <cellStyle name="Użyte hiperłącze" xfId="812" builtinId="9" hidden="1"/>
    <cellStyle name="Użyte hiperłącze" xfId="814" builtinId="9" hidden="1"/>
    <cellStyle name="Użyte hiperłącze" xfId="816" builtinId="9" hidden="1"/>
    <cellStyle name="Użyte hiperłącze" xfId="818" builtinId="9" hidden="1"/>
    <cellStyle name="Użyte hiperłącze" xfId="820" builtinId="9" hidden="1"/>
    <cellStyle name="Użyte hiperłącze" xfId="822" builtinId="9" hidden="1"/>
    <cellStyle name="Użyte hiperłącze" xfId="824" builtinId="9" hidden="1"/>
    <cellStyle name="Użyte hiperłącze" xfId="826" builtinId="9" hidden="1"/>
    <cellStyle name="Użyte hiperłącze" xfId="828" builtinId="9" hidden="1"/>
    <cellStyle name="Użyte hiperłącze" xfId="830" builtinId="9" hidden="1"/>
    <cellStyle name="Użyte hiperłącze" xfId="832" builtinId="9" hidden="1"/>
    <cellStyle name="Użyte hiperłącze" xfId="834" builtinId="9" hidden="1"/>
    <cellStyle name="Użyte hiperłącze" xfId="836" builtinId="9" hidden="1"/>
    <cellStyle name="Użyte hiperłącze" xfId="838" builtinId="9" hidden="1"/>
    <cellStyle name="Użyte hiperłącze" xfId="840" builtinId="9" hidden="1"/>
    <cellStyle name="Użyte hiperłącze" xfId="842" builtinId="9" hidden="1"/>
    <cellStyle name="Użyte hiperłącze" xfId="844" builtinId="9" hidden="1"/>
    <cellStyle name="Użyte hiperłącze" xfId="846" builtinId="9" hidden="1"/>
    <cellStyle name="Użyte hiperłącze" xfId="848" builtinId="9" hidden="1"/>
    <cellStyle name="Użyte hiperłącze" xfId="850" builtinId="9" hidden="1"/>
    <cellStyle name="Użyte hiperłącze" xfId="852" builtinId="9" hidden="1"/>
    <cellStyle name="Użyte hiperłącze" xfId="854" builtinId="9" hidden="1"/>
    <cellStyle name="Użyte hiperłącze" xfId="856" builtinId="9" hidden="1"/>
    <cellStyle name="Użyte hiperłącze" xfId="858" builtinId="9" hidden="1"/>
    <cellStyle name="Użyte hiperłącze" xfId="860" builtinId="9" hidden="1"/>
    <cellStyle name="Użyte hiperłącze" xfId="862" builtinId="9" hidden="1"/>
    <cellStyle name="Użyte hiperłącze" xfId="864" builtinId="9" hidden="1"/>
    <cellStyle name="Użyte hiperłącze" xfId="866" builtinId="9" hidden="1"/>
    <cellStyle name="Użyte hiperłącze" xfId="868" builtinId="9" hidden="1"/>
    <cellStyle name="Użyte hiperłącze" xfId="870" builtinId="9" hidden="1"/>
    <cellStyle name="Użyte hiperłącze" xfId="872" builtinId="9" hidden="1"/>
    <cellStyle name="Użyte hiperłącze" xfId="874" builtinId="9" hidden="1"/>
    <cellStyle name="Użyte hiperłącze" xfId="876" builtinId="9" hidden="1"/>
    <cellStyle name="Użyte hiperłącze" xfId="878" builtinId="9" hidden="1"/>
    <cellStyle name="Użyte hiperłącze" xfId="880" builtinId="9" hidden="1"/>
    <cellStyle name="Użyte hiperłącze" xfId="882" builtinId="9" hidden="1"/>
    <cellStyle name="Użyte hiperłącze" xfId="884" builtinId="9" hidden="1"/>
    <cellStyle name="Użyte hiperłącze" xfId="886" builtinId="9" hidden="1"/>
    <cellStyle name="Użyte hiperłącze" xfId="888" builtinId="9" hidden="1"/>
    <cellStyle name="Użyte hiperłącze" xfId="890" builtinId="9" hidden="1"/>
    <cellStyle name="Użyte hiperłącze" xfId="892" builtinId="9" hidden="1"/>
    <cellStyle name="Użyte hiperłącze" xfId="894" builtinId="9" hidden="1"/>
    <cellStyle name="Użyte hiperłącze" xfId="896" builtinId="9" hidden="1"/>
    <cellStyle name="Użyte hiperłącze" xfId="898" builtinId="9" hidden="1"/>
    <cellStyle name="Użyte hiperłącze" xfId="900" builtinId="9" hidden="1"/>
    <cellStyle name="Użyte hiperłącze" xfId="902" builtinId="9" hidden="1"/>
    <cellStyle name="Użyte hiperłącze" xfId="904" builtinId="9" hidden="1"/>
    <cellStyle name="Użyte hiperłącze" xfId="906" builtinId="9" hidden="1"/>
    <cellStyle name="Użyte hiperłącze" xfId="908" builtinId="9" hidden="1"/>
    <cellStyle name="Użyte hiperłącze" xfId="910" builtinId="9" hidden="1"/>
    <cellStyle name="Użyte hiperłącze" xfId="912" builtinId="9" hidden="1"/>
    <cellStyle name="Użyte hiperłącze" xfId="914" builtinId="9" hidden="1"/>
    <cellStyle name="Użyte hiperłącze" xfId="916" builtinId="9" hidden="1"/>
    <cellStyle name="Użyte hiperłącze" xfId="918" builtinId="9" hidden="1"/>
    <cellStyle name="Użyte hiperłącze" xfId="920" builtinId="9" hidden="1"/>
    <cellStyle name="Użyte hiperłącze" xfId="922" builtinId="9" hidden="1"/>
    <cellStyle name="Użyte hiperłącze" xfId="924" builtinId="9" hidden="1"/>
    <cellStyle name="Użyte hiperłącze" xfId="926" builtinId="9" hidden="1"/>
    <cellStyle name="Użyte hiperłącze" xfId="928" builtinId="9" hidden="1"/>
    <cellStyle name="Użyte hiperłącze" xfId="930" builtinId="9" hidden="1"/>
    <cellStyle name="Użyte hiperłącze" xfId="932" builtinId="9" hidden="1"/>
    <cellStyle name="Użyte hiperłącze" xfId="934" builtinId="9" hidden="1"/>
    <cellStyle name="Użyte hiperłącze" xfId="936" builtinId="9" hidden="1"/>
    <cellStyle name="Użyte hiperłącze" xfId="938" builtinId="9" hidden="1"/>
    <cellStyle name="Użyte hiperłącze" xfId="940" builtinId="9" hidden="1"/>
    <cellStyle name="Użyte hiperłącze" xfId="942" builtinId="9" hidden="1"/>
    <cellStyle name="Użyte hiperłącze" xfId="944" builtinId="9" hidden="1"/>
    <cellStyle name="Użyte hiperłącze" xfId="946" builtinId="9" hidden="1"/>
    <cellStyle name="Użyte hiperłącze" xfId="948" builtinId="9" hidden="1"/>
    <cellStyle name="Użyte hiperłącze" xfId="950" builtinId="9" hidden="1"/>
    <cellStyle name="Użyte hiperłącze" xfId="952" builtinId="9" hidden="1"/>
    <cellStyle name="Użyte hiperłącze" xfId="954" builtinId="9" hidden="1"/>
    <cellStyle name="Użyte hiperłącze" xfId="956" builtinId="9" hidden="1"/>
    <cellStyle name="Użyte hiperłącze" xfId="958" builtinId="9" hidden="1"/>
    <cellStyle name="Użyte hiperłącze" xfId="960" builtinId="9" hidden="1"/>
    <cellStyle name="Użyte hiperłącze" xfId="962" builtinId="9" hidden="1"/>
    <cellStyle name="Użyte hiperłącze" xfId="964" builtinId="9" hidden="1"/>
    <cellStyle name="Użyte hiperłącze" xfId="966" builtinId="9" hidden="1"/>
    <cellStyle name="Użyte hiperłącze" xfId="968" builtinId="9" hidden="1"/>
    <cellStyle name="Użyte hiperłącze" xfId="970" builtinId="9" hidden="1"/>
    <cellStyle name="Użyte hiperłącze" xfId="972" builtinId="9" hidden="1"/>
    <cellStyle name="Użyte hiperłącze" xfId="974" builtinId="9" hidden="1"/>
    <cellStyle name="Użyte hiperłącze" xfId="976" builtinId="9" hidden="1"/>
    <cellStyle name="Użyte hiperłącze" xfId="978" builtinId="9" hidden="1"/>
    <cellStyle name="Użyte hiperłącze" xfId="980" builtinId="9" hidden="1"/>
    <cellStyle name="Użyte hiperłącze" xfId="982" builtinId="9" hidden="1"/>
    <cellStyle name="Użyte hiperłącze" xfId="984" builtinId="9" hidden="1"/>
    <cellStyle name="Użyte hiperłącze" xfId="986" builtinId="9" hidden="1"/>
    <cellStyle name="Użyte hiperłącze" xfId="988" builtinId="9" hidden="1"/>
    <cellStyle name="Użyte hiperłącze" xfId="990" builtinId="9" hidden="1"/>
    <cellStyle name="Użyte hiperłącze" xfId="992" builtinId="9" hidden="1"/>
    <cellStyle name="Użyte hiperłącze" xfId="994" builtinId="9" hidden="1"/>
    <cellStyle name="Użyte hiperłącze" xfId="996" builtinId="9" hidden="1"/>
    <cellStyle name="Użyte hiperłącze" xfId="998" builtinId="9" hidden="1"/>
    <cellStyle name="Użyte hiperłącze" xfId="1000" builtinId="9" hidden="1"/>
    <cellStyle name="Użyte hiperłącze" xfId="1002" builtinId="9" hidden="1"/>
    <cellStyle name="Użyte hiperłącze" xfId="1004" builtinId="9" hidden="1"/>
    <cellStyle name="Użyte hiperłącze" xfId="1006" builtinId="9" hidden="1"/>
    <cellStyle name="Użyte hiperłącze" xfId="1008" builtinId="9" hidden="1"/>
    <cellStyle name="Użyte hiperłącze" xfId="1010" builtinId="9" hidden="1"/>
    <cellStyle name="Użyte hiperłącze" xfId="1012" builtinId="9" hidden="1"/>
    <cellStyle name="Użyte hiperłącze" xfId="1014" builtinId="9" hidden="1"/>
    <cellStyle name="Użyte hiperłącze" xfId="1016" builtinId="9" hidden="1"/>
    <cellStyle name="Użyte hiperłącze" xfId="1018" builtinId="9" hidden="1"/>
    <cellStyle name="Użyte hiperłącze" xfId="1020" builtinId="9" hidden="1"/>
    <cellStyle name="Użyte hiperłącze" xfId="1022" builtinId="9" hidden="1"/>
    <cellStyle name="Użyte hiperłącze" xfId="1024" builtinId="9" hidden="1"/>
    <cellStyle name="Użyte hiperłącze" xfId="1026" builtinId="9" hidden="1"/>
    <cellStyle name="Użyte hiperłącze" xfId="1028" builtinId="9" hidden="1"/>
    <cellStyle name="Użyte hiperłącze" xfId="1030" builtinId="9" hidden="1"/>
    <cellStyle name="Użyte hiperłącze" xfId="1032" builtinId="9" hidden="1"/>
    <cellStyle name="Użyte hiperłącze" xfId="1034" builtinId="9" hidden="1"/>
    <cellStyle name="Użyte hiperłącze" xfId="1036" builtinId="9" hidden="1"/>
    <cellStyle name="Użyte hiperłącze" xfId="1038" builtinId="9" hidden="1"/>
    <cellStyle name="Użyte hiperłącze" xfId="1040" builtinId="9" hidden="1"/>
    <cellStyle name="Użyte hiperłącze" xfId="1042" builtinId="9" hidden="1"/>
    <cellStyle name="Użyte hiperłącze" xfId="1044" builtinId="9" hidden="1"/>
    <cellStyle name="Użyte hiperłącze" xfId="1046" builtinId="9" hidden="1"/>
    <cellStyle name="Użyte hiperłącze" xfId="1048" builtinId="9" hidden="1"/>
    <cellStyle name="Użyte hiperłącze" xfId="1050" builtinId="9" hidden="1"/>
    <cellStyle name="Użyte hiperłącze" xfId="1052" builtinId="9" hidden="1"/>
    <cellStyle name="Użyte hiperłącze" xfId="1054" builtinId="9" hidden="1"/>
    <cellStyle name="Użyte hiperłącze" xfId="1056" builtinId="9" hidden="1"/>
    <cellStyle name="Użyte hiperłącze" xfId="1058" builtinId="9" hidden="1"/>
    <cellStyle name="Użyte hiperłącze" xfId="1060" builtinId="9" hidden="1"/>
    <cellStyle name="Użyte hiperłącze" xfId="1062" builtinId="9" hidden="1"/>
    <cellStyle name="Użyte hiperłącze" xfId="1064" builtinId="9" hidden="1"/>
    <cellStyle name="Użyte hiperłącze" xfId="1066" builtinId="9" hidden="1"/>
    <cellStyle name="Użyte hiperłącze" xfId="1068" builtinId="9" hidden="1"/>
    <cellStyle name="Użyte hiperłącze" xfId="1070" builtinId="9" hidden="1"/>
    <cellStyle name="Użyte hiperłącze" xfId="1072" builtinId="9" hidden="1"/>
    <cellStyle name="Użyte hiperłącze" xfId="1074" builtinId="9" hidden="1"/>
    <cellStyle name="Użyte hiperłącze" xfId="1076" builtinId="9" hidden="1"/>
    <cellStyle name="Użyte hiperłącze" xfId="1078" builtinId="9" hidden="1"/>
    <cellStyle name="Użyte hiperłącze" xfId="1080" builtinId="9" hidden="1"/>
    <cellStyle name="Użyte hiperłącze" xfId="1082" builtinId="9" hidden="1"/>
    <cellStyle name="Użyte hiperłącze" xfId="1084" builtinId="9" hidden="1"/>
    <cellStyle name="Użyte hiperłącze" xfId="1086" builtinId="9" hidden="1"/>
    <cellStyle name="Użyte hiperłącze" xfId="1088" builtinId="9" hidden="1"/>
    <cellStyle name="Użyte hiperłącze" xfId="1090" builtinId="9" hidden="1"/>
    <cellStyle name="Użyte hiperłącze" xfId="1092" builtinId="9" hidden="1"/>
    <cellStyle name="Użyte hiperłącze" xfId="1094" builtinId="9" hidden="1"/>
    <cellStyle name="Użyte hiperłącze" xfId="1096" builtinId="9" hidden="1"/>
    <cellStyle name="Użyte hiperłącze" xfId="1098" builtinId="9" hidden="1"/>
    <cellStyle name="Użyte hiperłącze" xfId="1100" builtinId="9" hidden="1"/>
    <cellStyle name="Użyte hiperłącze" xfId="1102" builtinId="9" hidden="1"/>
    <cellStyle name="Użyte hiperłącze" xfId="1104" builtinId="9" hidden="1"/>
    <cellStyle name="Użyte hiperłącze" xfId="1106" builtinId="9" hidden="1"/>
    <cellStyle name="Użyte hiperłącze" xfId="1108" builtinId="9" hidden="1"/>
    <cellStyle name="Użyte hiperłącze" xfId="1110" builtinId="9" hidden="1"/>
    <cellStyle name="Użyte hiperłącze" xfId="1112" builtinId="9" hidden="1"/>
    <cellStyle name="Użyte hiperłącze" xfId="1114" builtinId="9" hidden="1"/>
    <cellStyle name="Użyte hiperłącze" xfId="1116" builtinId="9" hidden="1"/>
    <cellStyle name="Użyte hiperłącze" xfId="1118" builtinId="9" hidden="1"/>
    <cellStyle name="Użyte hiperłącze" xfId="1120" builtinId="9" hidden="1"/>
    <cellStyle name="Użyte hiperłącze" xfId="1122" builtinId="9" hidden="1"/>
    <cellStyle name="Użyte hiperłącze" xfId="1124" builtinId="9" hidden="1"/>
    <cellStyle name="Użyte hiperłącze" xfId="1126" builtinId="9" hidden="1"/>
    <cellStyle name="Użyte hiperłącze" xfId="1128" builtinId="9" hidden="1"/>
    <cellStyle name="Użyte hiperłącze" xfId="1130" builtinId="9" hidden="1"/>
    <cellStyle name="Użyte hiperłącze" xfId="1132" builtinId="9" hidden="1"/>
    <cellStyle name="Użyte hiperłącze" xfId="1134" builtinId="9" hidden="1"/>
    <cellStyle name="Użyte hiperłącze" xfId="1136" builtinId="9" hidden="1"/>
    <cellStyle name="Użyte hiperłącze" xfId="1138" builtinId="9" hidden="1"/>
    <cellStyle name="Użyte hiperłącze" xfId="1140" builtinId="9" hidden="1"/>
    <cellStyle name="Użyte hiperłącze" xfId="1142" builtinId="9" hidden="1"/>
    <cellStyle name="Użyte hiperłącze" xfId="1144" builtinId="9" hidden="1"/>
    <cellStyle name="Użyte hiperłącze" xfId="1146" builtinId="9" hidden="1"/>
    <cellStyle name="Użyte hiperłącze" xfId="1148" builtinId="9" hidden="1"/>
    <cellStyle name="Użyte hiperłącze" xfId="1150" builtinId="9" hidden="1"/>
    <cellStyle name="Użyte hiperłącze" xfId="1152" builtinId="9" hidden="1"/>
    <cellStyle name="Użyte hiperłącze" xfId="1154" builtinId="9" hidden="1"/>
    <cellStyle name="Użyte hiperłącze" xfId="1156" builtinId="9" hidden="1"/>
    <cellStyle name="Użyte hiperłącze" xfId="1158" builtinId="9" hidden="1"/>
    <cellStyle name="Użyte hiperłącze" xfId="1160" builtinId="9" hidden="1"/>
    <cellStyle name="Użyte hiperłącze" xfId="1162" builtinId="9" hidden="1"/>
    <cellStyle name="Użyte hiperłącze" xfId="1164" builtinId="9" hidden="1"/>
    <cellStyle name="Użyte hiperłącze" xfId="1166" builtinId="9" hidden="1"/>
    <cellStyle name="Użyte hiperłącze" xfId="1168" builtinId="9" hidden="1"/>
    <cellStyle name="Użyte hiperłącze" xfId="1170" builtinId="9" hidden="1"/>
    <cellStyle name="Użyte hiperłącze" xfId="1172" builtinId="9" hidden="1"/>
    <cellStyle name="Użyte hiperłącze" xfId="1174" builtinId="9" hidden="1"/>
    <cellStyle name="Użyte hiperłącze" xfId="1176" builtinId="9" hidden="1"/>
    <cellStyle name="Użyte hiperłącze" xfId="1178" builtinId="9" hidden="1"/>
    <cellStyle name="Użyte hiperłącze" xfId="1180" builtinId="9" hidden="1"/>
    <cellStyle name="Użyte hiperłącze" xfId="1182" builtinId="9" hidden="1"/>
    <cellStyle name="Użyte hiperłącze" xfId="1184" builtinId="9" hidden="1"/>
    <cellStyle name="Użyte hiperłącze" xfId="1186" builtinId="9" hidden="1"/>
    <cellStyle name="Użyte hiperłącze" xfId="1188" builtinId="9" hidden="1"/>
    <cellStyle name="Użyte hiperłącze" xfId="1190" builtinId="9" hidden="1"/>
    <cellStyle name="Użyte hiperłącze" xfId="1192" builtinId="9" hidden="1"/>
    <cellStyle name="Użyte hiperłącze" xfId="1194" builtinId="9" hidden="1"/>
    <cellStyle name="Użyte hiperłącze" xfId="1196" builtinId="9" hidden="1"/>
    <cellStyle name="Użyte hiperłącze" xfId="1198" builtinId="9" hidden="1"/>
    <cellStyle name="Użyte hiperłącze" xfId="1200" builtinId="9" hidden="1"/>
    <cellStyle name="Użyte hiperłącze" xfId="1202" builtinId="9" hidden="1"/>
    <cellStyle name="Użyte hiperłącze" xfId="1204" builtinId="9" hidden="1"/>
    <cellStyle name="Użyte hiperłącze" xfId="1206" builtinId="9" hidden="1"/>
    <cellStyle name="Użyte hiperłącze" xfId="1208" builtinId="9" hidden="1"/>
    <cellStyle name="Użyte hiperłącze" xfId="1210" builtinId="9" hidden="1"/>
    <cellStyle name="Użyte hiperłącze" xfId="1212" builtinId="9" hidden="1"/>
    <cellStyle name="Użyte hiperłącze" xfId="1214" builtinId="9" hidden="1"/>
    <cellStyle name="Użyte hiperłącze" xfId="1216" builtinId="9" hidden="1"/>
    <cellStyle name="Użyte hiperłącze" xfId="1218" builtinId="9" hidden="1"/>
    <cellStyle name="Użyte hiperłącze" xfId="1220" builtinId="9" hidden="1"/>
    <cellStyle name="Użyte hiperłącze" xfId="1222" builtinId="9" hidden="1"/>
    <cellStyle name="Użyte hiperłącze" xfId="1224" builtinId="9" hidden="1"/>
    <cellStyle name="Użyte hiperłącze" xfId="1226" builtinId="9" hidden="1"/>
    <cellStyle name="Użyte hiperłącze" xfId="1228" builtinId="9" hidden="1"/>
    <cellStyle name="Użyte hiperłącze" xfId="1230" builtinId="9" hidden="1"/>
    <cellStyle name="Użyte hiperłącze" xfId="1232" builtinId="9" hidden="1"/>
    <cellStyle name="Użyte hiperłącze" xfId="1234" builtinId="9" hidden="1"/>
    <cellStyle name="Użyte hiperłącze" xfId="1236" builtinId="9" hidden="1"/>
    <cellStyle name="Użyte hiperłącze" xfId="1238" builtinId="9" hidden="1"/>
    <cellStyle name="Użyte hiperłącze" xfId="1240" builtinId="9" hidden="1"/>
    <cellStyle name="Użyte hiperłącze" xfId="1242" builtinId="9" hidden="1"/>
    <cellStyle name="Użyte hiperłącze" xfId="1244" builtinId="9" hidden="1"/>
    <cellStyle name="Użyte hiperłącze" xfId="1246" builtinId="9" hidden="1"/>
    <cellStyle name="Użyte hiperłącze" xfId="1248" builtinId="9" hidden="1"/>
    <cellStyle name="Użyte hiperłącze" xfId="1250" builtinId="9" hidden="1"/>
    <cellStyle name="Użyte hiperłącze" xfId="1252" builtinId="9" hidden="1"/>
    <cellStyle name="Użyte hiperłącze" xfId="1254" builtinId="9" hidden="1"/>
    <cellStyle name="Użyte hiperłącze" xfId="1256" builtinId="9" hidden="1"/>
    <cellStyle name="Użyte hiperłącze" xfId="1258" builtinId="9" hidden="1"/>
    <cellStyle name="Użyte hiperłącze" xfId="1260" builtinId="9" hidden="1"/>
    <cellStyle name="Użyte hiperłącze" xfId="1262" builtinId="9" hidden="1"/>
    <cellStyle name="Użyte hiperłącze" xfId="1264" builtinId="9" hidden="1"/>
    <cellStyle name="Użyte hiperłącze" xfId="1266" builtinId="9" hidden="1"/>
    <cellStyle name="Użyte hiperłącze" xfId="1268" builtinId="9" hidden="1"/>
    <cellStyle name="Użyte hiperłącze" xfId="1270" builtinId="9" hidden="1"/>
    <cellStyle name="Użyte hiperłącze" xfId="1272" builtinId="9" hidden="1"/>
    <cellStyle name="Użyte hiperłącze" xfId="1274" builtinId="9" hidden="1"/>
    <cellStyle name="Użyte hiperłącze" xfId="1276" builtinId="9" hidden="1"/>
    <cellStyle name="Użyte hiperłącze" xfId="1278" builtinId="9" hidden="1"/>
    <cellStyle name="Użyte hiperłącze" xfId="1280" builtinId="9" hidden="1"/>
    <cellStyle name="Użyte hiperłącze" xfId="1282" builtinId="9" hidden="1"/>
    <cellStyle name="Użyte hiperłącze" xfId="1284" builtinId="9" hidden="1"/>
    <cellStyle name="Użyte hiperłącze" xfId="1286" builtinId="9" hidden="1"/>
    <cellStyle name="Użyte hiperłącze" xfId="1288" builtinId="9" hidden="1"/>
    <cellStyle name="Użyte hiperłącze" xfId="1290" builtinId="9" hidden="1"/>
    <cellStyle name="Użyte hiperłącze" xfId="1292" builtinId="9" hidden="1"/>
    <cellStyle name="Użyte hiperłącze" xfId="1294" builtinId="9" hidden="1"/>
    <cellStyle name="Użyte hiperłącze" xfId="1296" builtinId="9" hidden="1"/>
    <cellStyle name="Użyte hiperłącze" xfId="1298" builtinId="9" hidden="1"/>
    <cellStyle name="Użyte hiperłącze" xfId="1300" builtinId="9" hidden="1"/>
    <cellStyle name="Użyte hiperłącze" xfId="1302" builtinId="9" hidden="1"/>
    <cellStyle name="Użyte hiperłącze" xfId="1304" builtinId="9" hidden="1"/>
    <cellStyle name="Użyte hiperłącze" xfId="1306" builtinId="9" hidden="1"/>
    <cellStyle name="Użyte hiperłącze" xfId="1308" builtinId="9" hidden="1"/>
    <cellStyle name="Użyte hiperłącze" xfId="1310" builtinId="9" hidden="1"/>
    <cellStyle name="Użyte hiperłącze" xfId="1312" builtinId="9" hidden="1"/>
    <cellStyle name="Użyte hiperłącze" xfId="1314" builtinId="9" hidden="1"/>
    <cellStyle name="Użyte hiperłącze" xfId="1316" builtinId="9" hidden="1"/>
    <cellStyle name="Użyte hiperłącze" xfId="1318" builtinId="9" hidden="1"/>
    <cellStyle name="Użyte hiperłącze" xfId="1320" builtinId="9" hidden="1"/>
    <cellStyle name="Użyte hiperłącze" xfId="1322" builtinId="9" hidden="1"/>
    <cellStyle name="Użyte hiperłącze" xfId="1324" builtinId="9" hidden="1"/>
    <cellStyle name="Użyte hiperłącze" xfId="1326" builtinId="9" hidden="1"/>
    <cellStyle name="Użyte hiperłącze" xfId="1328" builtinId="9" hidden="1"/>
    <cellStyle name="Użyte hiperłącze" xfId="1330" builtinId="9" hidden="1"/>
    <cellStyle name="Użyte hiperłącze" xfId="1332" builtinId="9" hidden="1"/>
    <cellStyle name="Użyte hiperłącze" xfId="1334" builtinId="9" hidden="1"/>
    <cellStyle name="Użyte hiperłącze" xfId="1336" builtinId="9" hidden="1"/>
    <cellStyle name="Użyte hiperłącze" xfId="1338" builtinId="9" hidden="1"/>
    <cellStyle name="Użyte hiperłącze" xfId="1340" builtinId="9" hidden="1"/>
    <cellStyle name="Użyte hiperłącze" xfId="1342" builtinId="9" hidden="1"/>
    <cellStyle name="Użyte hiperłącze" xfId="1344" builtinId="9" hidden="1"/>
    <cellStyle name="Użyte hiperłącze" xfId="1346" builtinId="9" hidden="1"/>
    <cellStyle name="Użyte hiperłącze" xfId="1348" builtinId="9" hidden="1"/>
    <cellStyle name="Użyte hiperłącze" xfId="1350" builtinId="9" hidden="1"/>
    <cellStyle name="Użyte hiperłącze" xfId="1352" builtinId="9" hidden="1"/>
    <cellStyle name="Użyte hiperłącze" xfId="1354" builtinId="9" hidden="1"/>
    <cellStyle name="Użyte hiperłącze" xfId="1356" builtinId="9" hidden="1"/>
    <cellStyle name="Użyte hiperłącze" xfId="1358" builtinId="9" hidden="1"/>
    <cellStyle name="Użyte hiperłącze" xfId="1360" builtinId="9" hidden="1"/>
    <cellStyle name="Użyte hiperłącze" xfId="1362" builtinId="9" hidden="1"/>
    <cellStyle name="Użyte hiperłącze" xfId="1364" builtinId="9" hidden="1"/>
    <cellStyle name="Użyte hiperłącze" xfId="1366" builtinId="9" hidden="1"/>
    <cellStyle name="Użyte hiperłącze" xfId="1368" builtinId="9" hidden="1"/>
    <cellStyle name="Użyte hiperłącze" xfId="1370" builtinId="9" hidden="1"/>
    <cellStyle name="Użyte hiperłącze" xfId="1372" builtinId="9" hidden="1"/>
    <cellStyle name="Użyte hiperłącze" xfId="1374" builtinId="9" hidden="1"/>
    <cellStyle name="Użyte hiperłącze" xfId="1376" builtinId="9" hidden="1"/>
    <cellStyle name="Użyte hiperłącze" xfId="1378" builtinId="9" hidden="1"/>
    <cellStyle name="Użyte hiperłącze" xfId="1380" builtinId="9" hidden="1"/>
    <cellStyle name="Użyte hiperłącze" xfId="1382" builtinId="9" hidden="1"/>
    <cellStyle name="Użyte hiperłącze" xfId="1384" builtinId="9" hidden="1"/>
    <cellStyle name="Użyte hiperłącze" xfId="1386" builtinId="9" hidden="1"/>
    <cellStyle name="Użyte hiperłącze" xfId="1388" builtinId="9" hidden="1"/>
    <cellStyle name="Użyte hiperłącze" xfId="1390" builtinId="9" hidden="1"/>
    <cellStyle name="Użyte hiperłącze" xfId="1392" builtinId="9" hidden="1"/>
    <cellStyle name="Użyte hiperłącze" xfId="1394" builtinId="9" hidden="1"/>
    <cellStyle name="Użyte hiperłącze" xfId="1396" builtinId="9" hidden="1"/>
    <cellStyle name="Użyte hiperłącze" xfId="1398" builtinId="9" hidden="1"/>
    <cellStyle name="Użyte hiperłącze" xfId="1400" builtinId="9" hidden="1"/>
    <cellStyle name="Użyte hiperłącze" xfId="1402" builtinId="9" hidden="1"/>
    <cellStyle name="Użyte hiperłącze" xfId="1404" builtinId="9" hidden="1"/>
    <cellStyle name="Użyte hiperłącze" xfId="1406" builtinId="9" hidden="1"/>
    <cellStyle name="Użyte hiperłącze" xfId="1408" builtinId="9" hidden="1"/>
    <cellStyle name="Użyte hiperłącze" xfId="1410" builtinId="9" hidden="1"/>
    <cellStyle name="Użyte hiperłącze" xfId="1412" builtinId="9" hidden="1"/>
    <cellStyle name="Użyte hiperłącze" xfId="1414" builtinId="9" hidden="1"/>
    <cellStyle name="Użyte hiperłącze" xfId="1416" builtinId="9" hidden="1"/>
    <cellStyle name="Użyte hiperłącze" xfId="1418" builtinId="9" hidden="1"/>
    <cellStyle name="Użyte hiperłącze" xfId="1420" builtinId="9" hidden="1"/>
    <cellStyle name="Użyte hiperłącze" xfId="1422" builtinId="9" hidden="1"/>
    <cellStyle name="Użyte hiperłącze" xfId="1424" builtinId="9" hidden="1"/>
    <cellStyle name="Użyte hiperłącze" xfId="1426" builtinId="9" hidden="1"/>
    <cellStyle name="Użyte hiperłącze" xfId="1428" builtinId="9" hidden="1"/>
    <cellStyle name="Użyte hiperłącze" xfId="1431" builtinId="9" hidden="1"/>
    <cellStyle name="Użyte hiperłącze" xfId="1433" builtinId="9" hidden="1"/>
    <cellStyle name="Użyte hiperłącze" xfId="1435" builtinId="9" hidden="1"/>
    <cellStyle name="Użyte hiperłącze" xfId="1437" builtinId="9" hidden="1"/>
    <cellStyle name="Użyte hiperłącze" xfId="1439" builtinId="9" hidden="1"/>
    <cellStyle name="Użyte hiperłącze" xfId="1441" builtinId="9" hidden="1"/>
    <cellStyle name="Użyte hiperłącze" xfId="1443" builtinId="9" hidden="1"/>
    <cellStyle name="Użyte hiperłącze" xfId="1445" builtinId="9" hidden="1"/>
    <cellStyle name="Użyte hiperłącze" xfId="1447" builtinId="9" hidden="1"/>
    <cellStyle name="Użyte hiperłącze" xfId="1449" builtinId="9" hidden="1"/>
    <cellStyle name="Użyte hiperłącze" xfId="1451" builtinId="9" hidden="1"/>
    <cellStyle name="Użyte hiperłącze" xfId="1453" builtinId="9" hidden="1"/>
    <cellStyle name="Użyte hiperłącze" xfId="1455" builtinId="9" hidden="1"/>
    <cellStyle name="Użyte hiperłącze" xfId="1457" builtinId="9" hidden="1"/>
    <cellStyle name="Użyte hiperłącze" xfId="1459" builtinId="9" hidden="1"/>
    <cellStyle name="Użyte hiperłącze" xfId="1461" builtinId="9" hidden="1"/>
    <cellStyle name="Użyte hiperłącze" xfId="1463" builtinId="9" hidden="1"/>
    <cellStyle name="Użyte hiperłącze" xfId="1465" builtinId="9" hidden="1"/>
    <cellStyle name="Użyte hiperłącze" xfId="1467" builtinId="9" hidden="1"/>
    <cellStyle name="Użyte hiperłącze" xfId="1469" builtinId="9" hidden="1"/>
    <cellStyle name="Użyte hiperłącze" xfId="1471" builtinId="9" hidden="1"/>
    <cellStyle name="Użyte hiperłącze" xfId="1473" builtinId="9" hidden="1"/>
    <cellStyle name="Użyte hiperłącze" xfId="1475" builtinId="9" hidden="1"/>
    <cellStyle name="Użyte hiperłącze" xfId="1477" builtinId="9" hidden="1"/>
    <cellStyle name="Użyte hiperłącze" xfId="1479" builtinId="9" hidden="1"/>
    <cellStyle name="Użyte hiperłącze" xfId="1481" builtinId="9" hidden="1"/>
    <cellStyle name="Użyte hiperłącze" xfId="1483" builtinId="9" hidden="1"/>
    <cellStyle name="Użyte hiperłącze" xfId="1485" builtinId="9" hidden="1"/>
    <cellStyle name="Użyte hiperłącze" xfId="1487" builtinId="9" hidden="1"/>
    <cellStyle name="Użyte hiperłącze" xfId="1489" builtinId="9" hidden="1"/>
    <cellStyle name="Użyte hiperłącze" xfId="1491" builtinId="9" hidden="1"/>
    <cellStyle name="Użyte hiperłącze" xfId="1493" builtinId="9" hidden="1"/>
    <cellStyle name="Użyte hiperłącze" xfId="1495" builtinId="9" hidden="1"/>
    <cellStyle name="Użyte hiperłącze" xfId="1497" builtinId="9" hidden="1"/>
    <cellStyle name="Użyte hiperłącze" xfId="1499" builtinId="9" hidden="1"/>
    <cellStyle name="Użyte hiperłącze" xfId="1501" builtinId="9" hidden="1"/>
    <cellStyle name="Użyte hiperłącze" xfId="1503" builtinId="9" hidden="1"/>
    <cellStyle name="Użyte hiperłącze" xfId="1505" builtinId="9" hidden="1"/>
    <cellStyle name="Użyte hiperłącze" xfId="1507" builtinId="9" hidden="1"/>
    <cellStyle name="Użyte hiperłącze" xfId="1509" builtinId="9" hidden="1"/>
    <cellStyle name="Użyte hiperłącze" xfId="1511" builtinId="9" hidden="1"/>
    <cellStyle name="Użyte hiperłącze" xfId="1513" builtinId="9" hidden="1"/>
    <cellStyle name="Użyte hiperłącze" xfId="1515" builtinId="9" hidden="1"/>
    <cellStyle name="Użyte hiperłącze" xfId="1517" builtinId="9" hidden="1"/>
    <cellStyle name="Użyte hiperłącze" xfId="1519" builtinId="9" hidden="1"/>
    <cellStyle name="Użyte hiperłącze" xfId="1521" builtinId="9" hidden="1"/>
    <cellStyle name="Użyte hiperłącze" xfId="1523" builtinId="9" hidden="1"/>
    <cellStyle name="Użyte hiperłącze" xfId="1525" builtinId="9" hidden="1"/>
    <cellStyle name="Użyte hiperłącze" xfId="1527" builtinId="9" hidden="1"/>
    <cellStyle name="Użyte hiperłącze" xfId="1529" builtinId="9" hidden="1"/>
    <cellStyle name="Użyte hiperłącze" xfId="1531" builtinId="9" hidden="1"/>
    <cellStyle name="Użyte hiperłącze" xfId="1533" builtinId="9" hidden="1"/>
    <cellStyle name="Użyte hiperłącze" xfId="1535" builtinId="9" hidden="1"/>
    <cellStyle name="Użyte hiperłącze" xfId="1537" builtinId="9" hidden="1"/>
    <cellStyle name="Użyte hiperłącze" xfId="1539" builtinId="9" hidden="1"/>
    <cellStyle name="Użyte hiperłącze" xfId="1541" builtinId="9" hidden="1"/>
    <cellStyle name="Użyte hiperłącze" xfId="1543" builtinId="9" hidden="1"/>
    <cellStyle name="Użyte hiperłącze" xfId="1545" builtinId="9" hidden="1"/>
    <cellStyle name="Użyte hiperłącze" xfId="1547" builtinId="9" hidden="1"/>
    <cellStyle name="Użyte hiperłącze" xfId="1549" builtinId="9" hidden="1"/>
    <cellStyle name="Użyte hiperłącze" xfId="1551" builtinId="9" hidden="1"/>
    <cellStyle name="Użyte hiperłącze" xfId="1553" builtinId="9" hidden="1"/>
    <cellStyle name="Użyte hiperłącze" xfId="1555" builtinId="9" hidden="1"/>
    <cellStyle name="Użyte hiperłącze" xfId="1557" builtinId="9" hidden="1"/>
    <cellStyle name="Użyte hiperłącze" xfId="1559" builtinId="9" hidden="1"/>
    <cellStyle name="Użyte hiperłącze" xfId="1561" builtinId="9" hidden="1"/>
    <cellStyle name="Użyte hiperłącze" xfId="1563" builtinId="9" hidden="1"/>
    <cellStyle name="Użyte hiperłącze" xfId="1565" builtinId="9" hidden="1"/>
    <cellStyle name="Użyte hiperłącze" xfId="1567" builtinId="9" hidden="1"/>
    <cellStyle name="Użyte hiperłącze" xfId="1569" builtinId="9" hidden="1"/>
    <cellStyle name="Użyte hiperłącze" xfId="1571" builtinId="9" hidden="1"/>
    <cellStyle name="Użyte hiperłącze" xfId="1573" builtinId="9" hidden="1"/>
    <cellStyle name="Użyte hiperłącze" xfId="1575" builtinId="9" hidden="1"/>
    <cellStyle name="Użyte hiperłącze" xfId="1577" builtinId="9" hidden="1"/>
    <cellStyle name="Użyte hiperłącze" xfId="1579" builtinId="9" hidden="1"/>
    <cellStyle name="Użyte hiperłącze" xfId="1581" builtinId="9" hidden="1"/>
    <cellStyle name="Użyte hiperłącze" xfId="1583" builtinId="9" hidden="1"/>
    <cellStyle name="Użyte hiperłącze" xfId="1585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524934</xdr:colOff>
      <xdr:row>163</xdr:row>
      <xdr:rowOff>0</xdr:rowOff>
    </xdr:from>
    <xdr:ext cx="184666" cy="261610"/>
    <xdr:sp macro="" textlink="">
      <xdr:nvSpPr>
        <xdr:cNvPr id="2" name="PoleTekstowe 1"/>
        <xdr:cNvSpPr txBox="1"/>
      </xdr:nvSpPr>
      <xdr:spPr>
        <a:xfrm>
          <a:off x="3649134" y="28244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4</xdr:col>
      <xdr:colOff>50800</xdr:colOff>
      <xdr:row>4</xdr:row>
      <xdr:rowOff>16929</xdr:rowOff>
    </xdr:from>
    <xdr:to>
      <xdr:col>4</xdr:col>
      <xdr:colOff>770466</xdr:colOff>
      <xdr:row>21</xdr:row>
      <xdr:rowOff>126999</xdr:rowOff>
    </xdr:to>
    <xdr:sp macro="" textlink="">
      <xdr:nvSpPr>
        <xdr:cNvPr id="3" name="Up Arrow 243"/>
        <xdr:cNvSpPr/>
      </xdr:nvSpPr>
      <xdr:spPr>
        <a:xfrm rot="10800000">
          <a:off x="3183467" y="1058329"/>
          <a:ext cx="719666" cy="3132670"/>
        </a:xfrm>
        <a:prstGeom prst="upArrow">
          <a:avLst/>
        </a:prstGeom>
        <a:gradFill>
          <a:gsLst>
            <a:gs pos="0">
              <a:srgbClr val="008000"/>
            </a:gs>
            <a:gs pos="100000">
              <a:srgbClr val="FF0000"/>
            </a:gs>
          </a:gsLst>
          <a:lin ang="16200000" scaled="0"/>
        </a:gradFill>
        <a:ln>
          <a:solidFill>
            <a:schemeClr val="tx1"/>
          </a:solidFill>
        </a:ln>
        <a:extLst>
          <a:ext uri="{FAA26D3D-D897-4be2-8F04-BA451C77F1D7}">
            <ma14:placeholderFlag xmlns:ma14="http://schemas.microsoft.com/office/mac/drawingml/2011/main"/>
          </a:ext>
          <a:ext uri="{C572A759-6A51-4108-AA02-DFA0A04FC94B}">
            <ma14:wrappingTextBoxFlag xmlns:ma14="http://schemas.microsoft.com/office/mac/drawingml/2011/main"/>
          </a:ext>
        </a:ex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vert270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80000"/>
            </a:lnSpc>
            <a:spcAft>
              <a:spcPts val="1000"/>
            </a:spcAft>
          </a:pPr>
          <a:r>
            <a:rPr lang="en-US" sz="2000" b="1">
              <a:effectLst/>
              <a:latin typeface="Times New Roman"/>
              <a:ea typeface="ＭＳ 明朝"/>
              <a:cs typeface="Times New Roman"/>
            </a:rPr>
            <a:t>Increasing toxicity</a:t>
          </a:r>
          <a:endParaRPr lang="cs-CZ" sz="20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524934</xdr:colOff>
      <xdr:row>157</xdr:row>
      <xdr:rowOff>0</xdr:rowOff>
    </xdr:from>
    <xdr:ext cx="184666" cy="261610"/>
    <xdr:sp macro="" textlink="">
      <xdr:nvSpPr>
        <xdr:cNvPr id="3" name="PoleTekstowe 2"/>
        <xdr:cNvSpPr txBox="1"/>
      </xdr:nvSpPr>
      <xdr:spPr>
        <a:xfrm>
          <a:off x="3513667" y="22648333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4</xdr:col>
      <xdr:colOff>50800</xdr:colOff>
      <xdr:row>4</xdr:row>
      <xdr:rowOff>16930</xdr:rowOff>
    </xdr:from>
    <xdr:to>
      <xdr:col>4</xdr:col>
      <xdr:colOff>770466</xdr:colOff>
      <xdr:row>20</xdr:row>
      <xdr:rowOff>152397</xdr:rowOff>
    </xdr:to>
    <xdr:sp macro="" textlink="">
      <xdr:nvSpPr>
        <xdr:cNvPr id="4" name="Up Arrow 243"/>
        <xdr:cNvSpPr/>
      </xdr:nvSpPr>
      <xdr:spPr>
        <a:xfrm rot="10800000">
          <a:off x="3183467" y="1058330"/>
          <a:ext cx="719666" cy="2980267"/>
        </a:xfrm>
        <a:prstGeom prst="upArrow">
          <a:avLst/>
        </a:prstGeom>
        <a:gradFill>
          <a:gsLst>
            <a:gs pos="0">
              <a:srgbClr val="008000"/>
            </a:gs>
            <a:gs pos="100000">
              <a:srgbClr val="FF0000"/>
            </a:gs>
          </a:gsLst>
          <a:lin ang="16200000" scaled="0"/>
        </a:gradFill>
        <a:ln>
          <a:solidFill>
            <a:schemeClr val="tx1"/>
          </a:solidFill>
        </a:ln>
        <a:extLst>
          <a:ext uri="{FAA26D3D-D897-4be2-8F04-BA451C77F1D7}">
            <ma14:placeholderFlag xmlns:ma14="http://schemas.microsoft.com/office/mac/drawingml/2011/main"/>
          </a:ext>
          <a:ext uri="{C572A759-6A51-4108-AA02-DFA0A04FC94B}">
            <ma14:wrappingTextBoxFlag xmlns:ma14="http://schemas.microsoft.com/office/mac/drawingml/2011/main"/>
          </a:ext>
        </a:ex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vert270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80000"/>
            </a:lnSpc>
            <a:spcAft>
              <a:spcPts val="1000"/>
            </a:spcAft>
          </a:pPr>
          <a:r>
            <a:rPr lang="en-US" sz="2000" b="1">
              <a:effectLst/>
              <a:latin typeface="Times New Roman"/>
              <a:ea typeface="ＭＳ 明朝"/>
              <a:cs typeface="Times New Roman"/>
            </a:rPr>
            <a:t>Increasing toxicity</a:t>
          </a:r>
          <a:endParaRPr lang="cs-CZ" sz="20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524934</xdr:colOff>
      <xdr:row>151</xdr:row>
      <xdr:rowOff>0</xdr:rowOff>
    </xdr:from>
    <xdr:ext cx="184666" cy="261610"/>
    <xdr:sp macro="" textlink="">
      <xdr:nvSpPr>
        <xdr:cNvPr id="2" name="PoleTekstowe 1"/>
        <xdr:cNvSpPr txBox="1"/>
      </xdr:nvSpPr>
      <xdr:spPr>
        <a:xfrm>
          <a:off x="3649134" y="293243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4</xdr:col>
      <xdr:colOff>50800</xdr:colOff>
      <xdr:row>4</xdr:row>
      <xdr:rowOff>50796</xdr:rowOff>
    </xdr:from>
    <xdr:to>
      <xdr:col>4</xdr:col>
      <xdr:colOff>770466</xdr:colOff>
      <xdr:row>19</xdr:row>
      <xdr:rowOff>127000</xdr:rowOff>
    </xdr:to>
    <xdr:sp macro="" textlink="">
      <xdr:nvSpPr>
        <xdr:cNvPr id="3" name="Up Arrow 243"/>
        <xdr:cNvSpPr/>
      </xdr:nvSpPr>
      <xdr:spPr>
        <a:xfrm rot="10800000">
          <a:off x="3183467" y="1092196"/>
          <a:ext cx="719666" cy="2743204"/>
        </a:xfrm>
        <a:prstGeom prst="upArrow">
          <a:avLst/>
        </a:prstGeom>
        <a:gradFill>
          <a:gsLst>
            <a:gs pos="0">
              <a:srgbClr val="008000"/>
            </a:gs>
            <a:gs pos="100000">
              <a:srgbClr val="FF0000"/>
            </a:gs>
          </a:gsLst>
          <a:lin ang="16200000" scaled="0"/>
        </a:gradFill>
        <a:ln>
          <a:solidFill>
            <a:schemeClr val="tx1"/>
          </a:solidFill>
        </a:ln>
        <a:extLst>
          <a:ext uri="{FAA26D3D-D897-4be2-8F04-BA451C77F1D7}">
            <ma14:placeholderFlag xmlns:ma14="http://schemas.microsoft.com/office/mac/drawingml/2011/main"/>
          </a:ext>
          <a:ext uri="{C572A759-6A51-4108-AA02-DFA0A04FC94B}">
            <ma14:wrappingTextBoxFlag xmlns:ma14="http://schemas.microsoft.com/office/mac/drawingml/2011/main"/>
          </a:ext>
        </a:ex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vert270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80000"/>
            </a:lnSpc>
            <a:spcAft>
              <a:spcPts val="1000"/>
            </a:spcAft>
          </a:pPr>
          <a:r>
            <a:rPr lang="en-US" sz="2000" b="1">
              <a:effectLst/>
              <a:latin typeface="Times New Roman"/>
              <a:ea typeface="ＭＳ 明朝"/>
              <a:cs typeface="Times New Roman"/>
            </a:rPr>
            <a:t>Increasing toxicity</a:t>
          </a:r>
          <a:endParaRPr lang="cs-CZ" sz="20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3"/>
  <sheetViews>
    <sheetView tabSelected="1" workbookViewId="0"/>
  </sheetViews>
  <sheetFormatPr baseColWidth="10" defaultColWidth="8.83203125" defaultRowHeight="13" x14ac:dyDescent="0"/>
  <cols>
    <col min="1" max="1" width="107.83203125" style="111" customWidth="1"/>
    <col min="2" max="16384" width="8.83203125" style="29"/>
  </cols>
  <sheetData>
    <row r="2" spans="1:1" ht="42">
      <c r="A2" s="103" t="s">
        <v>139</v>
      </c>
    </row>
    <row r="3" spans="1:1" ht="26">
      <c r="A3" s="104"/>
    </row>
    <row r="4" spans="1:1" ht="18">
      <c r="A4" s="105" t="s">
        <v>140</v>
      </c>
    </row>
    <row r="5" spans="1:1" ht="17">
      <c r="A5" s="106"/>
    </row>
    <row r="6" spans="1:1" s="108" customFormat="1" ht="14">
      <c r="A6" s="107" t="s">
        <v>136</v>
      </c>
    </row>
    <row r="7" spans="1:1" s="108" customFormat="1">
      <c r="A7" s="109" t="s">
        <v>137</v>
      </c>
    </row>
    <row r="8" spans="1:1" s="108" customFormat="1">
      <c r="A8" s="109"/>
    </row>
    <row r="9" spans="1:1" s="108" customFormat="1">
      <c r="A9" s="109"/>
    </row>
    <row r="10" spans="1:1" s="108" customFormat="1">
      <c r="A10" s="109"/>
    </row>
    <row r="11" spans="1:1" s="108" customFormat="1">
      <c r="A11" s="109"/>
    </row>
    <row r="12" spans="1:1" s="108" customFormat="1">
      <c r="A12" s="109"/>
    </row>
    <row r="13" spans="1:1" s="108" customFormat="1" ht="26">
      <c r="A13" s="112" t="s">
        <v>138</v>
      </c>
    </row>
    <row r="14" spans="1:1" s="108" customFormat="1">
      <c r="A14" s="109"/>
    </row>
    <row r="15" spans="1:1" s="108" customFormat="1">
      <c r="A15" s="109"/>
    </row>
    <row r="16" spans="1:1" s="108" customFormat="1">
      <c r="A16" s="109"/>
    </row>
    <row r="17" spans="1:1">
      <c r="A17" s="110"/>
    </row>
    <row r="18" spans="1:1">
      <c r="A18" s="110"/>
    </row>
    <row r="21" spans="1:1" ht="15">
      <c r="A21" s="114" t="s">
        <v>141</v>
      </c>
    </row>
    <row r="22" spans="1:1" ht="17">
      <c r="A22" s="113"/>
    </row>
    <row r="23" spans="1:1" ht="17">
      <c r="A23" s="113"/>
    </row>
  </sheetData>
  <phoneticPr fontId="62" type="noConversion"/>
  <pageMargins left="0.75" right="0.75" top="1" bottom="1" header="0.5" footer="0.5"/>
  <pageSetup paperSize="9" orientation="portrait" horizontalDpi="4294967292" verticalDpi="4294967292"/>
  <rowBreaks count="1" manualBreakCount="1">
    <brk id="24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4"/>
  <sheetViews>
    <sheetView zoomScale="150" zoomScaleNormal="150" zoomScalePageLayoutView="150" workbookViewId="0"/>
  </sheetViews>
  <sheetFormatPr baseColWidth="10" defaultRowHeight="13" x14ac:dyDescent="0"/>
  <cols>
    <col min="1" max="1" width="1.83203125" style="29" customWidth="1"/>
    <col min="2" max="2" width="17.5" style="29" customWidth="1"/>
    <col min="3" max="3" width="10" style="29" customWidth="1"/>
    <col min="4" max="4" width="11.6640625" style="29" customWidth="1"/>
    <col min="5" max="5" width="11" style="29" customWidth="1"/>
    <col min="6" max="6" width="10.33203125" style="29" customWidth="1"/>
    <col min="7" max="8" width="10.83203125" style="29"/>
    <col min="9" max="10" width="11.1640625" style="29" customWidth="1"/>
    <col min="11" max="11" width="13.1640625" style="29" customWidth="1"/>
    <col min="12" max="12" width="12.5" style="29" customWidth="1"/>
    <col min="13" max="13" width="10.83203125" style="29"/>
    <col min="14" max="14" width="12.5" style="29" customWidth="1"/>
    <col min="15" max="15" width="14.33203125" style="29" customWidth="1"/>
    <col min="16" max="16" width="24.83203125" style="29" customWidth="1"/>
    <col min="17" max="16384" width="10.83203125" style="29"/>
  </cols>
  <sheetData>
    <row r="1" spans="2:13" ht="14" thickBot="1"/>
    <row r="2" spans="2:13" s="28" customFormat="1" ht="24" customHeight="1" thickBot="1">
      <c r="B2" s="124" t="s">
        <v>32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6"/>
    </row>
    <row r="3" spans="2:13" s="25" customFormat="1" ht="14" customHeight="1"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2:13" ht="30">
      <c r="B4" s="9" t="s">
        <v>7</v>
      </c>
      <c r="C4" s="9" t="s">
        <v>0</v>
      </c>
      <c r="D4" s="4" t="s">
        <v>90</v>
      </c>
      <c r="H4" s="14"/>
      <c r="I4" s="14"/>
      <c r="J4" s="15"/>
    </row>
    <row r="5" spans="2:13" s="33" customFormat="1" ht="14" customHeight="1">
      <c r="B5" s="8" t="s">
        <v>36</v>
      </c>
      <c r="C5" s="78" t="s">
        <v>9</v>
      </c>
      <c r="D5" s="51">
        <v>1.76</v>
      </c>
    </row>
    <row r="6" spans="2:13" s="39" customFormat="1" ht="14" customHeight="1">
      <c r="B6" s="9" t="s">
        <v>72</v>
      </c>
      <c r="C6" s="79" t="s">
        <v>10</v>
      </c>
      <c r="D6" s="11">
        <v>1.85</v>
      </c>
    </row>
    <row r="7" spans="2:13" s="39" customFormat="1" ht="14" customHeight="1">
      <c r="B7" s="9" t="s">
        <v>70</v>
      </c>
      <c r="C7" s="79" t="s">
        <v>10</v>
      </c>
      <c r="D7" s="11">
        <v>2.02</v>
      </c>
    </row>
    <row r="8" spans="2:13" s="39" customFormat="1" ht="14" customHeight="1">
      <c r="B8" s="9" t="s">
        <v>87</v>
      </c>
      <c r="C8" s="79" t="s">
        <v>10</v>
      </c>
      <c r="D8" s="11">
        <v>2.0499999999999998</v>
      </c>
    </row>
    <row r="9" spans="2:13" s="33" customFormat="1" ht="14" customHeight="1">
      <c r="B9" s="8" t="s">
        <v>49</v>
      </c>
      <c r="C9" s="78" t="s">
        <v>9</v>
      </c>
      <c r="D9" s="51">
        <v>2.12</v>
      </c>
    </row>
    <row r="10" spans="2:13" s="39" customFormat="1" ht="14" customHeight="1">
      <c r="B10" s="9" t="s">
        <v>76</v>
      </c>
      <c r="C10" s="79" t="s">
        <v>10</v>
      </c>
      <c r="D10" s="11">
        <v>2.21</v>
      </c>
    </row>
    <row r="11" spans="2:13" s="39" customFormat="1" ht="14" customHeight="1">
      <c r="B11" s="8" t="s">
        <v>55</v>
      </c>
      <c r="C11" s="78" t="s">
        <v>9</v>
      </c>
      <c r="D11" s="51">
        <v>2.2400000000000002</v>
      </c>
    </row>
    <row r="12" spans="2:13" s="39" customFormat="1" ht="14" customHeight="1">
      <c r="B12" s="9" t="s">
        <v>73</v>
      </c>
      <c r="C12" s="79" t="s">
        <v>10</v>
      </c>
      <c r="D12" s="11">
        <v>2.2999999999999998</v>
      </c>
    </row>
    <row r="13" spans="2:13" s="39" customFormat="1" ht="14" customHeight="1">
      <c r="B13" s="9" t="s">
        <v>89</v>
      </c>
      <c r="C13" s="79" t="s">
        <v>10</v>
      </c>
      <c r="D13" s="11">
        <v>2.31</v>
      </c>
    </row>
    <row r="14" spans="2:13" s="39" customFormat="1" ht="14" customHeight="1">
      <c r="B14" s="9" t="s">
        <v>2</v>
      </c>
      <c r="C14" s="79" t="s">
        <v>10</v>
      </c>
      <c r="D14" s="11">
        <v>2.4900000000000002</v>
      </c>
    </row>
    <row r="15" spans="2:13" s="39" customFormat="1" ht="14" customHeight="1">
      <c r="B15" s="9" t="s">
        <v>75</v>
      </c>
      <c r="C15" s="79" t="s">
        <v>10</v>
      </c>
      <c r="D15" s="11">
        <v>2.5</v>
      </c>
    </row>
    <row r="16" spans="2:13" s="39" customFormat="1" ht="14" customHeight="1">
      <c r="B16" s="8" t="s">
        <v>84</v>
      </c>
      <c r="C16" s="78" t="s">
        <v>9</v>
      </c>
      <c r="D16" s="51">
        <v>2.56</v>
      </c>
    </row>
    <row r="17" spans="2:13" s="39" customFormat="1" ht="14" customHeight="1">
      <c r="B17" s="8" t="s">
        <v>85</v>
      </c>
      <c r="C17" s="78" t="s">
        <v>9</v>
      </c>
      <c r="D17" s="51">
        <v>2.64</v>
      </c>
    </row>
    <row r="18" spans="2:13" s="39" customFormat="1" ht="14" customHeight="1">
      <c r="B18" s="9" t="s">
        <v>88</v>
      </c>
      <c r="C18" s="79" t="s">
        <v>10</v>
      </c>
      <c r="D18" s="11">
        <v>2.67</v>
      </c>
    </row>
    <row r="19" spans="2:13" s="39" customFormat="1" ht="14" customHeight="1">
      <c r="B19" s="9" t="s">
        <v>3</v>
      </c>
      <c r="C19" s="79" t="s">
        <v>10</v>
      </c>
      <c r="D19" s="11">
        <v>2.83</v>
      </c>
    </row>
    <row r="20" spans="2:13" s="39" customFormat="1" ht="14" customHeight="1">
      <c r="B20" s="8" t="s">
        <v>40</v>
      </c>
      <c r="C20" s="78" t="s">
        <v>9</v>
      </c>
      <c r="D20" s="51">
        <v>2.87</v>
      </c>
    </row>
    <row r="21" spans="2:13" s="33" customFormat="1" ht="14" customHeight="1">
      <c r="B21" s="8" t="s">
        <v>52</v>
      </c>
      <c r="C21" s="78" t="s">
        <v>9</v>
      </c>
      <c r="D21" s="51">
        <v>2.92</v>
      </c>
    </row>
    <row r="22" spans="2:13" s="39" customFormat="1" ht="14" customHeight="1">
      <c r="B22" s="9" t="s">
        <v>4</v>
      </c>
      <c r="C22" s="79" t="s">
        <v>10</v>
      </c>
      <c r="D22" s="11">
        <v>3.32</v>
      </c>
    </row>
    <row r="23" spans="2:13" ht="14" thickBot="1"/>
    <row r="24" spans="2:13" s="28" customFormat="1" ht="24" customHeight="1" thickBot="1">
      <c r="B24" s="127" t="s">
        <v>43</v>
      </c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9"/>
    </row>
    <row r="26" spans="2:13" s="41" customFormat="1" ht="17">
      <c r="B26" s="9" t="s">
        <v>7</v>
      </c>
      <c r="C26" s="14" t="s">
        <v>80</v>
      </c>
      <c r="D26" s="4" t="s">
        <v>82</v>
      </c>
      <c r="E26" s="14" t="s">
        <v>81</v>
      </c>
      <c r="F26" s="4" t="s">
        <v>83</v>
      </c>
      <c r="G26" s="9" t="s">
        <v>0</v>
      </c>
    </row>
    <row r="27" spans="2:13" s="40" customFormat="1" ht="14" customHeight="1">
      <c r="B27" s="8" t="s">
        <v>36</v>
      </c>
      <c r="C27" s="51">
        <v>4.91</v>
      </c>
      <c r="D27" s="7">
        <v>-1492</v>
      </c>
      <c r="E27" s="7">
        <f>(C27-$C$45)/$C$46</f>
        <v>-0.25485358619661796</v>
      </c>
      <c r="F27" s="7">
        <f t="shared" ref="F27:F44" si="0">(D27-$D$45)/$D$46</f>
        <v>-1.955334002294741</v>
      </c>
      <c r="G27" s="78" t="s">
        <v>9</v>
      </c>
    </row>
    <row r="28" spans="2:13" s="40" customFormat="1" ht="14" customHeight="1">
      <c r="B28" s="8" t="s">
        <v>49</v>
      </c>
      <c r="C28" s="51">
        <v>3.81</v>
      </c>
      <c r="D28" s="7">
        <v>-618.29999999999995</v>
      </c>
      <c r="E28" s="7">
        <f t="shared" ref="E28:E44" si="1">(C28-$C$45)/$C$46</f>
        <v>-1.0244114739275809</v>
      </c>
      <c r="F28" s="7">
        <f t="shared" si="0"/>
        <v>-0.28809192823136071</v>
      </c>
      <c r="G28" s="78" t="s">
        <v>9</v>
      </c>
    </row>
    <row r="29" spans="2:13" s="40" customFormat="1" ht="14" customHeight="1">
      <c r="B29" s="8" t="s">
        <v>55</v>
      </c>
      <c r="C29" s="51">
        <v>3.24</v>
      </c>
      <c r="D29" s="7">
        <v>-139.5</v>
      </c>
      <c r="E29" s="7">
        <f t="shared" si="1"/>
        <v>-1.4231823793881708</v>
      </c>
      <c r="F29" s="7">
        <f t="shared" si="0"/>
        <v>0.62558039071283789</v>
      </c>
      <c r="G29" s="78" t="s">
        <v>9</v>
      </c>
    </row>
    <row r="30" spans="2:13" s="40" customFormat="1" ht="14" customHeight="1">
      <c r="B30" s="8" t="s">
        <v>84</v>
      </c>
      <c r="C30" s="51">
        <v>6.73</v>
      </c>
      <c r="D30" s="7">
        <v>-715.4</v>
      </c>
      <c r="E30" s="7">
        <f t="shared" si="1"/>
        <v>1.0184149189582483</v>
      </c>
      <c r="F30" s="7">
        <f t="shared" si="0"/>
        <v>-0.47338345323027825</v>
      </c>
      <c r="G30" s="78" t="s">
        <v>9</v>
      </c>
    </row>
    <row r="31" spans="2:13" s="40" customFormat="1" ht="14" customHeight="1">
      <c r="B31" s="8" t="s">
        <v>85</v>
      </c>
      <c r="C31" s="51">
        <v>5</v>
      </c>
      <c r="D31" s="7">
        <v>-96.3</v>
      </c>
      <c r="E31" s="7">
        <f t="shared" si="1"/>
        <v>-0.19188975901863017</v>
      </c>
      <c r="F31" s="7">
        <f t="shared" si="0"/>
        <v>0.70801699091832948</v>
      </c>
      <c r="G31" s="78" t="s">
        <v>9</v>
      </c>
    </row>
    <row r="32" spans="2:13" s="40" customFormat="1" ht="14" customHeight="1">
      <c r="B32" s="8" t="s">
        <v>40</v>
      </c>
      <c r="C32" s="51">
        <v>6.45</v>
      </c>
      <c r="D32" s="7">
        <v>-157.69999999999999</v>
      </c>
      <c r="E32" s="7">
        <f t="shared" si="1"/>
        <v>0.82252745662673021</v>
      </c>
      <c r="F32" s="7">
        <f t="shared" si="0"/>
        <v>0.59085015636700577</v>
      </c>
      <c r="G32" s="78" t="s">
        <v>9</v>
      </c>
    </row>
    <row r="33" spans="2:13" s="40" customFormat="1" ht="14" customHeight="1">
      <c r="B33" s="8" t="s">
        <v>52</v>
      </c>
      <c r="C33" s="51">
        <v>6.78</v>
      </c>
      <c r="D33" s="7">
        <v>-52.1</v>
      </c>
      <c r="E33" s="7">
        <f t="shared" si="1"/>
        <v>1.0533948229460193</v>
      </c>
      <c r="F33" s="7">
        <f t="shared" si="0"/>
        <v>0.79236184575820745</v>
      </c>
      <c r="G33" s="78" t="s">
        <v>9</v>
      </c>
    </row>
    <row r="34" spans="2:13" s="40" customFormat="1" ht="14" customHeight="1">
      <c r="B34" s="8" t="s">
        <v>50</v>
      </c>
      <c r="C34" s="51">
        <v>3.44</v>
      </c>
      <c r="D34" s="7">
        <v>-600</v>
      </c>
      <c r="E34" s="7">
        <f t="shared" si="1"/>
        <v>-1.2832627634370868</v>
      </c>
      <c r="F34" s="7">
        <f t="shared" si="0"/>
        <v>-0.25317086842209002</v>
      </c>
      <c r="G34" s="78" t="s">
        <v>10</v>
      </c>
    </row>
    <row r="35" spans="2:13" s="40" customFormat="1" ht="14" customHeight="1">
      <c r="B35" s="8" t="s">
        <v>48</v>
      </c>
      <c r="C35" s="51">
        <v>4.95</v>
      </c>
      <c r="D35" s="7">
        <v>-638.1</v>
      </c>
      <c r="E35" s="7">
        <f t="shared" si="1"/>
        <v>-0.2268696630064011</v>
      </c>
      <c r="F35" s="7">
        <f t="shared" si="0"/>
        <v>-0.32587536999221117</v>
      </c>
      <c r="G35" s="78" t="s">
        <v>10</v>
      </c>
    </row>
    <row r="36" spans="2:13" s="40" customFormat="1" ht="14" customHeight="1">
      <c r="B36" s="8" t="s">
        <v>38</v>
      </c>
      <c r="C36" s="51">
        <v>4.21</v>
      </c>
      <c r="D36" s="7">
        <v>-378.5</v>
      </c>
      <c r="E36" s="7">
        <f t="shared" si="1"/>
        <v>-0.74457224202541272</v>
      </c>
      <c r="F36" s="7">
        <f t="shared" si="0"/>
        <v>0.1695075330944931</v>
      </c>
      <c r="G36" s="78" t="s">
        <v>10</v>
      </c>
    </row>
    <row r="37" spans="2:13" s="40" customFormat="1" ht="14" customHeight="1">
      <c r="B37" s="8" t="s">
        <v>54</v>
      </c>
      <c r="C37" s="51">
        <v>3.35</v>
      </c>
      <c r="D37" s="7">
        <v>-135.30000000000001</v>
      </c>
      <c r="E37" s="7">
        <f t="shared" si="1"/>
        <v>-1.3462265906150745</v>
      </c>
      <c r="F37" s="7">
        <f t="shared" si="0"/>
        <v>0.63359506017726064</v>
      </c>
      <c r="G37" s="78" t="s">
        <v>10</v>
      </c>
    </row>
    <row r="38" spans="2:13" s="40" customFormat="1" ht="14" customHeight="1">
      <c r="B38" s="8" t="s">
        <v>51</v>
      </c>
      <c r="C38" s="51">
        <v>4.3600000000000003</v>
      </c>
      <c r="D38" s="7">
        <v>-235.3</v>
      </c>
      <c r="E38" s="7">
        <f t="shared" si="1"/>
        <v>-0.6396325300620993</v>
      </c>
      <c r="F38" s="7">
        <f t="shared" si="0"/>
        <v>0.44276959673862271</v>
      </c>
      <c r="G38" s="78" t="s">
        <v>10</v>
      </c>
    </row>
    <row r="39" spans="2:13" s="40" customFormat="1" ht="14" customHeight="1">
      <c r="B39" s="8" t="s">
        <v>39</v>
      </c>
      <c r="C39" s="51">
        <v>4.46</v>
      </c>
      <c r="D39" s="7">
        <v>-206.7</v>
      </c>
      <c r="E39" s="7">
        <f t="shared" si="1"/>
        <v>-0.5696727220865575</v>
      </c>
      <c r="F39" s="7">
        <f t="shared" si="0"/>
        <v>0.49734567928207318</v>
      </c>
      <c r="G39" s="78" t="s">
        <v>10</v>
      </c>
    </row>
    <row r="40" spans="2:13" s="40" customFormat="1" ht="14" customHeight="1">
      <c r="B40" s="8" t="s">
        <v>2</v>
      </c>
      <c r="C40" s="51">
        <v>4.47</v>
      </c>
      <c r="D40" s="7">
        <v>68</v>
      </c>
      <c r="E40" s="7">
        <f t="shared" si="1"/>
        <v>-0.56267674128900347</v>
      </c>
      <c r="F40" s="7">
        <f t="shared" si="0"/>
        <v>1.0215432273480116</v>
      </c>
      <c r="G40" s="78" t="s">
        <v>10</v>
      </c>
    </row>
    <row r="41" spans="2:13" s="40" customFormat="1" ht="14" customHeight="1">
      <c r="B41" s="8" t="s">
        <v>53</v>
      </c>
      <c r="C41" s="51">
        <v>5.34</v>
      </c>
      <c r="D41" s="7">
        <v>-148.5</v>
      </c>
      <c r="E41" s="7">
        <f t="shared" si="1"/>
        <v>4.5973588098212836E-2</v>
      </c>
      <c r="F41" s="7">
        <f t="shared" si="0"/>
        <v>0.60840609900336051</v>
      </c>
      <c r="G41" s="78" t="s">
        <v>10</v>
      </c>
    </row>
    <row r="42" spans="2:13" s="40" customFormat="1" ht="14" customHeight="1">
      <c r="B42" s="8" t="s">
        <v>37</v>
      </c>
      <c r="C42" s="51">
        <v>4.57</v>
      </c>
      <c r="D42" s="7">
        <v>-266.60000000000002</v>
      </c>
      <c r="E42" s="7">
        <f t="shared" si="1"/>
        <v>-0.49271693331346095</v>
      </c>
      <c r="F42" s="7">
        <f t="shared" si="0"/>
        <v>0.38304122668232898</v>
      </c>
      <c r="G42" s="78" t="s">
        <v>10</v>
      </c>
    </row>
    <row r="43" spans="2:13" s="40" customFormat="1" ht="14" customHeight="1">
      <c r="B43" s="8" t="s">
        <v>3</v>
      </c>
      <c r="C43" s="51">
        <v>7.44</v>
      </c>
      <c r="D43" s="7">
        <v>-786.8</v>
      </c>
      <c r="E43" s="7">
        <f t="shared" si="1"/>
        <v>1.5151295555845972</v>
      </c>
      <c r="F43" s="7">
        <f t="shared" si="0"/>
        <v>-0.60963283412546576</v>
      </c>
      <c r="G43" s="78" t="s">
        <v>10</v>
      </c>
    </row>
    <row r="44" spans="2:13" s="9" customFormat="1" ht="14" customHeight="1">
      <c r="B44" s="8" t="s">
        <v>4</v>
      </c>
      <c r="C44" s="51">
        <v>8.33</v>
      </c>
      <c r="D44" s="7">
        <v>-449.4</v>
      </c>
      <c r="E44" s="7">
        <f t="shared" si="1"/>
        <v>2.1377718465669213</v>
      </c>
      <c r="F44" s="7">
        <f t="shared" si="0"/>
        <v>3.4212279516498807E-2</v>
      </c>
      <c r="G44" s="78" t="s">
        <v>10</v>
      </c>
    </row>
    <row r="45" spans="2:13" s="9" customFormat="1" ht="14" customHeight="1">
      <c r="B45" s="4" t="s">
        <v>12</v>
      </c>
      <c r="C45" s="11">
        <f>AVERAGE(C27:C33)</f>
        <v>5.2742857142857149</v>
      </c>
      <c r="D45" s="11">
        <f>AVERAGE(D27:D33)</f>
        <v>-467.32857142857148</v>
      </c>
      <c r="E45" s="42"/>
      <c r="F45" s="42"/>
      <c r="G45" s="42"/>
    </row>
    <row r="46" spans="2:13" s="9" customFormat="1" ht="14" customHeight="1">
      <c r="B46" s="4" t="s">
        <v>19</v>
      </c>
      <c r="C46" s="11">
        <f>STDEV(C27:C33)</f>
        <v>1.4293921452008551</v>
      </c>
      <c r="D46" s="11">
        <f>STDEV(D27:D33)</f>
        <v>524.03907842286515</v>
      </c>
      <c r="E46" s="42"/>
      <c r="F46" s="42"/>
      <c r="G46" s="42"/>
    </row>
    <row r="47" spans="2:13" s="47" customFormat="1" ht="14" customHeight="1" thickBot="1">
      <c r="B47" s="4"/>
      <c r="C47" s="46"/>
      <c r="D47" s="46"/>
    </row>
    <row r="48" spans="2:13" s="28" customFormat="1" ht="24" customHeight="1" thickBot="1">
      <c r="B48" s="127" t="s">
        <v>44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9"/>
    </row>
    <row r="49" spans="2:14" s="47" customFormat="1" ht="14" customHeight="1" thickBot="1">
      <c r="B49" s="4"/>
      <c r="C49" s="46"/>
      <c r="D49" s="46"/>
    </row>
    <row r="50" spans="2:14" s="47" customFormat="1" ht="11" customHeight="1">
      <c r="B50" s="4"/>
      <c r="C50" s="46"/>
      <c r="D50" s="130" t="s">
        <v>86</v>
      </c>
      <c r="E50" s="131"/>
      <c r="F50" s="131"/>
      <c r="G50" s="131"/>
      <c r="H50" s="132"/>
    </row>
    <row r="51" spans="2:14" s="47" customFormat="1" ht="11" customHeight="1" thickBot="1">
      <c r="B51" s="4"/>
      <c r="C51" s="46"/>
      <c r="D51" s="133"/>
      <c r="E51" s="134"/>
      <c r="F51" s="134"/>
      <c r="G51" s="134"/>
      <c r="H51" s="135"/>
    </row>
    <row r="52" spans="2:14" s="47" customFormat="1" ht="14" customHeight="1">
      <c r="B52" s="4"/>
      <c r="C52" s="46"/>
      <c r="D52" s="46"/>
    </row>
    <row r="53" spans="2:14" s="41" customFormat="1" ht="30">
      <c r="B53" s="9" t="s">
        <v>7</v>
      </c>
      <c r="C53" s="14" t="s">
        <v>81</v>
      </c>
      <c r="D53" s="4" t="s">
        <v>83</v>
      </c>
      <c r="E53" s="9" t="s">
        <v>0</v>
      </c>
      <c r="F53" s="13" t="s">
        <v>31</v>
      </c>
      <c r="G53" s="4" t="s">
        <v>90</v>
      </c>
    </row>
    <row r="54" spans="2:14" s="40" customFormat="1" ht="14" customHeight="1">
      <c r="B54" s="8" t="s">
        <v>36</v>
      </c>
      <c r="C54" s="51">
        <v>-0.25485358619661796</v>
      </c>
      <c r="D54" s="51">
        <v>-1.955334002294741</v>
      </c>
      <c r="E54" s="78" t="s">
        <v>9</v>
      </c>
      <c r="F54" s="51">
        <f t="shared" ref="F54:F71" si="2">0.7071068*C54+0.7071068*D54</f>
        <v>-1.5628386730978419</v>
      </c>
      <c r="G54" s="51">
        <v>1.76</v>
      </c>
      <c r="I54" s="49"/>
      <c r="J54" s="51"/>
      <c r="L54" s="8"/>
      <c r="M54" s="78"/>
      <c r="N54" s="51"/>
    </row>
    <row r="55" spans="2:14" s="40" customFormat="1" ht="14" customHeight="1">
      <c r="B55" s="8" t="s">
        <v>49</v>
      </c>
      <c r="C55" s="51">
        <v>-1.0244114739275809</v>
      </c>
      <c r="D55" s="51">
        <v>-0.28809192823136093</v>
      </c>
      <c r="E55" s="78" t="s">
        <v>9</v>
      </c>
      <c r="F55" s="51">
        <f t="shared" si="2"/>
        <v>-0.92808008068972248</v>
      </c>
      <c r="G55" s="51">
        <v>2.12</v>
      </c>
      <c r="I55" s="49"/>
      <c r="J55" s="51"/>
      <c r="L55" s="9"/>
      <c r="M55" s="79"/>
      <c r="N55" s="11"/>
    </row>
    <row r="56" spans="2:14" s="40" customFormat="1" ht="14" customHeight="1">
      <c r="B56" s="8" t="s">
        <v>55</v>
      </c>
      <c r="C56" s="51">
        <v>-1.4231823793881708</v>
      </c>
      <c r="D56" s="51">
        <v>0.62558039071283766</v>
      </c>
      <c r="E56" s="78" t="s">
        <v>9</v>
      </c>
      <c r="F56" s="51">
        <f t="shared" si="2"/>
        <v>-0.56398978988585102</v>
      </c>
      <c r="G56" s="51">
        <v>2.2400000000000002</v>
      </c>
      <c r="I56" s="49"/>
      <c r="J56" s="51"/>
      <c r="L56" s="9"/>
      <c r="M56" s="79"/>
      <c r="N56" s="11"/>
    </row>
    <row r="57" spans="2:14" s="40" customFormat="1" ht="14" customHeight="1">
      <c r="B57" s="8" t="s">
        <v>84</v>
      </c>
      <c r="C57" s="51">
        <v>1.0184149189582483</v>
      </c>
      <c r="D57" s="51">
        <v>-0.47338345323027847</v>
      </c>
      <c r="E57" s="78" t="s">
        <v>9</v>
      </c>
      <c r="F57" s="51">
        <f t="shared" si="2"/>
        <v>0.38539545563021443</v>
      </c>
      <c r="G57" s="51">
        <v>2.56</v>
      </c>
      <c r="I57" s="49"/>
      <c r="J57" s="51"/>
      <c r="L57" s="9"/>
      <c r="M57" s="79"/>
      <c r="N57" s="11"/>
    </row>
    <row r="58" spans="2:14" s="40" customFormat="1" ht="14" customHeight="1">
      <c r="B58" s="8" t="s">
        <v>85</v>
      </c>
      <c r="C58" s="51">
        <v>-0.19188975901863017</v>
      </c>
      <c r="D58" s="51">
        <v>0.70801699091832926</v>
      </c>
      <c r="E58" s="78" t="s">
        <v>9</v>
      </c>
      <c r="F58" s="51">
        <f t="shared" si="2"/>
        <v>0.36495707534145416</v>
      </c>
      <c r="G58" s="51">
        <v>2.64</v>
      </c>
      <c r="I58" s="49"/>
      <c r="J58" s="51"/>
      <c r="L58" s="9"/>
      <c r="M58" s="79"/>
      <c r="N58" s="11"/>
    </row>
    <row r="59" spans="2:14" s="40" customFormat="1" ht="14" customHeight="1">
      <c r="B59" s="8" t="s">
        <v>40</v>
      </c>
      <c r="C59" s="51">
        <v>0.82252745662673021</v>
      </c>
      <c r="D59" s="51">
        <v>0.59085015636700555</v>
      </c>
      <c r="E59" s="78" t="s">
        <v>9</v>
      </c>
      <c r="F59" s="51">
        <f t="shared" si="2"/>
        <v>0.99940892111563895</v>
      </c>
      <c r="G59" s="51">
        <v>2.87</v>
      </c>
      <c r="I59" s="49"/>
      <c r="J59" s="51"/>
      <c r="L59" s="8"/>
      <c r="M59" s="78"/>
      <c r="N59" s="51"/>
    </row>
    <row r="60" spans="2:14" s="40" customFormat="1" ht="14" customHeight="1">
      <c r="B60" s="8" t="s">
        <v>52</v>
      </c>
      <c r="C60" s="51">
        <v>1.0533948229460193</v>
      </c>
      <c r="D60" s="51">
        <v>0.79236184575820723</v>
      </c>
      <c r="E60" s="78" t="s">
        <v>9</v>
      </c>
      <c r="F60" s="51">
        <f t="shared" si="2"/>
        <v>1.3051470915861056</v>
      </c>
      <c r="G60" s="51">
        <v>2.92</v>
      </c>
      <c r="I60" s="49"/>
      <c r="J60" s="51"/>
      <c r="L60" s="8"/>
      <c r="M60" s="78"/>
      <c r="N60" s="51"/>
    </row>
    <row r="61" spans="2:14" s="40" customFormat="1" ht="14" customHeight="1">
      <c r="B61" s="8" t="s">
        <v>50</v>
      </c>
      <c r="C61" s="51">
        <v>-1.2832627634370868</v>
      </c>
      <c r="D61" s="51">
        <v>-0.25317086842209024</v>
      </c>
      <c r="E61" s="78" t="s">
        <v>10</v>
      </c>
      <c r="F61" s="51">
        <f t="shared" si="2"/>
        <v>-1.0864226688363208</v>
      </c>
      <c r="G61" s="51">
        <v>1.85</v>
      </c>
      <c r="I61" s="49"/>
      <c r="J61" s="51"/>
      <c r="L61" s="9"/>
      <c r="M61" s="79"/>
      <c r="N61" s="11"/>
    </row>
    <row r="62" spans="2:14" s="40" customFormat="1" ht="14" customHeight="1">
      <c r="B62" s="8" t="s">
        <v>48</v>
      </c>
      <c r="C62" s="51">
        <v>-0.2268696630064011</v>
      </c>
      <c r="D62" s="51">
        <v>-0.32587536999221139</v>
      </c>
      <c r="E62" s="78" t="s">
        <v>10</v>
      </c>
      <c r="F62" s="51">
        <f t="shared" si="2"/>
        <v>-0.39084977149954331</v>
      </c>
      <c r="G62" s="51">
        <v>2.02</v>
      </c>
      <c r="I62" s="49"/>
      <c r="J62" s="51"/>
      <c r="L62" s="8"/>
      <c r="M62" s="78"/>
      <c r="N62" s="51"/>
    </row>
    <row r="63" spans="2:14" s="40" customFormat="1" ht="14" customHeight="1">
      <c r="B63" s="8" t="s">
        <v>38</v>
      </c>
      <c r="C63" s="51">
        <v>-0.74457224202541272</v>
      </c>
      <c r="D63" s="51">
        <v>0.16950753309449287</v>
      </c>
      <c r="E63" s="78" t="s">
        <v>10</v>
      </c>
      <c r="F63" s="51">
        <f t="shared" si="2"/>
        <v>-0.40663216612507419</v>
      </c>
      <c r="G63" s="51">
        <v>2.0499999999999998</v>
      </c>
      <c r="I63" s="49"/>
      <c r="J63" s="51"/>
      <c r="L63" s="9"/>
      <c r="M63" s="79"/>
      <c r="N63" s="11"/>
    </row>
    <row r="64" spans="2:14" s="40" customFormat="1" ht="14" customHeight="1">
      <c r="B64" s="8" t="s">
        <v>54</v>
      </c>
      <c r="C64" s="51">
        <v>-1.3462265906150745</v>
      </c>
      <c r="D64" s="51">
        <v>0.63359506017726042</v>
      </c>
      <c r="E64" s="78" t="s">
        <v>10</v>
      </c>
      <c r="F64" s="51">
        <f t="shared" si="2"/>
        <v>-0.50390660106698537</v>
      </c>
      <c r="G64" s="51">
        <v>2.21</v>
      </c>
      <c r="I64" s="49"/>
      <c r="J64" s="51"/>
      <c r="L64" s="9"/>
      <c r="M64" s="79"/>
      <c r="N64" s="11"/>
    </row>
    <row r="65" spans="2:14" s="40" customFormat="1" ht="14" customHeight="1">
      <c r="B65" s="8" t="s">
        <v>51</v>
      </c>
      <c r="C65" s="51">
        <v>-0.6396325300620993</v>
      </c>
      <c r="D65" s="51">
        <v>0.44276959673862248</v>
      </c>
      <c r="E65" s="78" t="s">
        <v>10</v>
      </c>
      <c r="F65" s="51">
        <f t="shared" si="2"/>
        <v>-0.13920311882097708</v>
      </c>
      <c r="G65" s="51">
        <v>2.2999999999999998</v>
      </c>
      <c r="I65" s="49"/>
      <c r="J65" s="51"/>
      <c r="L65" s="9"/>
      <c r="M65" s="79"/>
      <c r="N65" s="11"/>
    </row>
    <row r="66" spans="2:14" s="40" customFormat="1" ht="14" customHeight="1">
      <c r="B66" s="8" t="s">
        <v>39</v>
      </c>
      <c r="C66" s="51">
        <v>-0.5696727220865575</v>
      </c>
      <c r="D66" s="51">
        <v>0.49734567928207296</v>
      </c>
      <c r="E66" s="78" t="s">
        <v>10</v>
      </c>
      <c r="F66" s="51">
        <f t="shared" si="2"/>
        <v>-5.1142943790942086E-2</v>
      </c>
      <c r="G66" s="51">
        <v>2.31</v>
      </c>
      <c r="I66" s="49"/>
      <c r="J66" s="51"/>
      <c r="L66" s="8"/>
      <c r="M66" s="78"/>
      <c r="N66" s="51"/>
    </row>
    <row r="67" spans="2:14" s="40" customFormat="1" ht="14" customHeight="1">
      <c r="B67" s="8" t="s">
        <v>2</v>
      </c>
      <c r="C67" s="51">
        <v>-0.56267674128900347</v>
      </c>
      <c r="D67" s="51">
        <v>1.0215432273480116</v>
      </c>
      <c r="E67" s="78" t="s">
        <v>10</v>
      </c>
      <c r="F67" s="51">
        <f t="shared" si="2"/>
        <v>0.32446761258442991</v>
      </c>
      <c r="G67" s="51">
        <v>2.4900000000000002</v>
      </c>
      <c r="I67" s="49"/>
      <c r="J67" s="51"/>
      <c r="L67" s="8"/>
      <c r="M67" s="78"/>
      <c r="N67" s="51"/>
    </row>
    <row r="68" spans="2:14" s="40" customFormat="1" ht="14" customHeight="1">
      <c r="B68" s="8" t="s">
        <v>53</v>
      </c>
      <c r="C68" s="51">
        <v>4.5973588098212836E-2</v>
      </c>
      <c r="D68" s="51">
        <v>0.60840609900336029</v>
      </c>
      <c r="E68" s="78" t="s">
        <v>10</v>
      </c>
      <c r="F68" s="51">
        <f t="shared" si="2"/>
        <v>0.46271632653139466</v>
      </c>
      <c r="G68" s="51">
        <v>2.5</v>
      </c>
      <c r="I68" s="49"/>
      <c r="J68" s="51"/>
      <c r="L68" s="8"/>
      <c r="M68" s="78"/>
      <c r="N68" s="51"/>
    </row>
    <row r="69" spans="2:14" s="40" customFormat="1" ht="14" customHeight="1">
      <c r="B69" s="8" t="s">
        <v>37</v>
      </c>
      <c r="C69" s="51">
        <v>-0.49271693331346095</v>
      </c>
      <c r="D69" s="51">
        <v>0.38304122668232876</v>
      </c>
      <c r="E69" s="78" t="s">
        <v>10</v>
      </c>
      <c r="F69" s="51">
        <f t="shared" si="2"/>
        <v>-7.7552437953678666E-2</v>
      </c>
      <c r="G69" s="51">
        <v>2.67</v>
      </c>
      <c r="I69" s="49"/>
      <c r="J69" s="51"/>
      <c r="L69" s="9"/>
      <c r="M69" s="79"/>
      <c r="N69" s="11"/>
    </row>
    <row r="70" spans="2:14" s="40" customFormat="1" ht="14" customHeight="1">
      <c r="B70" s="8" t="s">
        <v>3</v>
      </c>
      <c r="C70" s="51">
        <v>1.5151295555845972</v>
      </c>
      <c r="D70" s="51">
        <v>-0.60963283412546598</v>
      </c>
      <c r="E70" s="78" t="s">
        <v>10</v>
      </c>
      <c r="F70" s="51">
        <f t="shared" si="2"/>
        <v>0.64028288912145759</v>
      </c>
      <c r="G70" s="51">
        <v>2.83</v>
      </c>
      <c r="I70" s="49"/>
      <c r="J70" s="51"/>
      <c r="L70" s="9"/>
      <c r="M70" s="79"/>
      <c r="N70" s="11"/>
    </row>
    <row r="71" spans="2:14" s="40" customFormat="1" ht="14" customHeight="1">
      <c r="B71" s="8" t="s">
        <v>4</v>
      </c>
      <c r="C71" s="51">
        <v>2.1377718465669213</v>
      </c>
      <c r="D71" s="51">
        <v>3.4212279516498592E-2</v>
      </c>
      <c r="E71" s="78" t="s">
        <v>10</v>
      </c>
      <c r="F71" s="51">
        <f t="shared" si="2"/>
        <v>1.5358247450456437</v>
      </c>
      <c r="G71" s="51">
        <v>3.32</v>
      </c>
      <c r="I71" s="49"/>
      <c r="J71" s="51"/>
      <c r="L71" s="9"/>
      <c r="M71" s="79"/>
      <c r="N71" s="11"/>
    </row>
    <row r="72" spans="2:14" s="47" customFormat="1" ht="14" customHeight="1" thickBot="1">
      <c r="B72" s="4"/>
      <c r="C72" s="46"/>
      <c r="D72" s="46"/>
    </row>
    <row r="73" spans="2:14" s="28" customFormat="1" ht="24" customHeight="1" thickBot="1">
      <c r="B73" s="136" t="s">
        <v>92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8"/>
    </row>
    <row r="74" spans="2:14" s="42" customFormat="1" ht="14" customHeight="1"/>
    <row r="75" spans="2:14" s="41" customFormat="1" ht="30">
      <c r="B75" s="9" t="s">
        <v>7</v>
      </c>
      <c r="C75" s="9" t="s">
        <v>0</v>
      </c>
      <c r="D75" s="13" t="s">
        <v>31</v>
      </c>
      <c r="E75" s="4" t="s">
        <v>90</v>
      </c>
      <c r="F75" s="4" t="s">
        <v>91</v>
      </c>
      <c r="G75" s="9" t="s">
        <v>1</v>
      </c>
      <c r="H75" s="9" t="s">
        <v>11</v>
      </c>
    </row>
    <row r="76" spans="2:14" s="54" customFormat="1" ht="14" customHeight="1">
      <c r="B76" s="8" t="s">
        <v>36</v>
      </c>
      <c r="C76" s="78" t="s">
        <v>9</v>
      </c>
      <c r="D76" s="49">
        <v>-1.5628386730978419</v>
      </c>
      <c r="E76" s="51">
        <v>1.76</v>
      </c>
      <c r="F76" s="49">
        <f>G76*(D76-D78)+E78</f>
        <v>1.9107908202638497</v>
      </c>
      <c r="G76" s="49">
        <f>(E78-E79)/(D78-D79)</f>
        <v>0.32958857467759783</v>
      </c>
      <c r="H76" s="49">
        <f>E76-F76</f>
        <v>-0.15079082026384971</v>
      </c>
    </row>
    <row r="77" spans="2:14" s="54" customFormat="1" ht="14" customHeight="1">
      <c r="B77" s="8" t="s">
        <v>50</v>
      </c>
      <c r="C77" s="78" t="s">
        <v>10</v>
      </c>
      <c r="D77" s="49">
        <v>-1.0864226688363208</v>
      </c>
      <c r="E77" s="51">
        <v>1.85</v>
      </c>
      <c r="F77" s="49">
        <f>(E76*(D77-D78)+E78*(D76-D77))/(D76-D78)</f>
        <v>2.0301968332299074</v>
      </c>
      <c r="G77" s="49"/>
      <c r="H77" s="49">
        <f t="shared" ref="H77:H93" si="3">E77-F77</f>
        <v>-0.18019683322990732</v>
      </c>
    </row>
    <row r="78" spans="2:14" s="54" customFormat="1" ht="14" customHeight="1">
      <c r="B78" s="8" t="s">
        <v>49</v>
      </c>
      <c r="C78" s="78" t="s">
        <v>9</v>
      </c>
      <c r="D78" s="49">
        <v>-0.92808008068972248</v>
      </c>
      <c r="E78" s="51">
        <v>2.12</v>
      </c>
      <c r="F78" s="49">
        <f>(E76*(D78-D79)+E79*(D76-D78))/(D76-D79)</f>
        <v>2.0650352555595068</v>
      </c>
      <c r="G78" s="49"/>
      <c r="H78" s="49">
        <f t="shared" si="3"/>
        <v>5.4964744440493263E-2</v>
      </c>
    </row>
    <row r="79" spans="2:14" s="54" customFormat="1" ht="14" customHeight="1">
      <c r="B79" s="8" t="s">
        <v>55</v>
      </c>
      <c r="C79" s="78" t="s">
        <v>9</v>
      </c>
      <c r="D79" s="49">
        <v>-0.56398978988585102</v>
      </c>
      <c r="E79" s="51">
        <v>2.2400000000000002</v>
      </c>
      <c r="F79" s="49">
        <f>(E78*(D79-D87)+E87*(D78-D79))/(D78-D87)</f>
        <v>2.2664203486612324</v>
      </c>
      <c r="G79" s="49"/>
      <c r="H79" s="49">
        <f t="shared" si="3"/>
        <v>-2.6420348661232218E-2</v>
      </c>
    </row>
    <row r="80" spans="2:14" s="54" customFormat="1" ht="14" customHeight="1">
      <c r="B80" s="8" t="s">
        <v>54</v>
      </c>
      <c r="C80" s="78" t="s">
        <v>10</v>
      </c>
      <c r="D80" s="49">
        <v>-0.50390660106698537</v>
      </c>
      <c r="E80" s="51">
        <v>2.21</v>
      </c>
      <c r="F80" s="49">
        <f>(E79*(D80-D87)+E87*(D79-D80))/(D79-D87)</f>
        <v>2.2658715287463354</v>
      </c>
      <c r="G80" s="49"/>
      <c r="H80" s="49">
        <f t="shared" si="3"/>
        <v>-5.5871528746335386E-2</v>
      </c>
    </row>
    <row r="81" spans="2:13" s="54" customFormat="1" ht="14" customHeight="1">
      <c r="B81" s="8" t="s">
        <v>38</v>
      </c>
      <c r="C81" s="78" t="s">
        <v>10</v>
      </c>
      <c r="D81" s="49">
        <v>-0.40663216612507419</v>
      </c>
      <c r="E81" s="51">
        <v>2.0499999999999998</v>
      </c>
      <c r="F81" s="49">
        <f>(E79*(D81-D87)+E87*(D79-D81))/(D79-D87)</f>
        <v>2.3077574271041965</v>
      </c>
      <c r="G81" s="49"/>
      <c r="H81" s="49">
        <f t="shared" si="3"/>
        <v>-0.25775742710419669</v>
      </c>
    </row>
    <row r="82" spans="2:13" s="54" customFormat="1" ht="14" customHeight="1">
      <c r="B82" s="8" t="s">
        <v>48</v>
      </c>
      <c r="C82" s="78" t="s">
        <v>10</v>
      </c>
      <c r="D82" s="49">
        <v>-0.39084977149954331</v>
      </c>
      <c r="E82" s="51">
        <v>2.02</v>
      </c>
      <c r="F82" s="49">
        <f>(E79*(D82-D87)+E87*(D79-D82))/(D79-D87)</f>
        <v>2.3145532494343226</v>
      </c>
      <c r="G82" s="49"/>
      <c r="H82" s="49">
        <f t="shared" si="3"/>
        <v>-0.29455324943432259</v>
      </c>
    </row>
    <row r="83" spans="2:13" s="54" customFormat="1" ht="14" customHeight="1">
      <c r="B83" s="8" t="s">
        <v>51</v>
      </c>
      <c r="C83" s="78" t="s">
        <v>10</v>
      </c>
      <c r="D83" s="49">
        <v>-0.13920311882097708</v>
      </c>
      <c r="E83" s="51">
        <v>2.2999999999999998</v>
      </c>
      <c r="F83" s="49">
        <f>(E79*(D83-D87)+E87*(D79-D83))/(D79-D87)</f>
        <v>2.422911073589094</v>
      </c>
      <c r="G83" s="49"/>
      <c r="H83" s="49">
        <f t="shared" si="3"/>
        <v>-0.12291107358909414</v>
      </c>
    </row>
    <row r="84" spans="2:13" s="54" customFormat="1" ht="14" customHeight="1">
      <c r="B84" s="8" t="s">
        <v>37</v>
      </c>
      <c r="C84" s="78" t="s">
        <v>10</v>
      </c>
      <c r="D84" s="49">
        <v>-7.7552437953678666E-2</v>
      </c>
      <c r="E84" s="51">
        <v>2.67</v>
      </c>
      <c r="F84" s="49">
        <f>(E79*(D84-D87)+E87*(D79-D84))/(D79-D87)</f>
        <v>2.4494575567842176</v>
      </c>
      <c r="G84" s="49"/>
      <c r="H84" s="49">
        <f t="shared" si="3"/>
        <v>0.22054244321578231</v>
      </c>
    </row>
    <row r="85" spans="2:13" s="54" customFormat="1" ht="14" customHeight="1">
      <c r="B85" s="8" t="s">
        <v>39</v>
      </c>
      <c r="C85" s="78" t="s">
        <v>10</v>
      </c>
      <c r="D85" s="49">
        <v>-5.1142943790942086E-2</v>
      </c>
      <c r="E85" s="51">
        <v>2.31</v>
      </c>
      <c r="F85" s="49">
        <f>(E79*(D85-D87)+E87*(D79-D85))/(D79-D87)</f>
        <v>2.4608293564646115</v>
      </c>
      <c r="G85" s="49"/>
      <c r="H85" s="49">
        <f t="shared" si="3"/>
        <v>-0.15082935646461149</v>
      </c>
    </row>
    <row r="86" spans="2:13" s="54" customFormat="1" ht="14" customHeight="1">
      <c r="B86" s="8" t="s">
        <v>2</v>
      </c>
      <c r="C86" s="78" t="s">
        <v>10</v>
      </c>
      <c r="D86" s="49">
        <v>0.32446761258442991</v>
      </c>
      <c r="E86" s="51">
        <v>2.4900000000000002</v>
      </c>
      <c r="F86" s="49">
        <f>(E79*(D86-D87)+E87*(D79-D86))/(D79-D87)</f>
        <v>2.6225654343546907</v>
      </c>
      <c r="G86" s="49"/>
      <c r="H86" s="49">
        <f t="shared" si="3"/>
        <v>-0.13256543435469048</v>
      </c>
    </row>
    <row r="87" spans="2:13" s="54" customFormat="1" ht="14" customHeight="1">
      <c r="B87" s="8" t="s">
        <v>85</v>
      </c>
      <c r="C87" s="78" t="s">
        <v>9</v>
      </c>
      <c r="D87" s="49">
        <v>0.36495707534145416</v>
      </c>
      <c r="E87" s="51">
        <v>2.64</v>
      </c>
      <c r="F87" s="49">
        <f>(E79*(D87-D88)+E88*(D79-D87))/(D79-D88)</f>
        <v>2.5531110350373645</v>
      </c>
      <c r="G87" s="49"/>
      <c r="H87" s="49">
        <f t="shared" si="3"/>
        <v>8.6888964962635651E-2</v>
      </c>
    </row>
    <row r="88" spans="2:13" s="54" customFormat="1" ht="14" customHeight="1">
      <c r="B88" s="8" t="s">
        <v>84</v>
      </c>
      <c r="C88" s="78" t="s">
        <v>9</v>
      </c>
      <c r="D88" s="49">
        <v>0.38539545563021443</v>
      </c>
      <c r="E88" s="51">
        <v>2.56</v>
      </c>
      <c r="F88" s="49">
        <f>(E87*(D88-D91)+E91*(D87-D88))/(D87-D91)</f>
        <v>2.6474092738443828</v>
      </c>
      <c r="G88" s="49"/>
      <c r="H88" s="49">
        <f t="shared" si="3"/>
        <v>-8.7409273844382795E-2</v>
      </c>
    </row>
    <row r="89" spans="2:13" s="54" customFormat="1" ht="14" customHeight="1">
      <c r="B89" s="8" t="s">
        <v>53</v>
      </c>
      <c r="C89" s="78" t="s">
        <v>10</v>
      </c>
      <c r="D89" s="49">
        <v>0.46271632653139466</v>
      </c>
      <c r="E89" s="51">
        <v>2.5</v>
      </c>
      <c r="F89" s="49">
        <f>(E88*(D89-D91)+E91*(D88-D89))/(D88-D91)</f>
        <v>2.599037368603009</v>
      </c>
      <c r="G89" s="49"/>
      <c r="H89" s="49">
        <f t="shared" si="3"/>
        <v>-9.9037368603009046E-2</v>
      </c>
    </row>
    <row r="90" spans="2:13" s="54" customFormat="1" ht="14" customHeight="1">
      <c r="B90" s="8" t="s">
        <v>3</v>
      </c>
      <c r="C90" s="78" t="s">
        <v>10</v>
      </c>
      <c r="D90" s="49">
        <v>0.64028288912145759</v>
      </c>
      <c r="E90" s="51">
        <v>2.83</v>
      </c>
      <c r="F90" s="49">
        <f>(E88*(D90-D91)+E91*(D88-D90))/(D88-D91)</f>
        <v>2.6886862728976437</v>
      </c>
      <c r="G90" s="49"/>
      <c r="H90" s="49">
        <f t="shared" si="3"/>
        <v>0.14131372710235635</v>
      </c>
    </row>
    <row r="91" spans="2:13" s="54" customFormat="1" ht="14" customHeight="1">
      <c r="B91" s="8" t="s">
        <v>40</v>
      </c>
      <c r="C91" s="78" t="s">
        <v>9</v>
      </c>
      <c r="D91" s="49">
        <v>0.99940892111563895</v>
      </c>
      <c r="E91" s="51">
        <v>2.87</v>
      </c>
      <c r="F91" s="49">
        <f>(E88*(D91-D92)+E92*(D88-D91))/(D88-D92)</f>
        <v>2.8003310186505104</v>
      </c>
      <c r="G91" s="49"/>
      <c r="H91" s="49">
        <f t="shared" si="3"/>
        <v>6.9668981349489734E-2</v>
      </c>
    </row>
    <row r="92" spans="2:13" s="54" customFormat="1" ht="14" customHeight="1">
      <c r="B92" s="8" t="s">
        <v>52</v>
      </c>
      <c r="C92" s="78" t="s">
        <v>9</v>
      </c>
      <c r="D92" s="49">
        <v>1.3051470915861056</v>
      </c>
      <c r="E92" s="51">
        <v>2.92</v>
      </c>
      <c r="F92" s="49">
        <f>G92*(D92-D91)+E91</f>
        <v>3.0243595347227683</v>
      </c>
      <c r="G92" s="49">
        <f>(E91-E88)/(D91-D88)</f>
        <v>0.50487492119561472</v>
      </c>
      <c r="H92" s="49">
        <f t="shared" si="3"/>
        <v>-0.10435953472276838</v>
      </c>
    </row>
    <row r="93" spans="2:13" s="60" customFormat="1" ht="14" customHeight="1">
      <c r="B93" s="8" t="s">
        <v>4</v>
      </c>
      <c r="C93" s="78" t="s">
        <v>10</v>
      </c>
      <c r="D93" s="49">
        <v>1.5358247450456437</v>
      </c>
      <c r="E93" s="51">
        <v>3.32</v>
      </c>
      <c r="F93" s="49">
        <f>G93*(D93-D92)+E92</f>
        <v>2.9577247062583929</v>
      </c>
      <c r="G93" s="49">
        <f>(E92-E91)/(D92-D91)</f>
        <v>0.16353862497136143</v>
      </c>
      <c r="H93" s="49">
        <f t="shared" si="3"/>
        <v>0.36227529374160694</v>
      </c>
    </row>
    <row r="94" spans="2:13" s="45" customFormat="1" ht="14" customHeight="1" thickBot="1">
      <c r="B94" s="16"/>
      <c r="C94" s="18"/>
      <c r="D94" s="21"/>
      <c r="E94" s="17"/>
      <c r="F94" s="21"/>
      <c r="G94" s="21"/>
      <c r="H94" s="21"/>
    </row>
    <row r="95" spans="2:13" s="28" customFormat="1" ht="24" customHeight="1" thickBot="1">
      <c r="B95" s="136" t="s">
        <v>45</v>
      </c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8"/>
    </row>
    <row r="96" spans="2:13" s="45" customFormat="1" ht="14" customHeight="1"/>
    <row r="97" spans="2:19" s="40" customFormat="1" ht="30">
      <c r="B97" s="4" t="s">
        <v>7</v>
      </c>
      <c r="C97" s="12" t="s">
        <v>0</v>
      </c>
      <c r="D97" s="13" t="s">
        <v>31</v>
      </c>
      <c r="E97" s="4" t="s">
        <v>90</v>
      </c>
      <c r="F97" s="4" t="s">
        <v>91</v>
      </c>
      <c r="G97" s="9" t="s">
        <v>1</v>
      </c>
      <c r="H97" s="9" t="s">
        <v>11</v>
      </c>
      <c r="I97" s="9" t="s">
        <v>29</v>
      </c>
      <c r="J97" s="9" t="s">
        <v>30</v>
      </c>
      <c r="K97" s="9" t="s">
        <v>47</v>
      </c>
      <c r="L97" s="9" t="s">
        <v>46</v>
      </c>
      <c r="M97" s="9" t="s">
        <v>13</v>
      </c>
      <c r="N97" s="9"/>
      <c r="O97" s="9"/>
    </row>
    <row r="98" spans="2:19" s="8" customFormat="1" ht="14" customHeight="1">
      <c r="B98" s="8" t="s">
        <v>36</v>
      </c>
      <c r="C98" s="78" t="s">
        <v>9</v>
      </c>
      <c r="D98" s="51">
        <v>-1.5628386730978419</v>
      </c>
      <c r="E98" s="51">
        <v>1.76</v>
      </c>
      <c r="F98" s="51">
        <v>1.9107908202638497</v>
      </c>
      <c r="G98" s="51">
        <v>0.32958857467759783</v>
      </c>
      <c r="H98" s="51">
        <f>E98-F98</f>
        <v>-0.15079082026384971</v>
      </c>
      <c r="I98" s="51">
        <f>ABS(H98)</f>
        <v>0.15079082026384971</v>
      </c>
      <c r="J98" s="51">
        <f>H98^2</f>
        <v>2.2737871475844627E-2</v>
      </c>
      <c r="K98" s="51">
        <f>E98-(AVERAGE($E$98:$E$104))</f>
        <v>-0.68428571428571439</v>
      </c>
      <c r="L98" s="51">
        <f>K98^2</f>
        <v>0.46824693877551032</v>
      </c>
      <c r="M98" s="51">
        <f>I98/E98</f>
        <v>8.5676602422641884E-2</v>
      </c>
      <c r="O98" s="51"/>
      <c r="R98" s="51"/>
      <c r="S98" s="51"/>
    </row>
    <row r="99" spans="2:19" s="8" customFormat="1" ht="14" customHeight="1">
      <c r="B99" s="8" t="s">
        <v>49</v>
      </c>
      <c r="C99" s="78" t="s">
        <v>9</v>
      </c>
      <c r="D99" s="51">
        <v>-0.92808008068972248</v>
      </c>
      <c r="E99" s="51">
        <v>2.12</v>
      </c>
      <c r="F99" s="51">
        <v>2.0650352555595068</v>
      </c>
      <c r="G99" s="51"/>
      <c r="H99" s="51">
        <f t="shared" ref="H99:H104" si="4">E99-F99</f>
        <v>5.4964744440493263E-2</v>
      </c>
      <c r="I99" s="51">
        <f t="shared" ref="I99:I104" si="5">ABS(H99)</f>
        <v>5.4964744440493263E-2</v>
      </c>
      <c r="J99" s="51">
        <f t="shared" ref="J99:J104" si="6">H99^2</f>
        <v>3.0211231314087351E-3</v>
      </c>
      <c r="K99" s="51">
        <f t="shared" ref="K99:K104" si="7">E99-(AVERAGE($E$98:$E$104))</f>
        <v>-0.32428571428571429</v>
      </c>
      <c r="L99" s="51">
        <f t="shared" ref="L99:L104" si="8">K99^2</f>
        <v>0.10516122448979592</v>
      </c>
      <c r="M99" s="51">
        <f t="shared" ref="M99:M104" si="9">I99/E99</f>
        <v>2.5926766245515688E-2</v>
      </c>
      <c r="Q99" s="51"/>
      <c r="R99" s="51"/>
    </row>
    <row r="100" spans="2:19" s="8" customFormat="1" ht="14" customHeight="1">
      <c r="B100" s="8" t="s">
        <v>55</v>
      </c>
      <c r="C100" s="78" t="s">
        <v>9</v>
      </c>
      <c r="D100" s="51">
        <v>-0.56398978988585102</v>
      </c>
      <c r="E100" s="51">
        <v>2.2400000000000002</v>
      </c>
      <c r="F100" s="51">
        <v>2.2664203486612324</v>
      </c>
      <c r="G100" s="51"/>
      <c r="H100" s="51">
        <f t="shared" si="4"/>
        <v>-2.6420348661232218E-2</v>
      </c>
      <c r="I100" s="51">
        <f t="shared" si="5"/>
        <v>2.6420348661232218E-2</v>
      </c>
      <c r="J100" s="51">
        <f t="shared" si="6"/>
        <v>6.9803482338107506E-4</v>
      </c>
      <c r="K100" s="51">
        <f>E100-(AVERAGE($E$98:$E$104))</f>
        <v>-0.20428571428571418</v>
      </c>
      <c r="L100" s="51">
        <f t="shared" si="8"/>
        <v>4.1732653061224451E-2</v>
      </c>
      <c r="M100" s="51">
        <f t="shared" si="9"/>
        <v>1.1794798509478668E-2</v>
      </c>
      <c r="Q100" s="51"/>
      <c r="R100" s="51"/>
    </row>
    <row r="101" spans="2:19" s="8" customFormat="1" ht="14" customHeight="1">
      <c r="B101" s="8" t="s">
        <v>85</v>
      </c>
      <c r="C101" s="78" t="s">
        <v>9</v>
      </c>
      <c r="D101" s="51">
        <v>0.36495707534145416</v>
      </c>
      <c r="E101" s="51">
        <v>2.64</v>
      </c>
      <c r="F101" s="51">
        <v>2.5531110350373645</v>
      </c>
      <c r="G101" s="51"/>
      <c r="H101" s="51">
        <f t="shared" si="4"/>
        <v>8.6888964962635651E-2</v>
      </c>
      <c r="I101" s="51">
        <f t="shared" si="5"/>
        <v>8.6888964962635651E-2</v>
      </c>
      <c r="J101" s="51">
        <f t="shared" si="6"/>
        <v>7.5496922322781258E-3</v>
      </c>
      <c r="K101" s="51">
        <f t="shared" si="7"/>
        <v>0.19571428571428573</v>
      </c>
      <c r="L101" s="51">
        <f t="shared" si="8"/>
        <v>3.8304081632653066E-2</v>
      </c>
      <c r="M101" s="51">
        <f t="shared" si="9"/>
        <v>3.291248672827108E-2</v>
      </c>
      <c r="Q101" s="51"/>
      <c r="R101" s="51"/>
    </row>
    <row r="102" spans="2:19" s="8" customFormat="1" ht="14" customHeight="1">
      <c r="B102" s="8" t="s">
        <v>84</v>
      </c>
      <c r="C102" s="78" t="s">
        <v>9</v>
      </c>
      <c r="D102" s="51">
        <v>0.38539545563021443</v>
      </c>
      <c r="E102" s="51">
        <v>2.56</v>
      </c>
      <c r="F102" s="51">
        <v>2.6474092738443828</v>
      </c>
      <c r="G102" s="51"/>
      <c r="H102" s="51">
        <f t="shared" si="4"/>
        <v>-8.7409273844382795E-2</v>
      </c>
      <c r="I102" s="51">
        <f t="shared" si="5"/>
        <v>8.7409273844382795E-2</v>
      </c>
      <c r="J102" s="51">
        <f t="shared" si="6"/>
        <v>7.6403811540023021E-3</v>
      </c>
      <c r="K102" s="51">
        <f t="shared" si="7"/>
        <v>0.11571428571428566</v>
      </c>
      <c r="L102" s="51">
        <f t="shared" si="8"/>
        <v>1.3389795918367335E-2</v>
      </c>
      <c r="M102" s="51">
        <f t="shared" si="9"/>
        <v>3.4144247595462029E-2</v>
      </c>
      <c r="Q102" s="51"/>
    </row>
    <row r="103" spans="2:19" s="8" customFormat="1" ht="14" customHeight="1">
      <c r="B103" s="8" t="s">
        <v>40</v>
      </c>
      <c r="C103" s="78" t="s">
        <v>9</v>
      </c>
      <c r="D103" s="51">
        <v>0.99940892111563895</v>
      </c>
      <c r="E103" s="51">
        <v>2.87</v>
      </c>
      <c r="F103" s="51">
        <v>2.8003310186505104</v>
      </c>
      <c r="G103" s="51"/>
      <c r="H103" s="51">
        <f t="shared" si="4"/>
        <v>6.9668981349489734E-2</v>
      </c>
      <c r="I103" s="51">
        <f t="shared" si="5"/>
        <v>6.9668981349489734E-2</v>
      </c>
      <c r="J103" s="51">
        <f t="shared" si="6"/>
        <v>4.8537669622755481E-3</v>
      </c>
      <c r="K103" s="51">
        <f t="shared" si="7"/>
        <v>0.42571428571428571</v>
      </c>
      <c r="L103" s="51">
        <f t="shared" si="8"/>
        <v>0.18123265306122449</v>
      </c>
      <c r="M103" s="51">
        <f t="shared" si="9"/>
        <v>2.4274906393550427E-2</v>
      </c>
      <c r="Q103" s="51"/>
      <c r="R103" s="51"/>
    </row>
    <row r="104" spans="2:19" s="8" customFormat="1" ht="14" customHeight="1">
      <c r="B104" s="8" t="s">
        <v>52</v>
      </c>
      <c r="C104" s="78" t="s">
        <v>9</v>
      </c>
      <c r="D104" s="51">
        <v>1.3051470915861056</v>
      </c>
      <c r="E104" s="51">
        <v>2.92</v>
      </c>
      <c r="F104" s="51">
        <v>3.0243595347227683</v>
      </c>
      <c r="G104" s="51">
        <v>0.50487492119561472</v>
      </c>
      <c r="H104" s="51">
        <f t="shared" si="4"/>
        <v>-0.10435953472276838</v>
      </c>
      <c r="I104" s="51">
        <f t="shared" si="5"/>
        <v>0.10435953472276838</v>
      </c>
      <c r="J104" s="51">
        <f t="shared" si="6"/>
        <v>1.0890912487552699E-2</v>
      </c>
      <c r="K104" s="51">
        <f t="shared" si="7"/>
        <v>0.47571428571428553</v>
      </c>
      <c r="L104" s="51">
        <f t="shared" si="8"/>
        <v>0.22630408163265289</v>
      </c>
      <c r="M104" s="51">
        <f t="shared" si="9"/>
        <v>3.5739566685879583E-2</v>
      </c>
      <c r="O104" s="51"/>
      <c r="R104" s="51"/>
      <c r="S104" s="51"/>
    </row>
    <row r="105" spans="2:19" s="8" customFormat="1" ht="14" customHeight="1">
      <c r="C105" s="78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O105" s="51"/>
      <c r="R105" s="51"/>
      <c r="S105" s="51"/>
    </row>
    <row r="106" spans="2:19" s="8" customFormat="1" ht="14" customHeight="1">
      <c r="C106" s="78"/>
      <c r="D106" s="51"/>
      <c r="E106" s="85" t="s">
        <v>102</v>
      </c>
      <c r="F106" s="88">
        <f>CORREL(E98:E104,F98:F104)</f>
        <v>0.97489494968975465</v>
      </c>
      <c r="G106" s="85" t="s">
        <v>104</v>
      </c>
      <c r="H106" s="89">
        <f>SQRT((SUM(J98:J104)/7))</f>
        <v>9.0547369029178079E-2</v>
      </c>
      <c r="J106" s="51"/>
      <c r="L106" s="51"/>
      <c r="M106" s="51"/>
      <c r="O106" s="51"/>
      <c r="R106" s="51"/>
      <c r="S106" s="51"/>
    </row>
    <row r="107" spans="2:19" s="8" customFormat="1" ht="14" customHeight="1">
      <c r="C107" s="78"/>
      <c r="D107" s="51"/>
      <c r="E107" s="86" t="s">
        <v>103</v>
      </c>
      <c r="F107" s="89">
        <f>1-((SUM(J98:J104)/SUM(L98:L104)))</f>
        <v>0.94658106057133717</v>
      </c>
      <c r="G107" s="86" t="s">
        <v>105</v>
      </c>
      <c r="H107" s="90">
        <f>(SUM(M98:M104)/7)*100</f>
        <v>3.5781339225828481</v>
      </c>
      <c r="J107" s="51"/>
      <c r="L107" s="51"/>
      <c r="M107" s="51"/>
      <c r="O107" s="51"/>
      <c r="R107" s="51"/>
      <c r="S107" s="51"/>
    </row>
    <row r="108" spans="2:19" s="8" customFormat="1" ht="14" customHeight="1">
      <c r="C108" s="78"/>
      <c r="D108" s="51"/>
      <c r="E108" s="84"/>
      <c r="F108" s="84"/>
      <c r="G108" s="87" t="s">
        <v>106</v>
      </c>
      <c r="H108" s="90">
        <f>SUM(I98:I104)/7</f>
        <v>8.2928952606407397E-2</v>
      </c>
      <c r="J108" s="51"/>
      <c r="K108" s="51"/>
      <c r="L108" s="51"/>
      <c r="M108" s="51"/>
      <c r="O108" s="51"/>
      <c r="R108" s="51"/>
      <c r="S108" s="51"/>
    </row>
    <row r="109" spans="2:19" s="8" customFormat="1" ht="14" customHeight="1">
      <c r="B109" s="23"/>
      <c r="C109" s="23"/>
      <c r="D109" s="22"/>
      <c r="E109" s="19"/>
      <c r="F109" s="23"/>
      <c r="G109" s="80"/>
      <c r="H109" s="20"/>
      <c r="I109" s="20"/>
      <c r="J109" s="20"/>
      <c r="K109" s="20"/>
      <c r="L109" s="20"/>
      <c r="M109" s="80"/>
      <c r="N109" s="23"/>
      <c r="O109" s="20"/>
      <c r="P109" s="20"/>
      <c r="R109" s="51"/>
      <c r="S109" s="51"/>
    </row>
    <row r="110" spans="2:19" s="40" customFormat="1" ht="30">
      <c r="B110" s="4" t="s">
        <v>7</v>
      </c>
      <c r="C110" s="12" t="s">
        <v>0</v>
      </c>
      <c r="D110" s="13" t="s">
        <v>31</v>
      </c>
      <c r="E110" s="4" t="s">
        <v>90</v>
      </c>
      <c r="F110" s="4" t="s">
        <v>91</v>
      </c>
      <c r="G110" s="9" t="s">
        <v>1</v>
      </c>
      <c r="H110" s="9" t="s">
        <v>11</v>
      </c>
      <c r="I110" s="9" t="s">
        <v>29</v>
      </c>
      <c r="J110" s="9" t="s">
        <v>30</v>
      </c>
      <c r="K110" s="9" t="s">
        <v>47</v>
      </c>
      <c r="L110" s="9" t="s">
        <v>46</v>
      </c>
      <c r="M110" s="9" t="s">
        <v>13</v>
      </c>
      <c r="N110" s="9" t="s">
        <v>109</v>
      </c>
      <c r="O110" s="9" t="s">
        <v>110</v>
      </c>
      <c r="P110" s="9" t="s">
        <v>111</v>
      </c>
    </row>
    <row r="111" spans="2:19" s="8" customFormat="1" ht="14" customHeight="1">
      <c r="B111" s="8" t="s">
        <v>50</v>
      </c>
      <c r="C111" s="78" t="s">
        <v>10</v>
      </c>
      <c r="D111" s="51">
        <v>-1.0864226688363208</v>
      </c>
      <c r="E111" s="51">
        <v>1.85</v>
      </c>
      <c r="F111" s="51">
        <v>2.0301968332299074</v>
      </c>
      <c r="G111" s="51"/>
      <c r="H111" s="51">
        <f>E111-F111</f>
        <v>-0.18019683322990732</v>
      </c>
      <c r="I111" s="51">
        <f>ABS(H111)</f>
        <v>0.18019683322990732</v>
      </c>
      <c r="J111" s="51">
        <f>H111^2</f>
        <v>3.2470898706087027E-2</v>
      </c>
      <c r="K111" s="51">
        <f>E111-(AVERAGE($E$111:$E$121))</f>
        <v>-0.56363636363636349</v>
      </c>
      <c r="L111" s="51">
        <f>K111^2</f>
        <v>0.31768595041322295</v>
      </c>
      <c r="M111" s="51">
        <f>I111/E111</f>
        <v>9.7403693637787739E-2</v>
      </c>
      <c r="N111" s="51">
        <f>F111-AVERAGE($F$111:$F$121)</f>
        <v>-0.43522051290340391</v>
      </c>
      <c r="O111" s="30">
        <f>N111^2</f>
        <v>0.18941689485190197</v>
      </c>
      <c r="P111" s="30">
        <f>K111*N111</f>
        <v>0.24530610727282759</v>
      </c>
      <c r="R111" s="51"/>
      <c r="S111" s="51"/>
    </row>
    <row r="112" spans="2:19" s="8" customFormat="1" ht="14" customHeight="1">
      <c r="B112" s="8" t="s">
        <v>54</v>
      </c>
      <c r="C112" s="78" t="s">
        <v>10</v>
      </c>
      <c r="D112" s="51">
        <v>-0.50390660106698537</v>
      </c>
      <c r="E112" s="51">
        <v>2.21</v>
      </c>
      <c r="F112" s="51">
        <v>2.2658715287463354</v>
      </c>
      <c r="G112" s="51"/>
      <c r="H112" s="51">
        <f t="shared" ref="H112:H121" si="10">E112-F112</f>
        <v>-5.5871528746335386E-2</v>
      </c>
      <c r="I112" s="51">
        <f t="shared" ref="I112:I121" si="11">ABS(H112)</f>
        <v>5.5871528746335386E-2</v>
      </c>
      <c r="J112" s="51">
        <f t="shared" ref="J112:J121" si="12">H112^2</f>
        <v>3.1216277244525813E-3</v>
      </c>
      <c r="K112" s="51">
        <f>E112-(AVERAGE($E$111:$E$121))</f>
        <v>-0.20363636363636362</v>
      </c>
      <c r="L112" s="51">
        <f t="shared" ref="L112:L121" si="13">K112^2</f>
        <v>4.1467768595041317E-2</v>
      </c>
      <c r="M112" s="51">
        <f t="shared" ref="M112:M121" si="14">I112/E112</f>
        <v>2.5281234726848591E-2</v>
      </c>
      <c r="N112" s="51">
        <f t="shared" ref="N112:N121" si="15">F112-AVERAGE($F$111:$F$121)</f>
        <v>-0.19954581738697597</v>
      </c>
      <c r="O112" s="30">
        <f t="shared" ref="O112:O121" si="16">N112^2</f>
        <v>3.981853323663636E-2</v>
      </c>
      <c r="P112" s="30">
        <f t="shared" ref="P112:P121" si="17">K112*N112</f>
        <v>4.0634784631529648E-2</v>
      </c>
      <c r="R112" s="51"/>
      <c r="S112" s="51"/>
    </row>
    <row r="113" spans="2:19" s="8" customFormat="1" ht="14" customHeight="1">
      <c r="B113" s="8" t="s">
        <v>38</v>
      </c>
      <c r="C113" s="78" t="s">
        <v>10</v>
      </c>
      <c r="D113" s="51">
        <v>-0.40663216612507419</v>
      </c>
      <c r="E113" s="51">
        <v>2.0499999999999998</v>
      </c>
      <c r="F113" s="51">
        <v>2.3077574271041965</v>
      </c>
      <c r="G113" s="51"/>
      <c r="H113" s="51">
        <f t="shared" si="10"/>
        <v>-0.25775742710419669</v>
      </c>
      <c r="I113" s="51">
        <f t="shared" si="11"/>
        <v>0.25775742710419669</v>
      </c>
      <c r="J113" s="51">
        <f t="shared" si="12"/>
        <v>6.6438891227375271E-2</v>
      </c>
      <c r="K113" s="51">
        <f>E113-(AVERAGE($E$111:$E$121))</f>
        <v>-0.36363636363636376</v>
      </c>
      <c r="L113" s="51">
        <f t="shared" si="13"/>
        <v>0.13223140495867777</v>
      </c>
      <c r="M113" s="51">
        <f t="shared" si="14"/>
        <v>0.12573533029473011</v>
      </c>
      <c r="N113" s="51">
        <f t="shared" si="15"/>
        <v>-0.1576599190291148</v>
      </c>
      <c r="O113" s="30">
        <f t="shared" si="16"/>
        <v>2.4856650068267035E-2</v>
      </c>
      <c r="P113" s="30">
        <f t="shared" si="17"/>
        <v>5.7330879646950855E-2</v>
      </c>
    </row>
    <row r="114" spans="2:19" s="8" customFormat="1" ht="14" customHeight="1">
      <c r="B114" s="8" t="s">
        <v>48</v>
      </c>
      <c r="C114" s="78" t="s">
        <v>10</v>
      </c>
      <c r="D114" s="51">
        <v>-0.39084977149954331</v>
      </c>
      <c r="E114" s="51">
        <v>2.02</v>
      </c>
      <c r="F114" s="51">
        <v>2.3145532494343226</v>
      </c>
      <c r="G114" s="51"/>
      <c r="H114" s="51">
        <f t="shared" si="10"/>
        <v>-0.29455324943432259</v>
      </c>
      <c r="I114" s="51">
        <f t="shared" si="11"/>
        <v>0.29455324943432259</v>
      </c>
      <c r="J114" s="51">
        <f t="shared" si="12"/>
        <v>8.6761616752318263E-2</v>
      </c>
      <c r="K114" s="51">
        <f>E114-(AVERAGE($E$111:$E$121))</f>
        <v>-0.39363636363636356</v>
      </c>
      <c r="L114" s="51">
        <f t="shared" si="13"/>
        <v>0.15494958677685944</v>
      </c>
      <c r="M114" s="51">
        <f t="shared" si="14"/>
        <v>0.14581844031402108</v>
      </c>
      <c r="N114" s="51">
        <f t="shared" si="15"/>
        <v>-0.1508640966989887</v>
      </c>
      <c r="O114" s="30">
        <f t="shared" si="16"/>
        <v>2.2759975672801813E-2</v>
      </c>
      <c r="P114" s="30">
        <f t="shared" si="17"/>
        <v>5.9385594427874631E-2</v>
      </c>
    </row>
    <row r="115" spans="2:19" s="8" customFormat="1" ht="14" customHeight="1">
      <c r="B115" s="8" t="s">
        <v>51</v>
      </c>
      <c r="C115" s="78" t="s">
        <v>10</v>
      </c>
      <c r="D115" s="51">
        <v>-0.13920311882097708</v>
      </c>
      <c r="E115" s="51">
        <v>2.2999999999999998</v>
      </c>
      <c r="F115" s="51">
        <v>2.422911073589094</v>
      </c>
      <c r="G115" s="51"/>
      <c r="H115" s="51">
        <f t="shared" si="10"/>
        <v>-0.12291107358909414</v>
      </c>
      <c r="I115" s="51">
        <f t="shared" si="11"/>
        <v>0.12291107358909414</v>
      </c>
      <c r="J115" s="51">
        <f t="shared" si="12"/>
        <v>1.5107132010823716E-2</v>
      </c>
      <c r="K115" s="51">
        <f t="shared" ref="K115:K121" si="18">E115-(AVERAGE($E$111:$E$121))</f>
        <v>-0.11363636363636376</v>
      </c>
      <c r="L115" s="51">
        <f t="shared" si="13"/>
        <v>1.2913223140495896E-2</v>
      </c>
      <c r="M115" s="51">
        <f t="shared" si="14"/>
        <v>5.3439597212649632E-2</v>
      </c>
      <c r="N115" s="51">
        <f t="shared" si="15"/>
        <v>-4.2506272544217349E-2</v>
      </c>
      <c r="O115" s="30">
        <f t="shared" si="16"/>
        <v>1.8067832056032857E-3</v>
      </c>
      <c r="P115" s="30">
        <f t="shared" si="17"/>
        <v>4.8302582436610675E-3</v>
      </c>
    </row>
    <row r="116" spans="2:19" s="8" customFormat="1" ht="14" customHeight="1">
      <c r="B116" s="8" t="s">
        <v>37</v>
      </c>
      <c r="C116" s="78" t="s">
        <v>10</v>
      </c>
      <c r="D116" s="51">
        <v>-7.7552437953678666E-2</v>
      </c>
      <c r="E116" s="51">
        <v>2.67</v>
      </c>
      <c r="F116" s="51">
        <v>2.4494575567842176</v>
      </c>
      <c r="G116" s="51"/>
      <c r="H116" s="51">
        <f t="shared" si="10"/>
        <v>0.22054244321578231</v>
      </c>
      <c r="I116" s="51">
        <f t="shared" si="11"/>
        <v>0.22054244321578231</v>
      </c>
      <c r="J116" s="51">
        <f t="shared" si="12"/>
        <v>4.8638969259586565E-2</v>
      </c>
      <c r="K116" s="51">
        <f t="shared" si="18"/>
        <v>0.25636363636363635</v>
      </c>
      <c r="L116" s="51">
        <f t="shared" si="13"/>
        <v>6.5722314049586769E-2</v>
      </c>
      <c r="M116" s="51">
        <f t="shared" si="14"/>
        <v>8.260016599842035E-2</v>
      </c>
      <c r="N116" s="51">
        <f t="shared" si="15"/>
        <v>-1.59597893490937E-2</v>
      </c>
      <c r="O116" s="30">
        <f t="shared" si="16"/>
        <v>2.5471487606744473E-4</v>
      </c>
      <c r="P116" s="30">
        <f t="shared" si="17"/>
        <v>-4.091509633131294E-3</v>
      </c>
      <c r="R116" s="51"/>
    </row>
    <row r="117" spans="2:19" s="8" customFormat="1" ht="14" customHeight="1">
      <c r="B117" s="8" t="s">
        <v>39</v>
      </c>
      <c r="C117" s="78" t="s">
        <v>10</v>
      </c>
      <c r="D117" s="51">
        <v>-5.1142943790942086E-2</v>
      </c>
      <c r="E117" s="51">
        <v>2.31</v>
      </c>
      <c r="F117" s="51">
        <v>2.4608293564646115</v>
      </c>
      <c r="G117" s="51"/>
      <c r="H117" s="51">
        <f t="shared" si="10"/>
        <v>-0.15082935646461149</v>
      </c>
      <c r="I117" s="51">
        <f t="shared" si="11"/>
        <v>0.15082935646461149</v>
      </c>
      <c r="J117" s="51">
        <f t="shared" si="12"/>
        <v>2.2749494771528839E-2</v>
      </c>
      <c r="K117" s="51">
        <f t="shared" si="18"/>
        <v>-0.10363636363636353</v>
      </c>
      <c r="L117" s="51">
        <f t="shared" si="13"/>
        <v>1.0740495867768571E-2</v>
      </c>
      <c r="M117" s="51">
        <f t="shared" si="14"/>
        <v>6.5294093707624012E-2</v>
      </c>
      <c r="N117" s="51">
        <f t="shared" si="15"/>
        <v>-4.5879896686997768E-3</v>
      </c>
      <c r="O117" s="30">
        <f t="shared" si="16"/>
        <v>2.1049649200095887E-5</v>
      </c>
      <c r="P117" s="30">
        <f t="shared" si="17"/>
        <v>4.7548256566524907E-4</v>
      </c>
      <c r="R117" s="51"/>
    </row>
    <row r="118" spans="2:19" s="8" customFormat="1" ht="14" customHeight="1">
      <c r="B118" s="8" t="s">
        <v>2</v>
      </c>
      <c r="C118" s="78" t="s">
        <v>10</v>
      </c>
      <c r="D118" s="51">
        <v>0.32446761258442991</v>
      </c>
      <c r="E118" s="51">
        <v>2.4900000000000002</v>
      </c>
      <c r="F118" s="51">
        <v>2.6225654343546907</v>
      </c>
      <c r="G118" s="51"/>
      <c r="H118" s="51">
        <f t="shared" si="10"/>
        <v>-0.13256543435469048</v>
      </c>
      <c r="I118" s="51">
        <f t="shared" si="11"/>
        <v>0.13256543435469048</v>
      </c>
      <c r="J118" s="51">
        <f t="shared" si="12"/>
        <v>1.7573594385647751E-2</v>
      </c>
      <c r="K118" s="51">
        <f t="shared" si="18"/>
        <v>7.6363636363636633E-2</v>
      </c>
      <c r="L118" s="51">
        <f t="shared" si="13"/>
        <v>5.8314049586777267E-3</v>
      </c>
      <c r="M118" s="51">
        <f t="shared" si="14"/>
        <v>5.3239130262927897E-2</v>
      </c>
      <c r="N118" s="51">
        <f t="shared" si="15"/>
        <v>0.15714808822137938</v>
      </c>
      <c r="O118" s="30">
        <f t="shared" si="16"/>
        <v>2.4695521631634437E-2</v>
      </c>
      <c r="P118" s="30">
        <f t="shared" si="17"/>
        <v>1.2000399464178104E-2</v>
      </c>
      <c r="R118" s="51"/>
    </row>
    <row r="119" spans="2:19" s="8" customFormat="1" ht="14" customHeight="1">
      <c r="B119" s="8" t="s">
        <v>53</v>
      </c>
      <c r="C119" s="78" t="s">
        <v>10</v>
      </c>
      <c r="D119" s="51">
        <v>0.46271632653139466</v>
      </c>
      <c r="E119" s="51">
        <v>2.5</v>
      </c>
      <c r="F119" s="51">
        <v>2.599037368603009</v>
      </c>
      <c r="G119" s="51"/>
      <c r="H119" s="51">
        <f t="shared" si="10"/>
        <v>-9.9037368603009046E-2</v>
      </c>
      <c r="I119" s="51">
        <f t="shared" si="11"/>
        <v>9.9037368603009046E-2</v>
      </c>
      <c r="J119" s="51">
        <f t="shared" si="12"/>
        <v>9.8084003798082822E-3</v>
      </c>
      <c r="K119" s="51">
        <f t="shared" si="18"/>
        <v>8.636363636363642E-2</v>
      </c>
      <c r="L119" s="51">
        <f t="shared" si="13"/>
        <v>7.4586776859504227E-3</v>
      </c>
      <c r="M119" s="51">
        <f t="shared" si="14"/>
        <v>3.961494744120362E-2</v>
      </c>
      <c r="N119" s="51">
        <f t="shared" si="15"/>
        <v>0.13362002246969773</v>
      </c>
      <c r="O119" s="30">
        <f t="shared" si="16"/>
        <v>1.7854310404802527E-2</v>
      </c>
      <c r="P119" s="30">
        <f t="shared" si="17"/>
        <v>1.1539911031473903E-2</v>
      </c>
      <c r="R119" s="51"/>
      <c r="S119" s="51"/>
    </row>
    <row r="120" spans="2:19" s="8" customFormat="1" ht="14" customHeight="1">
      <c r="B120" s="8" t="s">
        <v>3</v>
      </c>
      <c r="C120" s="78" t="s">
        <v>10</v>
      </c>
      <c r="D120" s="51">
        <v>0.64028288912145759</v>
      </c>
      <c r="E120" s="51">
        <v>2.83</v>
      </c>
      <c r="F120" s="51">
        <v>2.6886862728976437</v>
      </c>
      <c r="G120" s="51"/>
      <c r="H120" s="51">
        <f t="shared" si="10"/>
        <v>0.14131372710235635</v>
      </c>
      <c r="I120" s="51">
        <f t="shared" si="11"/>
        <v>0.14131372710235635</v>
      </c>
      <c r="J120" s="51">
        <f t="shared" si="12"/>
        <v>1.9969569467559241E-2</v>
      </c>
      <c r="K120" s="51">
        <f t="shared" si="18"/>
        <v>0.41636363636363649</v>
      </c>
      <c r="L120" s="51">
        <f t="shared" si="13"/>
        <v>0.17335867768595051</v>
      </c>
      <c r="M120" s="51">
        <f t="shared" si="14"/>
        <v>4.9934179188111778E-2</v>
      </c>
      <c r="N120" s="51">
        <f t="shared" si="15"/>
        <v>0.22326892676433241</v>
      </c>
      <c r="O120" s="30">
        <f t="shared" si="16"/>
        <v>4.9849013658496831E-2</v>
      </c>
      <c r="P120" s="30">
        <f t="shared" si="17"/>
        <v>9.2961062234603889E-2</v>
      </c>
      <c r="R120" s="51"/>
      <c r="S120" s="51"/>
    </row>
    <row r="121" spans="2:19" s="8" customFormat="1" ht="14" customHeight="1">
      <c r="B121" s="8" t="s">
        <v>4</v>
      </c>
      <c r="C121" s="78" t="s">
        <v>10</v>
      </c>
      <c r="D121" s="51">
        <v>1.5358247450456437</v>
      </c>
      <c r="E121" s="51">
        <v>3.32</v>
      </c>
      <c r="F121" s="51">
        <v>2.9577247062583929</v>
      </c>
      <c r="G121" s="51">
        <v>0.16353862497136143</v>
      </c>
      <c r="H121" s="51">
        <f t="shared" si="10"/>
        <v>0.36227529374160694</v>
      </c>
      <c r="I121" s="51">
        <f t="shared" si="11"/>
        <v>0.36227529374160694</v>
      </c>
      <c r="J121" s="51">
        <f t="shared" si="12"/>
        <v>0.1312433884555676</v>
      </c>
      <c r="K121" s="51">
        <f t="shared" si="18"/>
        <v>0.90636363636363626</v>
      </c>
      <c r="L121" s="51">
        <f t="shared" si="13"/>
        <v>0.82149504132231388</v>
      </c>
      <c r="M121" s="51">
        <f t="shared" si="14"/>
        <v>0.1091190643800021</v>
      </c>
      <c r="N121" s="51">
        <f t="shared" si="15"/>
        <v>0.49230736012508158</v>
      </c>
      <c r="O121" s="30">
        <f t="shared" si="16"/>
        <v>0.24236653683332676</v>
      </c>
      <c r="P121" s="30">
        <f t="shared" si="17"/>
        <v>0.44620948913155117</v>
      </c>
      <c r="R121" s="51"/>
      <c r="S121" s="51"/>
    </row>
    <row r="122" spans="2:19" s="8" customFormat="1" ht="14" customHeight="1">
      <c r="C122" s="78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O122" s="51"/>
      <c r="R122" s="51"/>
      <c r="S122" s="51"/>
    </row>
    <row r="123" spans="2:19" s="8" customFormat="1" ht="14" customHeight="1">
      <c r="C123" s="78"/>
      <c r="D123" s="51"/>
      <c r="E123" s="86" t="s">
        <v>102</v>
      </c>
      <c r="F123" s="89">
        <f>CORREL(E111:E121,F111:F121)</f>
        <v>0.93434168427784126</v>
      </c>
      <c r="G123" s="85" t="s">
        <v>104</v>
      </c>
      <c r="H123" s="90">
        <f>SQRT(SUM(J111:J121)/11)</f>
        <v>0.20313085418489932</v>
      </c>
      <c r="I123" s="51"/>
      <c r="J123" s="51"/>
      <c r="K123" s="51"/>
      <c r="L123" s="51"/>
      <c r="M123" s="51"/>
      <c r="O123" s="51"/>
      <c r="R123" s="51"/>
      <c r="S123" s="51"/>
    </row>
    <row r="124" spans="2:19" s="8" customFormat="1" ht="14" customHeight="1">
      <c r="C124" s="78"/>
      <c r="D124" s="51"/>
      <c r="E124" s="86" t="s">
        <v>103</v>
      </c>
      <c r="F124" s="89">
        <f>F123^2</f>
        <v>0.87299438297915322</v>
      </c>
      <c r="G124" s="86" t="s">
        <v>105</v>
      </c>
      <c r="H124" s="90">
        <f>(SUM(M111:M121)/11)*100</f>
        <v>7.7043625196756986</v>
      </c>
      <c r="I124" s="51"/>
      <c r="J124" s="51"/>
      <c r="K124" s="51"/>
      <c r="L124" s="51"/>
      <c r="M124" s="51"/>
      <c r="O124" s="51"/>
      <c r="R124" s="51"/>
      <c r="S124" s="51"/>
    </row>
    <row r="125" spans="2:19" s="8" customFormat="1" ht="14" customHeight="1">
      <c r="C125" s="78"/>
      <c r="D125" s="51"/>
      <c r="E125" s="86" t="s">
        <v>107</v>
      </c>
      <c r="F125" s="90">
        <f>1-(SUM(J111:J121)/SUM(L111:L121))</f>
        <v>0.7397239441077077</v>
      </c>
      <c r="G125" s="86" t="s">
        <v>106</v>
      </c>
      <c r="H125" s="90">
        <f>SUM(I111:I121)/11</f>
        <v>0.18344124868962844</v>
      </c>
      <c r="I125" s="51"/>
      <c r="J125" s="51"/>
      <c r="K125" s="51"/>
      <c r="L125" s="51"/>
      <c r="M125" s="51"/>
      <c r="O125" s="51"/>
      <c r="R125" s="51"/>
      <c r="S125" s="51"/>
    </row>
    <row r="126" spans="2:19" s="8" customFormat="1" ht="14" customHeight="1">
      <c r="C126" s="78"/>
      <c r="D126" s="51"/>
      <c r="E126" s="86" t="s">
        <v>112</v>
      </c>
      <c r="F126" s="90">
        <f>(2*SUM(P111:P121))/(SUM(L111:L121)+SUM(O111:O121)+11*((AVERAGE(E111:E121)-AVERAGE(F111:F121))^2))</f>
        <v>0.80985573484689888</v>
      </c>
      <c r="G126" s="86"/>
      <c r="H126" s="90"/>
      <c r="I126" s="51"/>
      <c r="J126" s="51"/>
      <c r="K126" s="51"/>
      <c r="L126" s="51"/>
      <c r="M126" s="51"/>
      <c r="O126" s="51"/>
      <c r="R126" s="51"/>
      <c r="S126" s="51"/>
    </row>
    <row r="127" spans="2:19" s="56" customFormat="1" ht="14" customHeight="1" thickBot="1">
      <c r="H127" s="57"/>
      <c r="I127" s="11"/>
      <c r="N127" s="4"/>
    </row>
    <row r="128" spans="2:19" s="27" customFormat="1" ht="24" customHeight="1" thickBot="1">
      <c r="B128" s="115" t="s">
        <v>79</v>
      </c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7"/>
    </row>
    <row r="129" spans="2:12" s="33" customFormat="1" ht="14" customHeight="1">
      <c r="K129" s="7"/>
      <c r="L129" s="58"/>
    </row>
    <row r="130" spans="2:12" s="60" customFormat="1" ht="30">
      <c r="B130" s="4" t="s">
        <v>7</v>
      </c>
      <c r="C130" s="9" t="s">
        <v>0</v>
      </c>
      <c r="D130" s="4" t="s">
        <v>90</v>
      </c>
      <c r="E130" s="4" t="s">
        <v>91</v>
      </c>
      <c r="F130" s="59" t="s">
        <v>14</v>
      </c>
      <c r="G130" s="59" t="s">
        <v>56</v>
      </c>
      <c r="K130" s="7"/>
      <c r="L130" s="51"/>
    </row>
    <row r="131" spans="2:12" s="60" customFormat="1" ht="14" customHeight="1">
      <c r="B131" s="8" t="s">
        <v>36</v>
      </c>
      <c r="C131" s="78" t="s">
        <v>9</v>
      </c>
      <c r="D131" s="51">
        <v>1.76</v>
      </c>
      <c r="E131" s="81">
        <v>1.9107908202638497</v>
      </c>
      <c r="F131" s="81">
        <f t="shared" ref="F131:F148" si="19">D131-E131</f>
        <v>-0.15079082026384971</v>
      </c>
      <c r="G131" s="82">
        <f t="shared" ref="G131:G148" si="20">POWER(F131,2)</f>
        <v>2.2737871475844627E-2</v>
      </c>
      <c r="I131" s="8"/>
      <c r="L131" s="51"/>
    </row>
    <row r="132" spans="2:12" s="60" customFormat="1" ht="14" customHeight="1">
      <c r="B132" s="8" t="s">
        <v>50</v>
      </c>
      <c r="C132" s="78" t="s">
        <v>10</v>
      </c>
      <c r="D132" s="51">
        <v>1.85</v>
      </c>
      <c r="E132" s="81">
        <v>2.0301968332299074</v>
      </c>
      <c r="F132" s="81">
        <f t="shared" si="19"/>
        <v>-0.18019683322990732</v>
      </c>
      <c r="G132" s="82">
        <f t="shared" si="20"/>
        <v>3.2470898706087027E-2</v>
      </c>
      <c r="I132" s="8"/>
      <c r="L132" s="51"/>
    </row>
    <row r="133" spans="2:12" s="60" customFormat="1" ht="14" customHeight="1">
      <c r="B133" s="8" t="s">
        <v>48</v>
      </c>
      <c r="C133" s="78" t="s">
        <v>10</v>
      </c>
      <c r="D133" s="51">
        <v>2.02</v>
      </c>
      <c r="E133" s="81">
        <v>2.3145532494343226</v>
      </c>
      <c r="F133" s="81">
        <f t="shared" si="19"/>
        <v>-0.29455324943432259</v>
      </c>
      <c r="G133" s="82">
        <f t="shared" si="20"/>
        <v>8.6761616752318263E-2</v>
      </c>
      <c r="I133" s="8"/>
      <c r="L133" s="51"/>
    </row>
    <row r="134" spans="2:12" s="60" customFormat="1" ht="14" customHeight="1">
      <c r="B134" s="8" t="s">
        <v>38</v>
      </c>
      <c r="C134" s="78" t="s">
        <v>10</v>
      </c>
      <c r="D134" s="51">
        <v>2.0499999999999998</v>
      </c>
      <c r="E134" s="81">
        <v>2.3077574271041965</v>
      </c>
      <c r="F134" s="81">
        <f t="shared" si="19"/>
        <v>-0.25775742710419669</v>
      </c>
      <c r="G134" s="82">
        <f t="shared" si="20"/>
        <v>6.6438891227375271E-2</v>
      </c>
      <c r="I134" s="8"/>
      <c r="L134" s="51"/>
    </row>
    <row r="135" spans="2:12" s="60" customFormat="1" ht="14" customHeight="1">
      <c r="B135" s="8" t="s">
        <v>49</v>
      </c>
      <c r="C135" s="78" t="s">
        <v>9</v>
      </c>
      <c r="D135" s="51">
        <v>2.12</v>
      </c>
      <c r="E135" s="81">
        <v>2.0650352555595068</v>
      </c>
      <c r="F135" s="81">
        <f t="shared" si="19"/>
        <v>5.4964744440493263E-2</v>
      </c>
      <c r="G135" s="82">
        <f t="shared" si="20"/>
        <v>3.0211231314087351E-3</v>
      </c>
      <c r="I135" s="8"/>
      <c r="L135" s="51"/>
    </row>
    <row r="136" spans="2:12" s="60" customFormat="1" ht="14" customHeight="1">
      <c r="B136" s="8" t="s">
        <v>54</v>
      </c>
      <c r="C136" s="78" t="s">
        <v>10</v>
      </c>
      <c r="D136" s="51">
        <v>2.21</v>
      </c>
      <c r="E136" s="81">
        <v>2.2658715287463354</v>
      </c>
      <c r="F136" s="81">
        <f t="shared" si="19"/>
        <v>-5.5871528746335386E-2</v>
      </c>
      <c r="G136" s="82">
        <f t="shared" si="20"/>
        <v>3.1216277244525813E-3</v>
      </c>
      <c r="I136" s="8"/>
      <c r="L136" s="51"/>
    </row>
    <row r="137" spans="2:12" s="60" customFormat="1" ht="14" customHeight="1">
      <c r="B137" s="8" t="s">
        <v>55</v>
      </c>
      <c r="C137" s="78" t="s">
        <v>9</v>
      </c>
      <c r="D137" s="51">
        <v>2.2400000000000002</v>
      </c>
      <c r="E137" s="81">
        <v>2.2664203486612324</v>
      </c>
      <c r="F137" s="81">
        <f t="shared" si="19"/>
        <v>-2.6420348661232218E-2</v>
      </c>
      <c r="G137" s="82">
        <f t="shared" si="20"/>
        <v>6.9803482338107506E-4</v>
      </c>
      <c r="I137" s="8"/>
      <c r="L137" s="51"/>
    </row>
    <row r="138" spans="2:12" s="60" customFormat="1" ht="14" customHeight="1">
      <c r="B138" s="8" t="s">
        <v>51</v>
      </c>
      <c r="C138" s="78" t="s">
        <v>10</v>
      </c>
      <c r="D138" s="51">
        <v>2.2999999999999998</v>
      </c>
      <c r="E138" s="81">
        <v>2.422911073589094</v>
      </c>
      <c r="F138" s="81">
        <f t="shared" si="19"/>
        <v>-0.12291107358909414</v>
      </c>
      <c r="G138" s="82">
        <f t="shared" si="20"/>
        <v>1.5107132010823716E-2</v>
      </c>
      <c r="I138" s="8"/>
      <c r="L138" s="51"/>
    </row>
    <row r="139" spans="2:12" s="60" customFormat="1" ht="14" customHeight="1">
      <c r="B139" s="8" t="s">
        <v>39</v>
      </c>
      <c r="C139" s="78" t="s">
        <v>10</v>
      </c>
      <c r="D139" s="51">
        <v>2.31</v>
      </c>
      <c r="E139" s="81">
        <v>2.4608293564646115</v>
      </c>
      <c r="F139" s="81">
        <f t="shared" si="19"/>
        <v>-0.15082935646461149</v>
      </c>
      <c r="G139" s="82">
        <f t="shared" si="20"/>
        <v>2.2749494771528839E-2</v>
      </c>
      <c r="I139" s="8"/>
      <c r="L139" s="51"/>
    </row>
    <row r="140" spans="2:12" s="60" customFormat="1" ht="14" customHeight="1">
      <c r="B140" s="8" t="s">
        <v>2</v>
      </c>
      <c r="C140" s="78" t="s">
        <v>10</v>
      </c>
      <c r="D140" s="51">
        <v>2.4900000000000002</v>
      </c>
      <c r="E140" s="81">
        <v>2.6225654343546907</v>
      </c>
      <c r="F140" s="81">
        <f t="shared" si="19"/>
        <v>-0.13256543435469048</v>
      </c>
      <c r="G140" s="82">
        <f t="shared" si="20"/>
        <v>1.7573594385647751E-2</v>
      </c>
      <c r="I140" s="8"/>
      <c r="L140" s="51"/>
    </row>
    <row r="141" spans="2:12" s="60" customFormat="1" ht="14" customHeight="1">
      <c r="B141" s="8" t="s">
        <v>53</v>
      </c>
      <c r="C141" s="78" t="s">
        <v>10</v>
      </c>
      <c r="D141" s="51">
        <v>2.5</v>
      </c>
      <c r="E141" s="81">
        <v>2.599037368603009</v>
      </c>
      <c r="F141" s="81">
        <f t="shared" si="19"/>
        <v>-9.9037368603009046E-2</v>
      </c>
      <c r="G141" s="82">
        <f t="shared" si="20"/>
        <v>9.8084003798082822E-3</v>
      </c>
      <c r="I141" s="8"/>
      <c r="L141" s="51"/>
    </row>
    <row r="142" spans="2:12" s="60" customFormat="1" ht="14" customHeight="1">
      <c r="B142" s="8" t="s">
        <v>84</v>
      </c>
      <c r="C142" s="78" t="s">
        <v>9</v>
      </c>
      <c r="D142" s="51">
        <v>2.56</v>
      </c>
      <c r="E142" s="81">
        <v>2.6474092738443828</v>
      </c>
      <c r="F142" s="81">
        <f t="shared" si="19"/>
        <v>-8.7409273844382795E-2</v>
      </c>
      <c r="G142" s="82">
        <f t="shared" si="20"/>
        <v>7.6403811540023021E-3</v>
      </c>
      <c r="I142" s="8"/>
      <c r="L142" s="51"/>
    </row>
    <row r="143" spans="2:12" s="60" customFormat="1" ht="14" customHeight="1">
      <c r="B143" s="8" t="s">
        <v>85</v>
      </c>
      <c r="C143" s="78" t="s">
        <v>9</v>
      </c>
      <c r="D143" s="51">
        <v>2.64</v>
      </c>
      <c r="E143" s="81">
        <v>2.5531110350373645</v>
      </c>
      <c r="F143" s="81">
        <f t="shared" si="19"/>
        <v>8.6888964962635651E-2</v>
      </c>
      <c r="G143" s="82">
        <f t="shared" si="20"/>
        <v>7.5496922322781258E-3</v>
      </c>
      <c r="I143" s="8"/>
      <c r="L143" s="51"/>
    </row>
    <row r="144" spans="2:12" s="60" customFormat="1" ht="14" customHeight="1">
      <c r="B144" s="8" t="s">
        <v>37</v>
      </c>
      <c r="C144" s="78" t="s">
        <v>10</v>
      </c>
      <c r="D144" s="51">
        <v>2.67</v>
      </c>
      <c r="E144" s="81">
        <v>2.4494575567842176</v>
      </c>
      <c r="F144" s="81">
        <f t="shared" si="19"/>
        <v>0.22054244321578231</v>
      </c>
      <c r="G144" s="82">
        <f t="shared" si="20"/>
        <v>4.8638969259586565E-2</v>
      </c>
      <c r="I144" s="8"/>
      <c r="L144" s="51"/>
    </row>
    <row r="145" spans="2:12" s="60" customFormat="1" ht="14" customHeight="1">
      <c r="B145" s="8" t="s">
        <v>3</v>
      </c>
      <c r="C145" s="78" t="s">
        <v>10</v>
      </c>
      <c r="D145" s="51">
        <v>2.83</v>
      </c>
      <c r="E145" s="81">
        <v>2.6886862728976437</v>
      </c>
      <c r="F145" s="81">
        <f t="shared" si="19"/>
        <v>0.14131372710235635</v>
      </c>
      <c r="G145" s="82">
        <f t="shared" si="20"/>
        <v>1.9969569467559241E-2</v>
      </c>
      <c r="I145" s="8"/>
      <c r="L145" s="51"/>
    </row>
    <row r="146" spans="2:12" s="60" customFormat="1" ht="14" customHeight="1">
      <c r="B146" s="8" t="s">
        <v>40</v>
      </c>
      <c r="C146" s="78" t="s">
        <v>9</v>
      </c>
      <c r="D146" s="51">
        <v>2.87</v>
      </c>
      <c r="E146" s="81">
        <v>2.8003310186505104</v>
      </c>
      <c r="F146" s="81">
        <f t="shared" si="19"/>
        <v>6.9668981349489734E-2</v>
      </c>
      <c r="G146" s="82">
        <f t="shared" si="20"/>
        <v>4.8537669622755481E-3</v>
      </c>
      <c r="I146" s="8"/>
      <c r="L146" s="51"/>
    </row>
    <row r="147" spans="2:12" s="60" customFormat="1" ht="14" customHeight="1">
      <c r="B147" s="8" t="s">
        <v>52</v>
      </c>
      <c r="C147" s="78" t="s">
        <v>9</v>
      </c>
      <c r="D147" s="51">
        <v>2.92</v>
      </c>
      <c r="E147" s="81">
        <v>3.0243595347227683</v>
      </c>
      <c r="F147" s="81">
        <f t="shared" si="19"/>
        <v>-0.10435953472276838</v>
      </c>
      <c r="G147" s="82">
        <f t="shared" si="20"/>
        <v>1.0890912487552699E-2</v>
      </c>
      <c r="I147" s="8"/>
      <c r="L147" s="51"/>
    </row>
    <row r="148" spans="2:12" s="60" customFormat="1">
      <c r="B148" s="8" t="s">
        <v>4</v>
      </c>
      <c r="C148" s="78" t="s">
        <v>10</v>
      </c>
      <c r="D148" s="51">
        <v>3.32</v>
      </c>
      <c r="E148" s="81">
        <v>2.9577247062583929</v>
      </c>
      <c r="F148" s="81">
        <f t="shared" si="19"/>
        <v>0.36227529374160694</v>
      </c>
      <c r="G148" s="82">
        <f t="shared" si="20"/>
        <v>0.1312433884555676</v>
      </c>
      <c r="I148" s="8"/>
      <c r="L148" s="51"/>
    </row>
    <row r="149" spans="2:12" s="63" customFormat="1" ht="15">
      <c r="B149" s="60"/>
      <c r="C149" s="60"/>
      <c r="D149" s="36"/>
      <c r="E149" s="2"/>
      <c r="F149" s="31"/>
      <c r="G149" s="32"/>
      <c r="H149" s="60"/>
    </row>
    <row r="150" spans="2:12" s="26" customFormat="1" ht="17">
      <c r="B150" s="39" t="s">
        <v>25</v>
      </c>
      <c r="C150" s="27" t="s">
        <v>57</v>
      </c>
      <c r="D150" s="39" t="s">
        <v>58</v>
      </c>
      <c r="E150" s="38"/>
      <c r="F150" s="39"/>
      <c r="G150" s="39"/>
      <c r="H150" s="39"/>
    </row>
    <row r="151" spans="2:12" s="5" customFormat="1" ht="17">
      <c r="B151" s="39" t="s">
        <v>26</v>
      </c>
      <c r="C151" s="27" t="s">
        <v>57</v>
      </c>
      <c r="D151" s="39" t="s">
        <v>59</v>
      </c>
    </row>
    <row r="152" spans="2:12" s="48" customFormat="1">
      <c r="B152" s="33"/>
      <c r="C152" s="33"/>
      <c r="D152" s="39"/>
      <c r="E152" s="38"/>
      <c r="F152" s="64"/>
      <c r="G152" s="33"/>
      <c r="H152" s="33"/>
    </row>
    <row r="153" spans="2:12" s="48" customFormat="1" ht="15">
      <c r="B153" s="65" t="s">
        <v>60</v>
      </c>
      <c r="C153" s="66">
        <f>SUM(F131:F148)</f>
        <v>-0.727048094206036</v>
      </c>
      <c r="D153" s="33"/>
      <c r="E153" s="66"/>
      <c r="F153" s="33"/>
      <c r="G153" s="33"/>
      <c r="H153" s="33"/>
    </row>
    <row r="154" spans="2:12" s="48" customFormat="1" ht="15">
      <c r="B154" s="65" t="s">
        <v>61</v>
      </c>
      <c r="C154" s="66">
        <f>POWER(C153,2)</f>
        <v>0.528598931288629</v>
      </c>
      <c r="D154" s="33"/>
      <c r="E154" s="66"/>
      <c r="F154" s="33"/>
      <c r="G154" s="33"/>
      <c r="H154" s="33"/>
    </row>
    <row r="155" spans="2:12" s="48" customFormat="1" ht="15">
      <c r="B155" s="65" t="s">
        <v>62</v>
      </c>
      <c r="C155" s="66">
        <f>SUM(G131:G148)</f>
        <v>0.51127536540749818</v>
      </c>
      <c r="D155" s="33"/>
      <c r="E155" s="66"/>
      <c r="F155" s="33"/>
      <c r="G155" s="33"/>
      <c r="H155" s="33"/>
    </row>
    <row r="156" spans="2:12" s="48" customFormat="1">
      <c r="B156" s="37" t="s">
        <v>15</v>
      </c>
      <c r="C156" s="33">
        <v>18</v>
      </c>
      <c r="D156" s="33"/>
      <c r="E156" s="66"/>
      <c r="F156" s="33"/>
      <c r="G156" s="33"/>
      <c r="H156" s="33"/>
    </row>
    <row r="157" spans="2:12" s="48" customFormat="1" ht="15">
      <c r="B157" s="65" t="s">
        <v>63</v>
      </c>
      <c r="C157" s="66">
        <f>C153/C156</f>
        <v>-4.0391560789224221E-2</v>
      </c>
      <c r="D157" s="33"/>
      <c r="E157" s="66"/>
      <c r="F157" s="33"/>
      <c r="G157" s="33"/>
      <c r="H157" s="33"/>
    </row>
    <row r="158" spans="2:12" s="48" customFormat="1" ht="15">
      <c r="B158" s="65" t="s">
        <v>93</v>
      </c>
      <c r="C158" s="66">
        <f>C155-(C154/18)</f>
        <v>0.48190875811368544</v>
      </c>
      <c r="E158" s="66"/>
      <c r="F158" s="33"/>
      <c r="G158" s="33"/>
      <c r="H158" s="33"/>
    </row>
    <row r="159" spans="2:12" s="48" customFormat="1">
      <c r="B159" s="37" t="s">
        <v>18</v>
      </c>
      <c r="C159" s="66">
        <f>C158/17</f>
        <v>2.834757400668738E-2</v>
      </c>
      <c r="D159" s="33"/>
      <c r="E159" s="66"/>
      <c r="F159" s="33"/>
      <c r="G159" s="33"/>
      <c r="H159" s="33"/>
    </row>
    <row r="160" spans="2:12" s="48" customFormat="1">
      <c r="B160" s="37" t="s">
        <v>19</v>
      </c>
      <c r="C160" s="66">
        <f>SQRT(C159)</f>
        <v>0.16836737809530497</v>
      </c>
      <c r="E160" s="67"/>
    </row>
    <row r="161" spans="2:12" s="48" customFormat="1">
      <c r="B161" s="37" t="s">
        <v>21</v>
      </c>
      <c r="C161" s="66">
        <f>C160/SQRT(C156)</f>
        <v>3.9684571593929845E-2</v>
      </c>
      <c r="E161" s="67"/>
    </row>
    <row r="162" spans="2:12" s="48" customFormat="1">
      <c r="B162" s="91" t="s">
        <v>20</v>
      </c>
      <c r="C162" s="92">
        <f>C157/C161</f>
        <v>-1.0178152155081477</v>
      </c>
      <c r="E162" s="67"/>
    </row>
    <row r="163" spans="2:12" s="48" customFormat="1" ht="17">
      <c r="B163" s="93" t="s">
        <v>108</v>
      </c>
      <c r="C163" s="92">
        <v>2.1097999999999999</v>
      </c>
      <c r="E163" s="67"/>
    </row>
    <row r="164" spans="2:12" s="48" customFormat="1">
      <c r="B164" s="91" t="s">
        <v>22</v>
      </c>
      <c r="C164" s="94">
        <v>0.31847500000000001</v>
      </c>
      <c r="D164" s="33"/>
      <c r="E164" s="66"/>
      <c r="F164" s="33"/>
      <c r="G164" s="33"/>
      <c r="H164" s="33"/>
    </row>
    <row r="165" spans="2:12" s="48" customFormat="1" ht="14" thickBot="1">
      <c r="B165" s="33"/>
      <c r="C165" s="33"/>
      <c r="D165" s="33"/>
      <c r="E165" s="66"/>
      <c r="F165" s="33"/>
      <c r="G165" s="33"/>
      <c r="H165" s="33"/>
    </row>
    <row r="166" spans="2:12" s="6" customFormat="1" ht="15" customHeight="1">
      <c r="B166" s="118" t="s">
        <v>120</v>
      </c>
      <c r="C166" s="119"/>
      <c r="D166" s="119"/>
      <c r="E166" s="119"/>
      <c r="F166" s="119"/>
      <c r="G166" s="119"/>
      <c r="H166" s="119"/>
      <c r="I166" s="119"/>
      <c r="J166" s="119"/>
      <c r="K166" s="120"/>
    </row>
    <row r="167" spans="2:12" s="6" customFormat="1" ht="32" customHeight="1" thickBot="1">
      <c r="B167" s="121"/>
      <c r="C167" s="122"/>
      <c r="D167" s="122"/>
      <c r="E167" s="122"/>
      <c r="F167" s="122"/>
      <c r="G167" s="122"/>
      <c r="H167" s="122"/>
      <c r="I167" s="122"/>
      <c r="J167" s="122"/>
      <c r="K167" s="123"/>
    </row>
    <row r="168" spans="2:12" s="6" customFormat="1" ht="15">
      <c r="B168" s="69"/>
      <c r="C168" s="70"/>
      <c r="D168" s="70"/>
      <c r="E168" s="70"/>
      <c r="F168" s="70"/>
      <c r="G168" s="70"/>
      <c r="H168" s="70"/>
      <c r="I168" s="70"/>
      <c r="J168" s="70"/>
      <c r="K168" s="70"/>
      <c r="L168" s="70"/>
    </row>
    <row r="169" spans="2:12" s="6" customFormat="1" ht="15">
      <c r="B169" s="71" t="s">
        <v>16</v>
      </c>
      <c r="C169" s="72"/>
      <c r="D169" s="72"/>
      <c r="E169" s="72"/>
      <c r="F169" s="72"/>
      <c r="G169" s="72"/>
      <c r="I169" s="69"/>
      <c r="J169" s="69"/>
      <c r="K169" s="69"/>
      <c r="L169" s="73"/>
    </row>
    <row r="170" spans="2:12" s="6" customFormat="1" ht="15">
      <c r="B170" s="74" t="s">
        <v>14</v>
      </c>
      <c r="C170" s="75" t="s">
        <v>94</v>
      </c>
      <c r="D170" s="75"/>
      <c r="E170" s="75"/>
      <c r="F170" s="75"/>
      <c r="G170" s="75"/>
      <c r="I170" s="69"/>
      <c r="J170" s="69"/>
      <c r="K170" s="69"/>
      <c r="L170" s="73"/>
    </row>
    <row r="171" spans="2:12" s="6" customFormat="1" ht="15">
      <c r="B171" s="74" t="s">
        <v>66</v>
      </c>
      <c r="C171" s="75" t="s">
        <v>95</v>
      </c>
      <c r="D171" s="75"/>
      <c r="E171" s="75"/>
      <c r="F171" s="75"/>
      <c r="G171" s="75"/>
      <c r="I171" s="69"/>
      <c r="J171" s="69"/>
      <c r="K171" s="69"/>
      <c r="L171" s="73"/>
    </row>
    <row r="172" spans="2:12" s="6" customFormat="1" ht="15">
      <c r="B172" s="76" t="s">
        <v>68</v>
      </c>
      <c r="C172" s="75" t="s">
        <v>96</v>
      </c>
      <c r="D172" s="75"/>
      <c r="E172" s="75"/>
      <c r="F172" s="75"/>
      <c r="G172" s="75"/>
      <c r="I172" s="69"/>
      <c r="J172" s="69"/>
      <c r="K172" s="69"/>
      <c r="L172" s="73"/>
    </row>
    <row r="173" spans="2:12" s="6" customFormat="1" ht="15">
      <c r="B173" s="74" t="s">
        <v>15</v>
      </c>
      <c r="C173" s="75" t="s">
        <v>17</v>
      </c>
      <c r="D173" s="75"/>
      <c r="E173" s="75"/>
      <c r="F173" s="75"/>
      <c r="G173" s="75"/>
      <c r="I173" s="69"/>
      <c r="J173" s="69"/>
      <c r="K173" s="69"/>
      <c r="L173" s="73"/>
    </row>
    <row r="174" spans="2:12" s="6" customFormat="1" ht="15">
      <c r="B174" s="74" t="s">
        <v>20</v>
      </c>
      <c r="C174" s="75" t="s">
        <v>23</v>
      </c>
      <c r="D174" s="75"/>
      <c r="E174" s="75"/>
      <c r="F174" s="75"/>
      <c r="G174" s="75"/>
      <c r="I174" s="69"/>
      <c r="J174" s="69"/>
      <c r="K174" s="69"/>
      <c r="L174" s="73"/>
    </row>
    <row r="175" spans="2:12" s="6" customFormat="1" ht="17">
      <c r="B175" s="68" t="s">
        <v>64</v>
      </c>
      <c r="C175" s="75" t="s">
        <v>24</v>
      </c>
      <c r="D175" s="75"/>
      <c r="E175" s="75"/>
      <c r="F175" s="75"/>
      <c r="G175" s="75"/>
      <c r="I175" s="69"/>
      <c r="J175" s="69"/>
      <c r="K175" s="69"/>
      <c r="L175" s="73"/>
    </row>
    <row r="176" spans="2:12" s="48" customFormat="1">
      <c r="B176" s="33"/>
      <c r="C176" s="33"/>
      <c r="D176" s="66"/>
      <c r="E176" s="33"/>
      <c r="F176" s="33"/>
      <c r="G176" s="33"/>
    </row>
    <row r="178" spans="2:13" ht="14" thickBot="1"/>
    <row r="179" spans="2:13" s="27" customFormat="1" ht="24" customHeight="1" thickBot="1">
      <c r="B179" s="115" t="s">
        <v>118</v>
      </c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7"/>
    </row>
    <row r="181" spans="2:13" ht="30">
      <c r="B181" s="9" t="s">
        <v>7</v>
      </c>
      <c r="C181" s="13" t="s">
        <v>31</v>
      </c>
      <c r="D181" s="4" t="s">
        <v>90</v>
      </c>
      <c r="E181" s="4" t="s">
        <v>91</v>
      </c>
      <c r="F181" s="95" t="s">
        <v>116</v>
      </c>
      <c r="G181" s="9" t="s">
        <v>11</v>
      </c>
      <c r="H181" s="9" t="s">
        <v>117</v>
      </c>
      <c r="I181" s="95" t="s">
        <v>0</v>
      </c>
    </row>
    <row r="182" spans="2:13" ht="17">
      <c r="B182" s="8" t="s">
        <v>50</v>
      </c>
      <c r="C182" s="51">
        <v>-1.0864226688363208</v>
      </c>
      <c r="D182" s="51">
        <v>1.85</v>
      </c>
      <c r="E182" s="81">
        <v>2.0301968332299074</v>
      </c>
      <c r="F182" s="98">
        <v>0.32307452906036799</v>
      </c>
      <c r="G182" s="98">
        <f>D182-E182</f>
        <v>-0.18019683322990732</v>
      </c>
      <c r="H182" s="98">
        <f t="shared" ref="H182:H199" si="21">(G182-(AVERAGE($G$182:$G$199))/(STDEV($G$182:$G$199)))</f>
        <v>5.9704513730312159E-2</v>
      </c>
      <c r="I182" s="99" t="s">
        <v>10</v>
      </c>
    </row>
    <row r="183" spans="2:13" ht="17">
      <c r="B183" s="8" t="s">
        <v>53</v>
      </c>
      <c r="C183" s="51">
        <v>0.46271632653139466</v>
      </c>
      <c r="D183" s="51">
        <v>2.5</v>
      </c>
      <c r="E183" s="81">
        <v>2.599037368603009</v>
      </c>
      <c r="F183" s="98">
        <v>0.17467127160184301</v>
      </c>
      <c r="G183" s="98">
        <f t="shared" ref="G183:G199" si="22">D183-E183</f>
        <v>-9.9037368603009046E-2</v>
      </c>
      <c r="H183" s="98">
        <f t="shared" si="21"/>
        <v>0.14086397835721043</v>
      </c>
      <c r="I183" s="99" t="s">
        <v>10</v>
      </c>
    </row>
    <row r="184" spans="2:13">
      <c r="B184" s="8" t="s">
        <v>3</v>
      </c>
      <c r="C184" s="51">
        <v>0.64028288912145759</v>
      </c>
      <c r="D184" s="51">
        <v>2.83</v>
      </c>
      <c r="E184" s="81">
        <v>2.6886862728976437</v>
      </c>
      <c r="F184" s="98">
        <v>0.204548598203557</v>
      </c>
      <c r="G184" s="98">
        <f t="shared" si="22"/>
        <v>0.14131372710235635</v>
      </c>
      <c r="H184" s="98">
        <f t="shared" si="21"/>
        <v>0.38121507406257582</v>
      </c>
      <c r="I184" s="99" t="s">
        <v>10</v>
      </c>
    </row>
    <row r="185" spans="2:13" ht="17">
      <c r="B185" s="8" t="s">
        <v>51</v>
      </c>
      <c r="C185" s="51">
        <v>-0.13920311882097708</v>
      </c>
      <c r="D185" s="51">
        <v>2.2999999999999998</v>
      </c>
      <c r="E185" s="81">
        <v>2.422911073589094</v>
      </c>
      <c r="F185" s="98">
        <v>0.14588322253248401</v>
      </c>
      <c r="G185" s="98">
        <f t="shared" si="22"/>
        <v>-0.12291107358909414</v>
      </c>
      <c r="H185" s="98">
        <f t="shared" si="21"/>
        <v>0.11699027337112533</v>
      </c>
      <c r="I185" s="99" t="s">
        <v>10</v>
      </c>
    </row>
    <row r="186" spans="2:13" ht="17">
      <c r="B186" s="8" t="s">
        <v>38</v>
      </c>
      <c r="C186" s="51">
        <v>-0.40663216612507419</v>
      </c>
      <c r="D186" s="51">
        <v>2.0499999999999998</v>
      </c>
      <c r="E186" s="81">
        <v>2.3077574271041965</v>
      </c>
      <c r="F186" s="98">
        <v>0.168466279944326</v>
      </c>
      <c r="G186" s="98">
        <f t="shared" si="22"/>
        <v>-0.25775742710419669</v>
      </c>
      <c r="H186" s="98">
        <f t="shared" si="21"/>
        <v>-1.7856080143977215E-2</v>
      </c>
      <c r="I186" s="99" t="s">
        <v>10</v>
      </c>
    </row>
    <row r="187" spans="2:13" ht="17">
      <c r="B187" s="8" t="s">
        <v>52</v>
      </c>
      <c r="C187" s="51">
        <v>1.3051470915861056</v>
      </c>
      <c r="D187" s="51">
        <v>2.92</v>
      </c>
      <c r="E187" s="81">
        <v>3.0243595347227683</v>
      </c>
      <c r="F187" s="98">
        <v>0.40191747425933499</v>
      </c>
      <c r="G187" s="98">
        <f t="shared" si="22"/>
        <v>-0.10435953472276838</v>
      </c>
      <c r="H187" s="98">
        <f t="shared" si="21"/>
        <v>0.1355418122374511</v>
      </c>
      <c r="I187" s="99" t="s">
        <v>9</v>
      </c>
    </row>
    <row r="188" spans="2:13" ht="17">
      <c r="B188" s="8" t="s">
        <v>40</v>
      </c>
      <c r="C188" s="51">
        <v>0.99940892111563895</v>
      </c>
      <c r="D188" s="51">
        <v>2.87</v>
      </c>
      <c r="E188" s="81">
        <v>2.8003310186505104</v>
      </c>
      <c r="F188" s="98">
        <v>0.29371374478054502</v>
      </c>
      <c r="G188" s="98">
        <f t="shared" si="22"/>
        <v>6.9668981349489734E-2</v>
      </c>
      <c r="H188" s="98">
        <f t="shared" si="21"/>
        <v>0.30957032830970921</v>
      </c>
      <c r="I188" s="99" t="s">
        <v>9</v>
      </c>
    </row>
    <row r="189" spans="2:13" ht="17">
      <c r="B189" s="8" t="s">
        <v>85</v>
      </c>
      <c r="C189" s="51">
        <v>0.36495707534145416</v>
      </c>
      <c r="D189" s="51">
        <v>2.64</v>
      </c>
      <c r="E189" s="81">
        <v>2.5531110350373645</v>
      </c>
      <c r="F189" s="98">
        <v>0.16230883611560201</v>
      </c>
      <c r="G189" s="98">
        <f t="shared" si="22"/>
        <v>8.6888964962635651E-2</v>
      </c>
      <c r="H189" s="98">
        <f t="shared" si="21"/>
        <v>0.32679031192285513</v>
      </c>
      <c r="I189" s="99" t="s">
        <v>9</v>
      </c>
    </row>
    <row r="190" spans="2:13">
      <c r="B190" s="8" t="s">
        <v>2</v>
      </c>
      <c r="C190" s="51">
        <v>0.32446761258442991</v>
      </c>
      <c r="D190" s="51">
        <v>2.4900000000000002</v>
      </c>
      <c r="E190" s="81">
        <v>2.6225654343546907</v>
      </c>
      <c r="F190" s="98">
        <v>0.158211077779603</v>
      </c>
      <c r="G190" s="98">
        <f t="shared" si="22"/>
        <v>-0.13256543435469048</v>
      </c>
      <c r="H190" s="98">
        <f t="shared" si="21"/>
        <v>0.10733591260552899</v>
      </c>
      <c r="I190" s="99" t="s">
        <v>10</v>
      </c>
    </row>
    <row r="191" spans="2:13" ht="17">
      <c r="B191" s="8" t="s">
        <v>39</v>
      </c>
      <c r="C191" s="51">
        <v>-5.1142943790942086E-2</v>
      </c>
      <c r="D191" s="51">
        <v>2.31</v>
      </c>
      <c r="E191" s="81">
        <v>2.4608293564646115</v>
      </c>
      <c r="F191" s="98">
        <v>0.14325728562413001</v>
      </c>
      <c r="G191" s="98">
        <f t="shared" si="22"/>
        <v>-0.15082935646461149</v>
      </c>
      <c r="H191" s="98">
        <f t="shared" si="21"/>
        <v>8.9071990495607989E-2</v>
      </c>
      <c r="I191" s="99" t="s">
        <v>10</v>
      </c>
    </row>
    <row r="192" spans="2:13" ht="17">
      <c r="B192" s="8" t="s">
        <v>49</v>
      </c>
      <c r="C192" s="51">
        <v>-0.92808008068972248</v>
      </c>
      <c r="D192" s="51">
        <v>2.12</v>
      </c>
      <c r="E192" s="81">
        <v>2.0650352555595068</v>
      </c>
      <c r="F192" s="98">
        <v>0.27410891046311597</v>
      </c>
      <c r="G192" s="98">
        <f t="shared" si="22"/>
        <v>5.4964744440493263E-2</v>
      </c>
      <c r="H192" s="98">
        <f t="shared" si="21"/>
        <v>0.29486609140071274</v>
      </c>
      <c r="I192" s="99" t="s">
        <v>9</v>
      </c>
    </row>
    <row r="193" spans="2:13" ht="17">
      <c r="B193" s="8" t="s">
        <v>37</v>
      </c>
      <c r="C193" s="51">
        <v>-7.7552437953678666E-2</v>
      </c>
      <c r="D193" s="51">
        <v>2.67</v>
      </c>
      <c r="E193" s="81">
        <v>2.4494575567842176</v>
      </c>
      <c r="F193" s="98">
        <v>0.14386027854382599</v>
      </c>
      <c r="G193" s="98">
        <f t="shared" si="22"/>
        <v>0.22054244321578231</v>
      </c>
      <c r="H193" s="98">
        <f t="shared" si="21"/>
        <v>0.46044379017600179</v>
      </c>
      <c r="I193" s="99" t="s">
        <v>10</v>
      </c>
    </row>
    <row r="194" spans="2:13" ht="17">
      <c r="B194" s="8" t="s">
        <v>36</v>
      </c>
      <c r="C194" s="51">
        <v>-1.5628386730978419</v>
      </c>
      <c r="D194" s="51">
        <v>1.76</v>
      </c>
      <c r="E194" s="81">
        <v>1.9107908202638497</v>
      </c>
      <c r="F194" s="98">
        <v>0.511707572207862</v>
      </c>
      <c r="G194" s="98">
        <f t="shared" si="22"/>
        <v>-0.15079082026384971</v>
      </c>
      <c r="H194" s="98">
        <f t="shared" si="21"/>
        <v>8.9110526696369763E-2</v>
      </c>
      <c r="I194" s="99" t="s">
        <v>9</v>
      </c>
    </row>
    <row r="195" spans="2:13" ht="17">
      <c r="B195" s="8" t="s">
        <v>55</v>
      </c>
      <c r="C195" s="51">
        <v>-0.56398978988585102</v>
      </c>
      <c r="D195" s="51">
        <v>2.2400000000000002</v>
      </c>
      <c r="E195" s="81">
        <v>2.2664203486612324</v>
      </c>
      <c r="F195" s="98">
        <v>0.190543601359003</v>
      </c>
      <c r="G195" s="98">
        <f t="shared" si="22"/>
        <v>-2.6420348661232218E-2</v>
      </c>
      <c r="H195" s="98">
        <f t="shared" si="21"/>
        <v>0.21348099829898726</v>
      </c>
      <c r="I195" s="99" t="s">
        <v>9</v>
      </c>
    </row>
    <row r="196" spans="2:13" ht="17">
      <c r="B196" s="8" t="s">
        <v>84</v>
      </c>
      <c r="C196" s="51">
        <v>0.38539545563021443</v>
      </c>
      <c r="D196" s="51">
        <v>2.56</v>
      </c>
      <c r="E196" s="81">
        <v>2.6474092738443828</v>
      </c>
      <c r="F196" s="98">
        <v>0.165699860814538</v>
      </c>
      <c r="G196" s="98">
        <f t="shared" si="22"/>
        <v>-8.7409273844382795E-2</v>
      </c>
      <c r="H196" s="98">
        <f t="shared" si="21"/>
        <v>0.15249207311583668</v>
      </c>
      <c r="I196" s="99" t="s">
        <v>9</v>
      </c>
    </row>
    <row r="197" spans="2:13" ht="17">
      <c r="B197" s="8" t="s">
        <v>54</v>
      </c>
      <c r="C197" s="51">
        <v>-0.50390660106698537</v>
      </c>
      <c r="D197" s="51">
        <v>2.21</v>
      </c>
      <c r="E197" s="81">
        <v>2.2658715287463354</v>
      </c>
      <c r="F197" s="98">
        <v>0.180895714643867</v>
      </c>
      <c r="G197" s="98">
        <f t="shared" si="22"/>
        <v>-5.5871528746335386E-2</v>
      </c>
      <c r="H197" s="98">
        <f t="shared" si="21"/>
        <v>0.18402981821388409</v>
      </c>
      <c r="I197" s="99" t="s">
        <v>10</v>
      </c>
    </row>
    <row r="198" spans="2:13">
      <c r="B198" s="8" t="s">
        <v>4</v>
      </c>
      <c r="C198" s="51">
        <v>1.5358247450456437</v>
      </c>
      <c r="D198" s="51">
        <v>3.32</v>
      </c>
      <c r="E198" s="81">
        <v>2.9577247062583929</v>
      </c>
      <c r="F198" s="98">
        <v>0.50098769807993204</v>
      </c>
      <c r="G198" s="98">
        <f t="shared" si="22"/>
        <v>0.36227529374160694</v>
      </c>
      <c r="H198" s="98">
        <f t="shared" si="21"/>
        <v>0.60217664070182642</v>
      </c>
      <c r="I198" s="99" t="s">
        <v>10</v>
      </c>
    </row>
    <row r="199" spans="2:13" ht="17">
      <c r="B199" s="8" t="s">
        <v>48</v>
      </c>
      <c r="C199" s="51">
        <v>-0.39084977149954331</v>
      </c>
      <c r="D199" s="51">
        <v>2.02</v>
      </c>
      <c r="E199" s="81">
        <v>2.3145532494343226</v>
      </c>
      <c r="F199" s="98">
        <v>0.16603701814597999</v>
      </c>
      <c r="G199" s="98">
        <f t="shared" si="22"/>
        <v>-0.29455324943432259</v>
      </c>
      <c r="H199" s="98">
        <f t="shared" si="21"/>
        <v>-5.465190247410312E-2</v>
      </c>
      <c r="I199" s="99" t="s">
        <v>10</v>
      </c>
    </row>
    <row r="201" spans="2:13" ht="14" thickBot="1"/>
    <row r="202" spans="2:13" s="27" customFormat="1" ht="24" customHeight="1" thickBot="1">
      <c r="B202" s="115" t="s">
        <v>130</v>
      </c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  <c r="M202" s="117"/>
    </row>
    <row r="204" spans="2:13" ht="17">
      <c r="B204" s="9" t="s">
        <v>7</v>
      </c>
      <c r="C204" s="14" t="s">
        <v>80</v>
      </c>
      <c r="D204" s="4" t="s">
        <v>82</v>
      </c>
      <c r="E204" s="14" t="s">
        <v>122</v>
      </c>
      <c r="F204" s="4" t="s">
        <v>123</v>
      </c>
      <c r="G204" s="41" t="s">
        <v>131</v>
      </c>
      <c r="H204" s="41" t="s">
        <v>132</v>
      </c>
      <c r="I204" s="102" t="s">
        <v>129</v>
      </c>
      <c r="J204" s="9" t="s">
        <v>0</v>
      </c>
      <c r="K204" s="4" t="s">
        <v>124</v>
      </c>
    </row>
    <row r="205" spans="2:13" ht="17">
      <c r="B205" s="8" t="s">
        <v>36</v>
      </c>
      <c r="C205" s="51">
        <v>4.91</v>
      </c>
      <c r="D205" s="7">
        <v>-1492</v>
      </c>
      <c r="E205" s="7">
        <f>(ABS(C205-$C$223))/$C$224</f>
        <v>0.25485358619661796</v>
      </c>
      <c r="F205" s="7">
        <f>(ABS(D205-$D$223))/$D$224</f>
        <v>1.955334002294741</v>
      </c>
      <c r="G205" s="51">
        <f>AVERAGE(E205:F205)</f>
        <v>1.1050937942456796</v>
      </c>
      <c r="H205" s="51">
        <f>STDEV(E205:F205)</f>
        <v>1.2024212334979045</v>
      </c>
      <c r="I205" s="51">
        <f t="shared" ref="I205:I222" si="23">G205+1.28*H205</f>
        <v>2.6441929731229976</v>
      </c>
      <c r="J205" s="78" t="s">
        <v>9</v>
      </c>
      <c r="K205" s="51" t="s">
        <v>125</v>
      </c>
    </row>
    <row r="206" spans="2:13" ht="17">
      <c r="B206" s="8" t="s">
        <v>49</v>
      </c>
      <c r="C206" s="51">
        <v>3.81</v>
      </c>
      <c r="D206" s="7">
        <v>-618.29999999999995</v>
      </c>
      <c r="E206" s="7">
        <f t="shared" ref="E206:E222" si="24">(ABS(C206-$C$223))/$C$224</f>
        <v>1.0244114739275809</v>
      </c>
      <c r="F206" s="7">
        <f t="shared" ref="F206:F222" si="25">(ABS(D206-$D$223))/$D$224</f>
        <v>0.28809192823136071</v>
      </c>
      <c r="G206" s="51">
        <f t="shared" ref="G206:G222" si="26">AVERAGE(E206:F206)</f>
        <v>0.65625170107947084</v>
      </c>
      <c r="H206" s="51">
        <f t="shared" ref="H206:H222" si="27">STDEV(E206:F206)</f>
        <v>0.520656543881995</v>
      </c>
      <c r="I206" s="51">
        <f t="shared" si="23"/>
        <v>1.3226920772484245</v>
      </c>
      <c r="J206" s="78" t="s">
        <v>9</v>
      </c>
      <c r="K206" s="51" t="s">
        <v>125</v>
      </c>
    </row>
    <row r="207" spans="2:13" ht="17">
      <c r="B207" s="8" t="s">
        <v>55</v>
      </c>
      <c r="C207" s="51">
        <v>3.24</v>
      </c>
      <c r="D207" s="7">
        <v>-139.5</v>
      </c>
      <c r="E207" s="7">
        <f t="shared" si="24"/>
        <v>1.4231823793881708</v>
      </c>
      <c r="F207" s="7">
        <f t="shared" si="25"/>
        <v>0.62558039071283789</v>
      </c>
      <c r="G207" s="51">
        <f>AVERAGE(E207:F207)</f>
        <v>1.0243813850505044</v>
      </c>
      <c r="H207" s="51">
        <f t="shared" si="27"/>
        <v>0.56398977488020408</v>
      </c>
      <c r="I207" s="51">
        <f t="shared" si="23"/>
        <v>1.7462882968971656</v>
      </c>
      <c r="J207" s="78" t="s">
        <v>9</v>
      </c>
      <c r="K207" s="51" t="s">
        <v>125</v>
      </c>
    </row>
    <row r="208" spans="2:13" ht="17">
      <c r="B208" s="8" t="s">
        <v>84</v>
      </c>
      <c r="C208" s="51">
        <v>6.73</v>
      </c>
      <c r="D208" s="7">
        <v>-715.4</v>
      </c>
      <c r="E208" s="7">
        <f t="shared" si="24"/>
        <v>1.0184149189582483</v>
      </c>
      <c r="F208" s="7">
        <f t="shared" si="25"/>
        <v>0.47338345323027825</v>
      </c>
      <c r="G208" s="51">
        <f>AVERAGE(E208:F208)</f>
        <v>0.74589918609426331</v>
      </c>
      <c r="H208" s="51">
        <f t="shared" si="27"/>
        <v>0.38539544537629083</v>
      </c>
      <c r="I208" s="51">
        <f t="shared" si="23"/>
        <v>1.2392053561759155</v>
      </c>
      <c r="J208" s="78" t="s">
        <v>9</v>
      </c>
      <c r="K208" s="51" t="s">
        <v>125</v>
      </c>
    </row>
    <row r="209" spans="2:11" ht="17">
      <c r="B209" s="8" t="s">
        <v>85</v>
      </c>
      <c r="C209" s="51">
        <v>5</v>
      </c>
      <c r="D209" s="7">
        <v>-96.3</v>
      </c>
      <c r="E209" s="7">
        <f t="shared" si="24"/>
        <v>0.19188975901863017</v>
      </c>
      <c r="F209" s="7">
        <f t="shared" si="25"/>
        <v>0.70801699091832948</v>
      </c>
      <c r="G209" s="51">
        <f t="shared" si="26"/>
        <v>0.44995337496847981</v>
      </c>
      <c r="H209" s="51">
        <f t="shared" si="27"/>
        <v>0.36495706563131919</v>
      </c>
      <c r="I209" s="51">
        <f t="shared" si="23"/>
        <v>0.91709841897656841</v>
      </c>
      <c r="J209" s="78" t="s">
        <v>9</v>
      </c>
      <c r="K209" s="51" t="s">
        <v>125</v>
      </c>
    </row>
    <row r="210" spans="2:11" ht="17">
      <c r="B210" s="8" t="s">
        <v>40</v>
      </c>
      <c r="C210" s="51">
        <v>6.45</v>
      </c>
      <c r="D210" s="7">
        <v>-157.69999999999999</v>
      </c>
      <c r="E210" s="7">
        <f t="shared" si="24"/>
        <v>0.82252745662673021</v>
      </c>
      <c r="F210" s="7">
        <f t="shared" si="25"/>
        <v>0.59085015636700577</v>
      </c>
      <c r="G210" s="51">
        <f t="shared" si="26"/>
        <v>0.70668880649686794</v>
      </c>
      <c r="H210" s="51">
        <f>STDEV(E210:F210)</f>
        <v>0.16382059006064331</v>
      </c>
      <c r="I210" s="51">
        <f t="shared" si="23"/>
        <v>0.91637916177449141</v>
      </c>
      <c r="J210" s="78" t="s">
        <v>9</v>
      </c>
      <c r="K210" s="51" t="s">
        <v>125</v>
      </c>
    </row>
    <row r="211" spans="2:11" ht="17">
      <c r="B211" s="8" t="s">
        <v>52</v>
      </c>
      <c r="C211" s="51">
        <v>6.78</v>
      </c>
      <c r="D211" s="7">
        <v>-52.1</v>
      </c>
      <c r="E211" s="7">
        <f t="shared" si="24"/>
        <v>1.0533948229460193</v>
      </c>
      <c r="F211" s="7">
        <f t="shared" si="25"/>
        <v>0.79236184575820745</v>
      </c>
      <c r="G211" s="51">
        <f t="shared" si="26"/>
        <v>0.92287833435211342</v>
      </c>
      <c r="H211" s="51">
        <f>STDEV(E211:F211)</f>
        <v>0.18457818828281508</v>
      </c>
      <c r="I211" s="51">
        <f t="shared" si="23"/>
        <v>1.1591384153541167</v>
      </c>
      <c r="J211" s="78" t="s">
        <v>9</v>
      </c>
      <c r="K211" s="51" t="s">
        <v>125</v>
      </c>
    </row>
    <row r="212" spans="2:11" ht="17">
      <c r="B212" s="8" t="s">
        <v>50</v>
      </c>
      <c r="C212" s="51">
        <v>3.44</v>
      </c>
      <c r="D212" s="7">
        <v>-600</v>
      </c>
      <c r="E212" s="7">
        <f t="shared" si="24"/>
        <v>1.2832627634370868</v>
      </c>
      <c r="F212" s="7">
        <f t="shared" si="25"/>
        <v>0.25317086842209002</v>
      </c>
      <c r="G212" s="51">
        <f t="shared" si="26"/>
        <v>0.76821681592958835</v>
      </c>
      <c r="H212" s="51">
        <f>STDEV(E212:F212)</f>
        <v>0.72838496421040555</v>
      </c>
      <c r="I212" s="51">
        <f t="shared" si="23"/>
        <v>1.7005495701189075</v>
      </c>
      <c r="J212" s="79" t="s">
        <v>10</v>
      </c>
      <c r="K212" s="51" t="s">
        <v>126</v>
      </c>
    </row>
    <row r="213" spans="2:11" ht="17">
      <c r="B213" s="8" t="s">
        <v>48</v>
      </c>
      <c r="C213" s="51">
        <v>4.95</v>
      </c>
      <c r="D213" s="7">
        <v>-638.1</v>
      </c>
      <c r="E213" s="7">
        <f t="shared" si="24"/>
        <v>0.2268696630064011</v>
      </c>
      <c r="F213" s="7">
        <f t="shared" si="25"/>
        <v>0.32587536999221117</v>
      </c>
      <c r="G213" s="51">
        <f>AVERAGE(E213:F213)</f>
        <v>0.27637251649930616</v>
      </c>
      <c r="H213" s="51">
        <f>STDEV(E213:F213)</f>
        <v>7.0007606785834439E-2</v>
      </c>
      <c r="I213" s="51">
        <f t="shared" si="23"/>
        <v>0.36598225318517424</v>
      </c>
      <c r="J213" s="79" t="s">
        <v>10</v>
      </c>
      <c r="K213" s="51" t="s">
        <v>126</v>
      </c>
    </row>
    <row r="214" spans="2:11" ht="17">
      <c r="B214" s="8" t="s">
        <v>38</v>
      </c>
      <c r="C214" s="51">
        <v>4.21</v>
      </c>
      <c r="D214" s="7">
        <v>-378.5</v>
      </c>
      <c r="E214" s="7">
        <f t="shared" si="24"/>
        <v>0.74457224202541272</v>
      </c>
      <c r="F214" s="7">
        <f t="shared" si="25"/>
        <v>0.1695075330944931</v>
      </c>
      <c r="G214" s="51">
        <f t="shared" si="26"/>
        <v>0.4570398875599529</v>
      </c>
      <c r="H214" s="51">
        <f>STDEV(E214:F214)</f>
        <v>0.40663215530612151</v>
      </c>
      <c r="I214" s="51">
        <f t="shared" si="23"/>
        <v>0.9775290463517885</v>
      </c>
      <c r="J214" s="79" t="s">
        <v>10</v>
      </c>
      <c r="K214" s="51" t="s">
        <v>126</v>
      </c>
    </row>
    <row r="215" spans="2:11" ht="17">
      <c r="B215" s="8" t="s">
        <v>54</v>
      </c>
      <c r="C215" s="51">
        <v>3.35</v>
      </c>
      <c r="D215" s="7">
        <v>-135.30000000000001</v>
      </c>
      <c r="E215" s="7">
        <f t="shared" si="24"/>
        <v>1.3462265906150745</v>
      </c>
      <c r="F215" s="7">
        <f t="shared" si="25"/>
        <v>0.63359506017726064</v>
      </c>
      <c r="G215" s="51">
        <f t="shared" si="26"/>
        <v>0.98991082539616759</v>
      </c>
      <c r="H215" s="51">
        <f t="shared" si="27"/>
        <v>0.50390658765992558</v>
      </c>
      <c r="I215" s="51">
        <f t="shared" si="23"/>
        <v>1.6349112576008724</v>
      </c>
      <c r="J215" s="79" t="s">
        <v>10</v>
      </c>
      <c r="K215" s="51" t="s">
        <v>126</v>
      </c>
    </row>
    <row r="216" spans="2:11" ht="17">
      <c r="B216" s="8" t="s">
        <v>51</v>
      </c>
      <c r="C216" s="51">
        <v>4.3600000000000003</v>
      </c>
      <c r="D216" s="7">
        <v>-235.3</v>
      </c>
      <c r="E216" s="7">
        <f t="shared" si="24"/>
        <v>0.6396325300620993</v>
      </c>
      <c r="F216" s="7">
        <f t="shared" si="25"/>
        <v>0.44276959673862271</v>
      </c>
      <c r="G216" s="51">
        <f t="shared" si="26"/>
        <v>0.541201063400361</v>
      </c>
      <c r="H216" s="51">
        <f t="shared" si="27"/>
        <v>0.13920311511730565</v>
      </c>
      <c r="I216" s="51">
        <f t="shared" si="23"/>
        <v>0.71938105075051229</v>
      </c>
      <c r="J216" s="79" t="s">
        <v>10</v>
      </c>
      <c r="K216" s="51" t="s">
        <v>126</v>
      </c>
    </row>
    <row r="217" spans="2:11" ht="17">
      <c r="B217" s="8" t="s">
        <v>39</v>
      </c>
      <c r="C217" s="51">
        <v>4.46</v>
      </c>
      <c r="D217" s="7">
        <v>-206.7</v>
      </c>
      <c r="E217" s="7">
        <f t="shared" si="24"/>
        <v>0.5696727220865575</v>
      </c>
      <c r="F217" s="7">
        <f t="shared" si="25"/>
        <v>0.49734567928207318</v>
      </c>
      <c r="G217" s="51">
        <f t="shared" si="26"/>
        <v>0.5335092006843154</v>
      </c>
      <c r="H217" s="51">
        <f t="shared" si="27"/>
        <v>5.1142942430220557E-2</v>
      </c>
      <c r="I217" s="51">
        <f t="shared" si="23"/>
        <v>0.59897216699499767</v>
      </c>
      <c r="J217" s="79" t="s">
        <v>10</v>
      </c>
      <c r="K217" s="51" t="s">
        <v>126</v>
      </c>
    </row>
    <row r="218" spans="2:11">
      <c r="B218" s="8" t="s">
        <v>2</v>
      </c>
      <c r="C218" s="51">
        <v>4.47</v>
      </c>
      <c r="D218" s="7">
        <v>68</v>
      </c>
      <c r="E218" s="7">
        <f t="shared" si="24"/>
        <v>0.56267674128900347</v>
      </c>
      <c r="F218" s="7">
        <f t="shared" si="25"/>
        <v>1.0215432273480116</v>
      </c>
      <c r="G218" s="51">
        <f t="shared" si="26"/>
        <v>0.79210998431850754</v>
      </c>
      <c r="H218" s="51">
        <f t="shared" si="27"/>
        <v>0.32446760395156732</v>
      </c>
      <c r="I218" s="51">
        <f t="shared" si="23"/>
        <v>1.2074285173765138</v>
      </c>
      <c r="J218" s="79" t="s">
        <v>10</v>
      </c>
      <c r="K218" s="51" t="s">
        <v>126</v>
      </c>
    </row>
    <row r="219" spans="2:11" ht="17">
      <c r="B219" s="8" t="s">
        <v>53</v>
      </c>
      <c r="C219" s="51">
        <v>5.34</v>
      </c>
      <c r="D219" s="7">
        <v>-148.5</v>
      </c>
      <c r="E219" s="7">
        <f t="shared" si="24"/>
        <v>4.5973588098212836E-2</v>
      </c>
      <c r="F219" s="7">
        <f t="shared" si="25"/>
        <v>0.60840609900336051</v>
      </c>
      <c r="G219" s="51">
        <f t="shared" si="26"/>
        <v>0.32718984355078667</v>
      </c>
      <c r="H219" s="51">
        <f t="shared" si="27"/>
        <v>0.39769984242080675</v>
      </c>
      <c r="I219" s="51">
        <f t="shared" si="23"/>
        <v>0.8362456418494193</v>
      </c>
      <c r="J219" s="79" t="s">
        <v>10</v>
      </c>
      <c r="K219" s="51" t="s">
        <v>126</v>
      </c>
    </row>
    <row r="220" spans="2:11" ht="17">
      <c r="B220" s="8" t="s">
        <v>37</v>
      </c>
      <c r="C220" s="51">
        <v>4.57</v>
      </c>
      <c r="D220" s="7">
        <v>-266.60000000000002</v>
      </c>
      <c r="E220" s="7">
        <f t="shared" si="24"/>
        <v>0.49271693331346095</v>
      </c>
      <c r="F220" s="7">
        <f t="shared" si="25"/>
        <v>0.38304122668232898</v>
      </c>
      <c r="G220" s="51">
        <f t="shared" si="26"/>
        <v>0.43787907999789499</v>
      </c>
      <c r="H220" s="51">
        <f t="shared" si="27"/>
        <v>7.755243589029974E-2</v>
      </c>
      <c r="I220" s="51">
        <f t="shared" si="23"/>
        <v>0.53714619793747864</v>
      </c>
      <c r="J220" s="79" t="s">
        <v>10</v>
      </c>
      <c r="K220" s="51" t="s">
        <v>126</v>
      </c>
    </row>
    <row r="221" spans="2:11">
      <c r="B221" s="8" t="s">
        <v>3</v>
      </c>
      <c r="C221" s="51">
        <v>7.44</v>
      </c>
      <c r="D221" s="7">
        <v>-786.8</v>
      </c>
      <c r="E221" s="7">
        <f t="shared" si="24"/>
        <v>1.5151295555845972</v>
      </c>
      <c r="F221" s="7">
        <f t="shared" si="25"/>
        <v>0.60963283412546576</v>
      </c>
      <c r="G221" s="51">
        <f t="shared" si="26"/>
        <v>1.0623811948550315</v>
      </c>
      <c r="H221" s="51">
        <f t="shared" si="27"/>
        <v>0.64028287208593826</v>
      </c>
      <c r="I221" s="51">
        <f t="shared" si="23"/>
        <v>1.8819432711250323</v>
      </c>
      <c r="J221" s="79" t="s">
        <v>10</v>
      </c>
      <c r="K221" s="51" t="s">
        <v>126</v>
      </c>
    </row>
    <row r="222" spans="2:11">
      <c r="B222" s="8" t="s">
        <v>4</v>
      </c>
      <c r="C222" s="51">
        <v>8.33</v>
      </c>
      <c r="D222" s="7">
        <v>-449.4</v>
      </c>
      <c r="E222" s="7">
        <f t="shared" si="24"/>
        <v>2.1377718465669213</v>
      </c>
      <c r="F222" s="7">
        <f t="shared" si="25"/>
        <v>3.4212279516498807E-2</v>
      </c>
      <c r="G222" s="51">
        <f t="shared" si="26"/>
        <v>1.0859920630417101</v>
      </c>
      <c r="H222" s="51">
        <f t="shared" si="27"/>
        <v>1.4874412344911916</v>
      </c>
      <c r="I222" s="51">
        <f t="shared" si="23"/>
        <v>2.9899168431904357</v>
      </c>
      <c r="J222" s="79" t="s">
        <v>10</v>
      </c>
      <c r="K222" s="51" t="s">
        <v>126</v>
      </c>
    </row>
    <row r="223" spans="2:11" s="98" customFormat="1" ht="17">
      <c r="B223" s="101" t="s">
        <v>127</v>
      </c>
      <c r="C223" s="101">
        <f>AVERAGE(C205:C211)</f>
        <v>5.2742857142857149</v>
      </c>
      <c r="D223" s="101">
        <f>AVERAGE(D205:D211)</f>
        <v>-467.32857142857148</v>
      </c>
    </row>
    <row r="224" spans="2:11" s="98" customFormat="1" ht="17">
      <c r="B224" s="101" t="s">
        <v>128</v>
      </c>
      <c r="C224" s="101">
        <f>STDEV(C205:C211)</f>
        <v>1.4293921452008551</v>
      </c>
      <c r="D224" s="101">
        <f>STDEV(D205:D211)</f>
        <v>524.03907842286515</v>
      </c>
    </row>
  </sheetData>
  <sortState ref="B284:E301">
    <sortCondition ref="B284:B301"/>
  </sortState>
  <mergeCells count="10">
    <mergeCell ref="B202:M202"/>
    <mergeCell ref="B179:M179"/>
    <mergeCell ref="B128:M128"/>
    <mergeCell ref="B166:K167"/>
    <mergeCell ref="B2:M2"/>
    <mergeCell ref="B24:M24"/>
    <mergeCell ref="B48:M48"/>
    <mergeCell ref="D50:H51"/>
    <mergeCell ref="B73:M73"/>
    <mergeCell ref="B95:M95"/>
  </mergeCells>
  <pageMargins left="0.75" right="0.75" top="1" bottom="1" header="0.5" footer="0.5"/>
  <pageSetup paperSize="9" orientation="portrait" horizontalDpi="4294967292" verticalDpi="4294967292"/>
  <ignoredErrors>
    <ignoredError sqref="C46:D46 D45 C223:D224" formulaRang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15"/>
  <sheetViews>
    <sheetView zoomScale="150" zoomScaleNormal="150" zoomScalePageLayoutView="150" workbookViewId="0"/>
  </sheetViews>
  <sheetFormatPr baseColWidth="10" defaultRowHeight="13" x14ac:dyDescent="0"/>
  <cols>
    <col min="1" max="1" width="1.83203125" style="29" customWidth="1"/>
    <col min="2" max="2" width="17.5" style="29" customWidth="1"/>
    <col min="3" max="3" width="10" style="29" customWidth="1"/>
    <col min="4" max="4" width="11.6640625" style="29" customWidth="1"/>
    <col min="5" max="5" width="11" style="29" customWidth="1"/>
    <col min="6" max="6" width="10.33203125" style="29" customWidth="1"/>
    <col min="7" max="8" width="10.83203125" style="29"/>
    <col min="9" max="10" width="11.1640625" style="29" customWidth="1"/>
    <col min="11" max="11" width="13.1640625" style="29" customWidth="1"/>
    <col min="12" max="12" width="12.5" style="29" customWidth="1"/>
    <col min="13" max="13" width="10.83203125" style="29"/>
    <col min="14" max="14" width="12.6640625" style="29" customWidth="1"/>
    <col min="15" max="15" width="14.33203125" style="29" customWidth="1"/>
    <col min="16" max="16" width="24" style="29" customWidth="1"/>
    <col min="17" max="16384" width="10.83203125" style="29"/>
  </cols>
  <sheetData>
    <row r="1" spans="2:13" ht="14" thickBot="1"/>
    <row r="2" spans="2:13" s="28" customFormat="1" ht="24" customHeight="1" thickBot="1">
      <c r="B2" s="124" t="s">
        <v>32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6"/>
    </row>
    <row r="3" spans="2:13" s="25" customFormat="1" ht="14" customHeight="1"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2:13" ht="30">
      <c r="B4" s="9" t="s">
        <v>7</v>
      </c>
      <c r="C4" s="9" t="s">
        <v>0</v>
      </c>
      <c r="D4" s="4" t="s">
        <v>27</v>
      </c>
    </row>
    <row r="5" spans="2:13" s="48" customFormat="1" ht="14" customHeight="1">
      <c r="B5" s="3" t="s">
        <v>36</v>
      </c>
      <c r="C5" s="8" t="s">
        <v>9</v>
      </c>
      <c r="D5" s="7">
        <v>1.74</v>
      </c>
    </row>
    <row r="6" spans="2:13" s="48" customFormat="1" ht="14" customHeight="1">
      <c r="B6" s="3" t="s">
        <v>37</v>
      </c>
      <c r="C6" s="8" t="s">
        <v>9</v>
      </c>
      <c r="D6" s="7">
        <v>2.0099999999999998</v>
      </c>
    </row>
    <row r="7" spans="2:13" s="26" customFormat="1" ht="14" customHeight="1">
      <c r="B7" s="4" t="s">
        <v>70</v>
      </c>
      <c r="C7" s="9" t="s">
        <v>10</v>
      </c>
      <c r="D7" s="13">
        <v>2.15</v>
      </c>
    </row>
    <row r="8" spans="2:13" s="26" customFormat="1" ht="14" customHeight="1">
      <c r="B8" s="4" t="s">
        <v>71</v>
      </c>
      <c r="C8" s="9" t="s">
        <v>10</v>
      </c>
      <c r="D8" s="13">
        <v>2.2000000000000002</v>
      </c>
    </row>
    <row r="9" spans="2:13" s="48" customFormat="1" ht="14" customHeight="1">
      <c r="B9" s="3" t="s">
        <v>38</v>
      </c>
      <c r="C9" s="8" t="s">
        <v>9</v>
      </c>
      <c r="D9" s="7">
        <v>2.29</v>
      </c>
    </row>
    <row r="10" spans="2:13" s="26" customFormat="1" ht="14" customHeight="1">
      <c r="B10" s="4" t="s">
        <v>72</v>
      </c>
      <c r="C10" s="9" t="s">
        <v>10</v>
      </c>
      <c r="D10" s="13">
        <v>2.4900000000000002</v>
      </c>
    </row>
    <row r="11" spans="2:13" s="26" customFormat="1" ht="14" customHeight="1">
      <c r="B11" s="4" t="s">
        <v>73</v>
      </c>
      <c r="C11" s="9" t="s">
        <v>10</v>
      </c>
      <c r="D11" s="13">
        <v>2.5099999999999998</v>
      </c>
    </row>
    <row r="12" spans="2:13" s="48" customFormat="1" ht="14" customHeight="1">
      <c r="B12" s="3" t="s">
        <v>39</v>
      </c>
      <c r="C12" s="8" t="s">
        <v>9</v>
      </c>
      <c r="D12" s="7">
        <v>2.64</v>
      </c>
    </row>
    <row r="13" spans="2:13" s="26" customFormat="1" ht="14" customHeight="1">
      <c r="B13" s="4" t="s">
        <v>74</v>
      </c>
      <c r="C13" s="9" t="s">
        <v>10</v>
      </c>
      <c r="D13" s="13">
        <v>2.81</v>
      </c>
    </row>
    <row r="14" spans="2:13" s="26" customFormat="1" ht="14" customHeight="1">
      <c r="B14" s="4" t="s">
        <v>75</v>
      </c>
      <c r="C14" s="9" t="s">
        <v>10</v>
      </c>
      <c r="D14" s="13">
        <v>2.82</v>
      </c>
    </row>
    <row r="15" spans="2:13" s="48" customFormat="1" ht="14" customHeight="1">
      <c r="B15" s="3" t="s">
        <v>40</v>
      </c>
      <c r="C15" s="8" t="s">
        <v>9</v>
      </c>
      <c r="D15" s="49">
        <v>2.87</v>
      </c>
    </row>
    <row r="16" spans="2:13" s="26" customFormat="1" ht="14" customHeight="1">
      <c r="B16" s="4" t="s">
        <v>76</v>
      </c>
      <c r="C16" s="9" t="s">
        <v>10</v>
      </c>
      <c r="D16" s="13">
        <v>2.87</v>
      </c>
    </row>
    <row r="17" spans="2:15" s="26" customFormat="1" ht="14" customHeight="1">
      <c r="B17" s="4" t="s">
        <v>77</v>
      </c>
      <c r="C17" s="9" t="s">
        <v>10</v>
      </c>
      <c r="D17" s="13">
        <v>3.14</v>
      </c>
      <c r="K17" s="48"/>
      <c r="L17" s="48"/>
    </row>
    <row r="18" spans="2:15" s="48" customFormat="1" ht="14" customHeight="1">
      <c r="B18" s="50" t="s">
        <v>5</v>
      </c>
      <c r="C18" s="8" t="s">
        <v>9</v>
      </c>
      <c r="D18" s="7">
        <v>3.2</v>
      </c>
      <c r="K18" s="26"/>
      <c r="L18" s="26"/>
    </row>
    <row r="19" spans="2:15" s="26" customFormat="1" ht="14" customHeight="1">
      <c r="B19" s="77" t="s">
        <v>2</v>
      </c>
      <c r="C19" s="9" t="s">
        <v>10</v>
      </c>
      <c r="D19" s="13">
        <v>3.45</v>
      </c>
    </row>
    <row r="20" spans="2:15" s="26" customFormat="1" ht="14" customHeight="1">
      <c r="B20" s="77" t="s">
        <v>4</v>
      </c>
      <c r="C20" s="9" t="s">
        <v>10</v>
      </c>
      <c r="D20" s="13">
        <v>3.45</v>
      </c>
    </row>
    <row r="21" spans="2:15" s="48" customFormat="1" ht="14" customHeight="1">
      <c r="B21" s="3" t="s">
        <v>3</v>
      </c>
      <c r="C21" s="8" t="s">
        <v>9</v>
      </c>
      <c r="D21" s="7">
        <v>3.51</v>
      </c>
    </row>
    <row r="22" spans="2:15" ht="14" thickBot="1"/>
    <row r="23" spans="2:15" s="28" customFormat="1" ht="24" customHeight="1" thickBot="1">
      <c r="B23" s="127" t="s">
        <v>43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9"/>
    </row>
    <row r="25" spans="2:15" s="41" customFormat="1" ht="17">
      <c r="B25" s="9" t="s">
        <v>7</v>
      </c>
      <c r="C25" s="9" t="s">
        <v>33</v>
      </c>
      <c r="D25" s="10" t="s">
        <v>34</v>
      </c>
      <c r="E25" s="9" t="s">
        <v>41</v>
      </c>
      <c r="F25" s="10" t="s">
        <v>35</v>
      </c>
      <c r="G25" s="9" t="s">
        <v>0</v>
      </c>
      <c r="H25" s="3"/>
      <c r="I25" s="9"/>
      <c r="J25" s="9"/>
      <c r="K25" s="4"/>
      <c r="O25" s="9"/>
    </row>
    <row r="26" spans="2:15" s="40" customFormat="1" ht="14" customHeight="1">
      <c r="B26" s="3" t="s">
        <v>36</v>
      </c>
      <c r="C26" s="51">
        <v>1575.73</v>
      </c>
      <c r="D26" s="52">
        <v>4</v>
      </c>
      <c r="E26" s="51">
        <f t="shared" ref="E26:E42" si="0">(C26-$C$43)/$C$44</f>
        <v>0.93049009975727937</v>
      </c>
      <c r="F26" s="51">
        <f>(D26-$D$43)/$D$44</f>
        <v>1.2247448713915889</v>
      </c>
      <c r="G26" s="8" t="s">
        <v>9</v>
      </c>
      <c r="H26" s="3"/>
      <c r="I26" s="3"/>
      <c r="J26" s="8"/>
      <c r="K26" s="7"/>
    </row>
    <row r="27" spans="2:15" s="40" customFormat="1" ht="14" customHeight="1">
      <c r="B27" s="3" t="s">
        <v>37</v>
      </c>
      <c r="C27" s="51">
        <v>1717.32</v>
      </c>
      <c r="D27" s="52">
        <v>4</v>
      </c>
      <c r="E27" s="51">
        <f t="shared" si="0"/>
        <v>1.2633746424914414</v>
      </c>
      <c r="F27" s="51">
        <f>(D27-$D$43)/$D$44</f>
        <v>1.2247448713915889</v>
      </c>
      <c r="G27" s="8" t="s">
        <v>9</v>
      </c>
      <c r="H27" s="3"/>
      <c r="I27" s="3"/>
      <c r="J27" s="8"/>
      <c r="K27" s="7"/>
    </row>
    <row r="28" spans="2:15" s="40" customFormat="1" ht="14" customHeight="1">
      <c r="B28" s="3" t="s">
        <v>38</v>
      </c>
      <c r="C28" s="7">
        <v>1408.29</v>
      </c>
      <c r="D28" s="53">
        <v>3</v>
      </c>
      <c r="E28" s="51">
        <f t="shared" si="0"/>
        <v>0.53683102895137413</v>
      </c>
      <c r="F28" s="51">
        <f>(D28-$D$43)/$D$44</f>
        <v>0</v>
      </c>
      <c r="G28" s="8" t="s">
        <v>9</v>
      </c>
      <c r="H28" s="3"/>
      <c r="I28" s="3"/>
      <c r="J28" s="8"/>
      <c r="K28" s="7"/>
    </row>
    <row r="29" spans="2:15" s="40" customFormat="1" ht="14" customHeight="1">
      <c r="B29" s="3" t="s">
        <v>39</v>
      </c>
      <c r="C29" s="51">
        <v>1233.06</v>
      </c>
      <c r="D29" s="52">
        <v>3</v>
      </c>
      <c r="E29" s="51">
        <f t="shared" si="0"/>
        <v>0.12485731312887799</v>
      </c>
      <c r="F29" s="51">
        <f>(D29-$D$43)/$D$44</f>
        <v>0</v>
      </c>
      <c r="G29" s="8" t="s">
        <v>9</v>
      </c>
      <c r="H29" s="3"/>
      <c r="I29" s="3"/>
      <c r="J29" s="8"/>
      <c r="K29" s="7"/>
    </row>
    <row r="30" spans="2:15" s="40" customFormat="1" ht="14" customHeight="1">
      <c r="B30" s="3" t="s">
        <v>40</v>
      </c>
      <c r="C30" s="51">
        <v>1017.22</v>
      </c>
      <c r="D30" s="52">
        <v>3</v>
      </c>
      <c r="E30" s="51">
        <f t="shared" si="0"/>
        <v>-0.38259236342837549</v>
      </c>
      <c r="F30" s="51">
        <f t="shared" ref="F30:F42" si="1">(D30-$D$43)/$D$44</f>
        <v>0</v>
      </c>
      <c r="G30" s="8" t="s">
        <v>9</v>
      </c>
      <c r="H30" s="50"/>
      <c r="I30" s="3"/>
      <c r="J30" s="8"/>
      <c r="K30" s="49"/>
    </row>
    <row r="31" spans="2:15" s="40" customFormat="1" ht="14" customHeight="1">
      <c r="B31" s="50" t="s">
        <v>5</v>
      </c>
      <c r="C31" s="7">
        <v>706.25</v>
      </c>
      <c r="D31" s="53">
        <v>2</v>
      </c>
      <c r="E31" s="51">
        <f t="shared" si="0"/>
        <v>-1.1136970053807902</v>
      </c>
      <c r="F31" s="51">
        <f t="shared" si="1"/>
        <v>-1.2247448713915889</v>
      </c>
      <c r="G31" s="8" t="s">
        <v>9</v>
      </c>
      <c r="H31" s="3"/>
      <c r="I31" s="50"/>
      <c r="J31" s="8"/>
      <c r="K31" s="7"/>
    </row>
    <row r="32" spans="2:15" s="40" customFormat="1" ht="14" customHeight="1">
      <c r="B32" s="3" t="s">
        <v>3</v>
      </c>
      <c r="C32" s="51">
        <v>601.79999999999995</v>
      </c>
      <c r="D32" s="52">
        <v>2</v>
      </c>
      <c r="E32" s="51">
        <f t="shared" si="0"/>
        <v>-1.359263715519806</v>
      </c>
      <c r="F32" s="51">
        <f t="shared" si="1"/>
        <v>-1.2247448713915889</v>
      </c>
      <c r="G32" s="8" t="s">
        <v>9</v>
      </c>
      <c r="H32" s="3"/>
      <c r="I32" s="3"/>
      <c r="J32" s="8"/>
      <c r="K32" s="7"/>
    </row>
    <row r="33" spans="2:13" s="40" customFormat="1" ht="14" customHeight="1">
      <c r="B33" s="3" t="s">
        <v>48</v>
      </c>
      <c r="C33" s="7">
        <v>1357.66</v>
      </c>
      <c r="D33" s="53">
        <v>4</v>
      </c>
      <c r="E33" s="51">
        <f t="shared" si="0"/>
        <v>0.41779759157139967</v>
      </c>
      <c r="F33" s="51">
        <f t="shared" si="1"/>
        <v>1.2247448713915889</v>
      </c>
      <c r="G33" s="8" t="s">
        <v>10</v>
      </c>
      <c r="H33" s="3"/>
    </row>
    <row r="34" spans="2:13" s="40" customFormat="1" ht="14" customHeight="1">
      <c r="B34" s="3" t="s">
        <v>49</v>
      </c>
      <c r="C34" s="7">
        <v>1686.38</v>
      </c>
      <c r="D34" s="53">
        <v>4</v>
      </c>
      <c r="E34" s="51">
        <f t="shared" si="0"/>
        <v>1.1906332924512202</v>
      </c>
      <c r="F34" s="51">
        <f t="shared" si="1"/>
        <v>1.2247448713915889</v>
      </c>
      <c r="G34" s="8" t="s">
        <v>10</v>
      </c>
      <c r="H34" s="3"/>
      <c r="I34" s="4"/>
      <c r="J34" s="9"/>
      <c r="K34" s="13"/>
    </row>
    <row r="35" spans="2:13" s="40" customFormat="1" ht="14" customHeight="1">
      <c r="B35" s="3" t="s">
        <v>50</v>
      </c>
      <c r="C35" s="7">
        <v>1187.83</v>
      </c>
      <c r="D35" s="53">
        <v>3</v>
      </c>
      <c r="E35" s="51">
        <f t="shared" si="0"/>
        <v>1.8519521845128017E-2</v>
      </c>
      <c r="F35" s="51">
        <f t="shared" si="1"/>
        <v>0</v>
      </c>
      <c r="G35" s="8" t="s">
        <v>10</v>
      </c>
      <c r="H35" s="3"/>
      <c r="I35" s="4"/>
      <c r="J35" s="9"/>
      <c r="K35" s="13"/>
    </row>
    <row r="36" spans="2:13" s="40" customFormat="1" ht="14" customHeight="1">
      <c r="B36" s="3" t="s">
        <v>51</v>
      </c>
      <c r="C36" s="7">
        <v>1268.7</v>
      </c>
      <c r="D36" s="53">
        <v>3</v>
      </c>
      <c r="E36" s="51">
        <f t="shared" si="0"/>
        <v>0.20864857736396217</v>
      </c>
      <c r="F36" s="51">
        <f t="shared" si="1"/>
        <v>0</v>
      </c>
      <c r="G36" s="8" t="s">
        <v>10</v>
      </c>
      <c r="H36" s="3"/>
    </row>
    <row r="37" spans="2:13" s="40" customFormat="1" ht="14" customHeight="1">
      <c r="B37" s="3" t="s">
        <v>52</v>
      </c>
      <c r="C37" s="7">
        <v>1271.1300000000001</v>
      </c>
      <c r="D37" s="53">
        <v>3</v>
      </c>
      <c r="E37" s="51">
        <f t="shared" si="0"/>
        <v>0.21436161810726351</v>
      </c>
      <c r="F37" s="51">
        <f t="shared" si="1"/>
        <v>0</v>
      </c>
      <c r="G37" s="8" t="s">
        <v>10</v>
      </c>
      <c r="H37" s="3"/>
      <c r="I37" s="4"/>
      <c r="J37" s="9"/>
      <c r="K37" s="13"/>
    </row>
    <row r="38" spans="2:13" s="40" customFormat="1" ht="14" customHeight="1">
      <c r="B38" s="3" t="s">
        <v>53</v>
      </c>
      <c r="C38" s="7">
        <v>1137.4000000000001</v>
      </c>
      <c r="D38" s="53">
        <v>3</v>
      </c>
      <c r="E38" s="51">
        <f t="shared" si="0"/>
        <v>-0.10004370642017138</v>
      </c>
      <c r="F38" s="51">
        <f t="shared" si="1"/>
        <v>0</v>
      </c>
      <c r="G38" s="8" t="s">
        <v>10</v>
      </c>
      <c r="H38" s="3"/>
      <c r="I38" s="4"/>
      <c r="J38" s="9"/>
      <c r="K38" s="13"/>
    </row>
    <row r="39" spans="2:13" s="40" customFormat="1" ht="14" customHeight="1">
      <c r="B39" s="3" t="s">
        <v>54</v>
      </c>
      <c r="C39" s="51">
        <v>837.15</v>
      </c>
      <c r="D39" s="52">
        <v>3</v>
      </c>
      <c r="E39" s="51">
        <f t="shared" si="0"/>
        <v>-0.80594513982600657</v>
      </c>
      <c r="F39" s="51">
        <f t="shared" si="1"/>
        <v>0</v>
      </c>
      <c r="G39" s="8" t="s">
        <v>10</v>
      </c>
      <c r="H39" s="3"/>
    </row>
    <row r="40" spans="2:13" s="40" customFormat="1" ht="14" customHeight="1">
      <c r="B40" s="3" t="s">
        <v>55</v>
      </c>
      <c r="C40" s="7">
        <v>1097.73</v>
      </c>
      <c r="D40" s="53">
        <v>3</v>
      </c>
      <c r="E40" s="51">
        <f t="shared" si="0"/>
        <v>-0.19330968431595663</v>
      </c>
      <c r="F40" s="51">
        <f t="shared" si="1"/>
        <v>0</v>
      </c>
      <c r="G40" s="8" t="s">
        <v>10</v>
      </c>
      <c r="H40" s="50"/>
      <c r="I40" s="77"/>
      <c r="J40" s="9"/>
      <c r="K40" s="13"/>
    </row>
    <row r="41" spans="2:13" s="40" customFormat="1" ht="14" customHeight="1">
      <c r="B41" s="50" t="s">
        <v>2</v>
      </c>
      <c r="C41" s="7">
        <v>596.70000000000005</v>
      </c>
      <c r="D41" s="53">
        <v>2</v>
      </c>
      <c r="E41" s="51">
        <f t="shared" si="0"/>
        <v>-1.3712540479440183</v>
      </c>
      <c r="F41" s="51">
        <f t="shared" si="1"/>
        <v>-1.2247448713915889</v>
      </c>
      <c r="G41" s="8" t="s">
        <v>10</v>
      </c>
      <c r="H41" s="50"/>
      <c r="I41" s="77"/>
      <c r="J41" s="9"/>
      <c r="K41" s="13"/>
    </row>
    <row r="42" spans="2:13" s="40" customFormat="1" ht="14" customHeight="1">
      <c r="B42" s="50" t="s">
        <v>4</v>
      </c>
      <c r="C42" s="51">
        <v>662.44</v>
      </c>
      <c r="D42" s="52">
        <v>2</v>
      </c>
      <c r="E42" s="51">
        <f t="shared" si="0"/>
        <v>-1.2166963119503476</v>
      </c>
      <c r="F42" s="51">
        <f t="shared" si="1"/>
        <v>-1.2247448713915889</v>
      </c>
      <c r="G42" s="8" t="s">
        <v>10</v>
      </c>
      <c r="H42" s="51"/>
    </row>
    <row r="43" spans="2:13" s="9" customFormat="1" ht="14" customHeight="1">
      <c r="B43" s="4" t="s">
        <v>12</v>
      </c>
      <c r="C43" s="11">
        <f>AVERAGE(C26:C32)</f>
        <v>1179.9528571428571</v>
      </c>
      <c r="D43" s="11">
        <f>AVERAGE(D26:D32)</f>
        <v>3</v>
      </c>
    </row>
    <row r="44" spans="2:13" s="9" customFormat="1" ht="14" customHeight="1">
      <c r="B44" s="4" t="s">
        <v>19</v>
      </c>
      <c r="C44" s="11">
        <f>STDEV(C26:C32)</f>
        <v>425.34266937432477</v>
      </c>
      <c r="D44" s="11">
        <f>STDEV(D26:D32)</f>
        <v>0.81649658092772603</v>
      </c>
    </row>
    <row r="45" spans="2:13" s="47" customFormat="1" ht="14" customHeight="1" thickBot="1">
      <c r="B45" s="4"/>
      <c r="C45" s="46"/>
      <c r="D45" s="46"/>
    </row>
    <row r="46" spans="2:13" s="28" customFormat="1" ht="24" customHeight="1" thickBot="1">
      <c r="B46" s="127" t="s">
        <v>44</v>
      </c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9"/>
    </row>
    <row r="47" spans="2:13" s="47" customFormat="1" ht="14" customHeight="1" thickBot="1">
      <c r="B47" s="4"/>
      <c r="C47" s="46"/>
      <c r="D47" s="46"/>
    </row>
    <row r="48" spans="2:13" s="47" customFormat="1" ht="11" customHeight="1">
      <c r="B48" s="4"/>
      <c r="C48" s="46"/>
      <c r="D48" s="130" t="s">
        <v>42</v>
      </c>
      <c r="E48" s="131"/>
      <c r="F48" s="131"/>
      <c r="G48" s="131"/>
      <c r="H48" s="132"/>
    </row>
    <row r="49" spans="2:8" s="47" customFormat="1" ht="11" customHeight="1" thickBot="1">
      <c r="B49" s="4"/>
      <c r="C49" s="46"/>
      <c r="D49" s="133"/>
      <c r="E49" s="134"/>
      <c r="F49" s="134"/>
      <c r="G49" s="134"/>
      <c r="H49" s="135"/>
    </row>
    <row r="50" spans="2:8" s="47" customFormat="1" ht="14" customHeight="1">
      <c r="B50" s="4"/>
      <c r="C50" s="46"/>
      <c r="D50" s="46"/>
    </row>
    <row r="51" spans="2:8" s="41" customFormat="1" ht="30">
      <c r="B51" s="9" t="s">
        <v>7</v>
      </c>
      <c r="C51" s="9" t="s">
        <v>41</v>
      </c>
      <c r="D51" s="10" t="s">
        <v>35</v>
      </c>
      <c r="E51" s="9" t="s">
        <v>0</v>
      </c>
      <c r="F51" s="13" t="s">
        <v>31</v>
      </c>
      <c r="G51" s="4" t="s">
        <v>27</v>
      </c>
    </row>
    <row r="52" spans="2:8" s="40" customFormat="1" ht="14" customHeight="1">
      <c r="B52" s="3" t="s">
        <v>36</v>
      </c>
      <c r="C52" s="51">
        <v>0.93049009975727937</v>
      </c>
      <c r="D52" s="51">
        <v>1.2247448713915889</v>
      </c>
      <c r="E52" s="8" t="s">
        <v>9</v>
      </c>
      <c r="F52" s="51">
        <f t="shared" ref="F52:F68" si="2">0.7071068*C52+0.7071068*D52</f>
        <v>1.5239813036971688</v>
      </c>
      <c r="G52" s="7">
        <v>1.74</v>
      </c>
    </row>
    <row r="53" spans="2:8" s="40" customFormat="1" ht="14" customHeight="1">
      <c r="B53" s="3" t="s">
        <v>37</v>
      </c>
      <c r="C53" s="51">
        <v>1.2633746424914414</v>
      </c>
      <c r="D53" s="51">
        <v>1.2247448713915889</v>
      </c>
      <c r="E53" s="8" t="s">
        <v>9</v>
      </c>
      <c r="F53" s="51">
        <f t="shared" si="2"/>
        <v>1.7593662274793851</v>
      </c>
      <c r="G53" s="7">
        <v>2.0099999999999998</v>
      </c>
    </row>
    <row r="54" spans="2:8" s="40" customFormat="1" ht="14" customHeight="1">
      <c r="B54" s="3" t="s">
        <v>38</v>
      </c>
      <c r="C54" s="51">
        <v>0.53683102895137413</v>
      </c>
      <c r="D54" s="51">
        <v>0</v>
      </c>
      <c r="E54" s="8" t="s">
        <v>9</v>
      </c>
      <c r="F54" s="51">
        <f t="shared" si="2"/>
        <v>0.37959687102251355</v>
      </c>
      <c r="G54" s="7">
        <v>2.29</v>
      </c>
    </row>
    <row r="55" spans="2:8" s="40" customFormat="1" ht="14" customHeight="1">
      <c r="B55" s="3" t="s">
        <v>39</v>
      </c>
      <c r="C55" s="51">
        <v>0.12485731312887799</v>
      </c>
      <c r="D55" s="51">
        <v>0</v>
      </c>
      <c r="E55" s="8" t="s">
        <v>9</v>
      </c>
      <c r="F55" s="51">
        <f t="shared" si="2"/>
        <v>8.8287455143158902E-2</v>
      </c>
      <c r="G55" s="7">
        <v>2.64</v>
      </c>
    </row>
    <row r="56" spans="2:8" s="40" customFormat="1" ht="14" customHeight="1">
      <c r="B56" s="3" t="s">
        <v>40</v>
      </c>
      <c r="C56" s="51">
        <v>-0.38259236342837549</v>
      </c>
      <c r="D56" s="51">
        <v>0</v>
      </c>
      <c r="E56" s="8" t="s">
        <v>9</v>
      </c>
      <c r="F56" s="51">
        <f t="shared" si="2"/>
        <v>-0.27053366180827565</v>
      </c>
      <c r="G56" s="49">
        <v>2.87</v>
      </c>
    </row>
    <row r="57" spans="2:8" s="40" customFormat="1" ht="14" customHeight="1">
      <c r="B57" s="50" t="s">
        <v>5</v>
      </c>
      <c r="C57" s="51">
        <v>-1.1136970053807902</v>
      </c>
      <c r="D57" s="51">
        <v>-1.2247448713915889</v>
      </c>
      <c r="E57" s="8" t="s">
        <v>9</v>
      </c>
      <c r="F57" s="51">
        <f t="shared" si="2"/>
        <v>-1.6535281524705114</v>
      </c>
      <c r="G57" s="7">
        <v>3.2</v>
      </c>
    </row>
    <row r="58" spans="2:8" s="40" customFormat="1" ht="14" customHeight="1">
      <c r="B58" s="3" t="s">
        <v>3</v>
      </c>
      <c r="C58" s="51">
        <v>-1.359263715519806</v>
      </c>
      <c r="D58" s="51">
        <v>-1.2247448713915889</v>
      </c>
      <c r="E58" s="8" t="s">
        <v>9</v>
      </c>
      <c r="F58" s="51">
        <f t="shared" si="2"/>
        <v>-1.8271700430634383</v>
      </c>
      <c r="G58" s="7">
        <v>3.51</v>
      </c>
    </row>
    <row r="59" spans="2:8" s="40" customFormat="1" ht="14" customHeight="1">
      <c r="B59" s="3" t="s">
        <v>48</v>
      </c>
      <c r="C59" s="51">
        <v>0.41779759157139967</v>
      </c>
      <c r="D59" s="51">
        <v>1.2247448713915889</v>
      </c>
      <c r="E59" s="8" t="s">
        <v>10</v>
      </c>
      <c r="F59" s="51">
        <f t="shared" si="2"/>
        <v>1.1614529448498774</v>
      </c>
      <c r="G59" s="7">
        <v>2.15</v>
      </c>
    </row>
    <row r="60" spans="2:8" s="40" customFormat="1" ht="14" customHeight="1">
      <c r="B60" s="3" t="s">
        <v>49</v>
      </c>
      <c r="C60" s="51">
        <v>1.1906332924512202</v>
      </c>
      <c r="D60" s="51">
        <v>1.2247448713915889</v>
      </c>
      <c r="E60" s="8" t="s">
        <v>10</v>
      </c>
      <c r="F60" s="51">
        <f t="shared" si="2"/>
        <v>1.7079303242247645</v>
      </c>
      <c r="G60" s="7">
        <v>2.2000000000000002</v>
      </c>
    </row>
    <row r="61" spans="2:8" s="40" customFormat="1" ht="14" customHeight="1">
      <c r="B61" s="3" t="s">
        <v>50</v>
      </c>
      <c r="C61" s="51">
        <v>1.8519521845128017E-2</v>
      </c>
      <c r="D61" s="51">
        <v>0</v>
      </c>
      <c r="E61" s="8" t="s">
        <v>10</v>
      </c>
      <c r="F61" s="51">
        <f t="shared" si="2"/>
        <v>1.3095279829438568E-2</v>
      </c>
      <c r="G61" s="7">
        <v>2.4900000000000002</v>
      </c>
    </row>
    <row r="62" spans="2:8" s="40" customFormat="1" ht="14" customHeight="1">
      <c r="B62" s="3" t="s">
        <v>51</v>
      </c>
      <c r="C62" s="51">
        <v>0.20864857736396217</v>
      </c>
      <c r="D62" s="51">
        <v>0</v>
      </c>
      <c r="E62" s="8" t="s">
        <v>10</v>
      </c>
      <c r="F62" s="51">
        <f t="shared" si="2"/>
        <v>0.14753682786438374</v>
      </c>
      <c r="G62" s="7">
        <v>2.5099999999999998</v>
      </c>
    </row>
    <row r="63" spans="2:8" s="40" customFormat="1" ht="14" customHeight="1">
      <c r="B63" s="3" t="s">
        <v>52</v>
      </c>
      <c r="C63" s="51">
        <v>0.21436161810726351</v>
      </c>
      <c r="D63" s="51">
        <v>0</v>
      </c>
      <c r="E63" s="8" t="s">
        <v>10</v>
      </c>
      <c r="F63" s="51">
        <f t="shared" si="2"/>
        <v>0.15157655782264917</v>
      </c>
      <c r="G63" s="7">
        <v>2.81</v>
      </c>
    </row>
    <row r="64" spans="2:8" s="40" customFormat="1" ht="14" customHeight="1">
      <c r="B64" s="3" t="s">
        <v>53</v>
      </c>
      <c r="C64" s="51">
        <v>-0.10004370642017138</v>
      </c>
      <c r="D64" s="51">
        <v>0</v>
      </c>
      <c r="E64" s="8" t="s">
        <v>10</v>
      </c>
      <c r="F64" s="51">
        <f t="shared" si="2"/>
        <v>-7.074158510690684E-2</v>
      </c>
      <c r="G64" s="7">
        <v>2.82</v>
      </c>
    </row>
    <row r="65" spans="2:13" s="40" customFormat="1" ht="14" customHeight="1">
      <c r="B65" s="3" t="s">
        <v>54</v>
      </c>
      <c r="C65" s="51">
        <v>-0.80594513982600657</v>
      </c>
      <c r="D65" s="51">
        <v>0</v>
      </c>
      <c r="E65" s="8" t="s">
        <v>10</v>
      </c>
      <c r="F65" s="51">
        <f t="shared" si="2"/>
        <v>-0.56988928879792011</v>
      </c>
      <c r="G65" s="7">
        <v>2.87</v>
      </c>
    </row>
    <row r="66" spans="2:13" s="40" customFormat="1" ht="14" customHeight="1">
      <c r="B66" s="3" t="s">
        <v>55</v>
      </c>
      <c r="C66" s="51">
        <v>-0.19330968431595663</v>
      </c>
      <c r="D66" s="51">
        <v>0</v>
      </c>
      <c r="E66" s="8" t="s">
        <v>10</v>
      </c>
      <c r="F66" s="51">
        <f t="shared" si="2"/>
        <v>-0.1366905922856663</v>
      </c>
      <c r="G66" s="7">
        <v>3.14</v>
      </c>
    </row>
    <row r="67" spans="2:13" s="40" customFormat="1" ht="14" customHeight="1">
      <c r="B67" s="50" t="s">
        <v>2</v>
      </c>
      <c r="C67" s="51">
        <v>-1.3712540479440183</v>
      </c>
      <c r="D67" s="51">
        <v>-1.2247448713915889</v>
      </c>
      <c r="E67" s="8" t="s">
        <v>10</v>
      </c>
      <c r="F67" s="51">
        <f t="shared" si="2"/>
        <v>-1.8356484886548594</v>
      </c>
      <c r="G67" s="7">
        <v>3.45</v>
      </c>
    </row>
    <row r="68" spans="2:13" s="40" customFormat="1" ht="14" customHeight="1">
      <c r="B68" s="50" t="s">
        <v>4</v>
      </c>
      <c r="C68" s="51">
        <v>-1.2166963119503476</v>
      </c>
      <c r="D68" s="51">
        <v>-1.2247448713915889</v>
      </c>
      <c r="E68" s="8" t="s">
        <v>10</v>
      </c>
      <c r="F68" s="51">
        <f t="shared" si="2"/>
        <v>-1.7263596625411302</v>
      </c>
      <c r="G68" s="7">
        <v>3.45</v>
      </c>
    </row>
    <row r="69" spans="2:13" s="47" customFormat="1" ht="14" customHeight="1" thickBot="1">
      <c r="B69" s="4"/>
      <c r="C69" s="46"/>
      <c r="D69" s="46"/>
    </row>
    <row r="70" spans="2:13" s="28" customFormat="1" ht="24" customHeight="1" thickBot="1">
      <c r="B70" s="136" t="s">
        <v>78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8"/>
    </row>
    <row r="71" spans="2:13" s="42" customFormat="1" ht="14" customHeight="1"/>
    <row r="72" spans="2:13" s="41" customFormat="1" ht="30">
      <c r="B72" s="9" t="s">
        <v>7</v>
      </c>
      <c r="C72" s="9" t="s">
        <v>0</v>
      </c>
      <c r="D72" s="13" t="s">
        <v>31</v>
      </c>
      <c r="E72" s="4" t="s">
        <v>27</v>
      </c>
      <c r="F72" s="4" t="s">
        <v>28</v>
      </c>
      <c r="G72" s="9" t="s">
        <v>1</v>
      </c>
      <c r="H72" s="9" t="s">
        <v>11</v>
      </c>
    </row>
    <row r="73" spans="2:13" s="54" customFormat="1" ht="14" customHeight="1">
      <c r="B73" s="50" t="s">
        <v>2</v>
      </c>
      <c r="C73" s="8" t="s">
        <v>10</v>
      </c>
      <c r="D73" s="49">
        <v>-1.8356484886548594</v>
      </c>
      <c r="E73" s="7">
        <v>3.45</v>
      </c>
      <c r="F73" s="49">
        <f>G73*(D73-D74)+E74</f>
        <v>3.5251364289133553</v>
      </c>
      <c r="G73" s="49">
        <f>(E74-E76)/(D74-D76)</f>
        <v>-1.7852834874203283</v>
      </c>
      <c r="H73" s="49">
        <f>E73-F73</f>
        <v>-7.5136428913355147E-2</v>
      </c>
    </row>
    <row r="74" spans="2:13" s="54" customFormat="1" ht="14" customHeight="1">
      <c r="B74" s="3" t="s">
        <v>3</v>
      </c>
      <c r="C74" s="8" t="s">
        <v>9</v>
      </c>
      <c r="D74" s="49">
        <v>-1.8271700430634383</v>
      </c>
      <c r="E74" s="7">
        <v>3.51</v>
      </c>
      <c r="F74" s="49">
        <f>G74*(D74-D76)+E76</f>
        <v>3.2414331541322539</v>
      </c>
      <c r="G74" s="49">
        <f>(E76-E78)/(D76-D78)</f>
        <v>-0.23861266420662472</v>
      </c>
      <c r="H74" s="49">
        <f t="shared" ref="H74:H89" si="3">E74-F74</f>
        <v>0.26856684586774593</v>
      </c>
    </row>
    <row r="75" spans="2:13" s="54" customFormat="1" ht="14" customHeight="1">
      <c r="B75" s="50" t="s">
        <v>4</v>
      </c>
      <c r="C75" s="8" t="s">
        <v>10</v>
      </c>
      <c r="D75" s="49">
        <v>-1.7263596625411302</v>
      </c>
      <c r="E75" s="7">
        <v>3.45</v>
      </c>
      <c r="F75" s="49">
        <f>(E74*(D75-D76)+E76*(D74-D75))/(D74-D76)</f>
        <v>3.3300248922929629</v>
      </c>
      <c r="G75" s="49"/>
      <c r="H75" s="49">
        <f t="shared" si="3"/>
        <v>0.11997510770703723</v>
      </c>
    </row>
    <row r="76" spans="2:13" s="54" customFormat="1" ht="14" customHeight="1">
      <c r="B76" s="50" t="s">
        <v>5</v>
      </c>
      <c r="C76" s="8" t="s">
        <v>9</v>
      </c>
      <c r="D76" s="49">
        <v>-1.6535281524705114</v>
      </c>
      <c r="E76" s="7">
        <v>3.2</v>
      </c>
      <c r="F76" s="49">
        <f>(E74*(D76-D78)+E78*(D74-D76))/(D74-D78)</f>
        <v>3.4386083690978206</v>
      </c>
      <c r="G76" s="49"/>
      <c r="H76" s="49">
        <f t="shared" si="3"/>
        <v>-0.23860836909782046</v>
      </c>
    </row>
    <row r="77" spans="2:13" s="54" customFormat="1" ht="14" customHeight="1">
      <c r="B77" s="3" t="s">
        <v>54</v>
      </c>
      <c r="C77" s="8" t="s">
        <v>10</v>
      </c>
      <c r="D77" s="49">
        <v>-0.56988928879792011</v>
      </c>
      <c r="E77" s="7">
        <v>2.87</v>
      </c>
      <c r="F77" s="49">
        <f>(E76*(D77-D78)+E78*(D76-D77))/(D76-D78)</f>
        <v>2.9414300437012439</v>
      </c>
      <c r="G77" s="49"/>
      <c r="H77" s="49">
        <f t="shared" si="3"/>
        <v>-7.1430043701243839E-2</v>
      </c>
    </row>
    <row r="78" spans="2:13" s="54" customFormat="1" ht="14" customHeight="1">
      <c r="B78" s="3" t="s">
        <v>6</v>
      </c>
      <c r="C78" s="8" t="s">
        <v>9</v>
      </c>
      <c r="D78" s="49">
        <v>-0.27053366180827565</v>
      </c>
      <c r="E78" s="49">
        <v>2.87</v>
      </c>
      <c r="F78" s="49">
        <f>(E76*(D78-D82)+E82*(D76-D78))/(D76-D82)</f>
        <v>2.7553622832488545</v>
      </c>
      <c r="G78" s="49"/>
      <c r="H78" s="49">
        <f t="shared" si="3"/>
        <v>0.11463771675114565</v>
      </c>
    </row>
    <row r="79" spans="2:13" s="54" customFormat="1" ht="14" customHeight="1">
      <c r="B79" s="3" t="s">
        <v>55</v>
      </c>
      <c r="C79" s="8" t="s">
        <v>10</v>
      </c>
      <c r="D79" s="49">
        <v>-0.1366905922856663</v>
      </c>
      <c r="E79" s="7">
        <v>3.14</v>
      </c>
      <c r="F79" s="49">
        <f>(E78*(D79-D82)+E82*(D78-D79))/(D78-D82)</f>
        <v>2.7842082097850263</v>
      </c>
      <c r="G79" s="49"/>
      <c r="H79" s="49">
        <f t="shared" si="3"/>
        <v>0.35579179021497387</v>
      </c>
    </row>
    <row r="80" spans="2:13" s="54" customFormat="1" ht="14" customHeight="1">
      <c r="B80" s="3" t="s">
        <v>53</v>
      </c>
      <c r="C80" s="8" t="s">
        <v>10</v>
      </c>
      <c r="D80" s="49">
        <v>-7.074158510690684E-2</v>
      </c>
      <c r="E80" s="7">
        <v>2.82</v>
      </c>
      <c r="F80" s="49">
        <f>(E78*(D80-D82)+E82*(D78-D80))/(D78-D82)</f>
        <v>2.7419356931060048</v>
      </c>
      <c r="G80" s="49"/>
      <c r="H80" s="49">
        <f t="shared" si="3"/>
        <v>7.8064306893995017E-2</v>
      </c>
    </row>
    <row r="81" spans="2:19" s="54" customFormat="1" ht="14" customHeight="1">
      <c r="B81" s="3" t="s">
        <v>50</v>
      </c>
      <c r="C81" s="8" t="s">
        <v>10</v>
      </c>
      <c r="D81" s="49">
        <v>1.3095279829438568E-2</v>
      </c>
      <c r="E81" s="7">
        <v>2.4900000000000002</v>
      </c>
      <c r="F81" s="49">
        <f>(E78*(D81-D82)+E82*(D78-D81))/(D78-D82)</f>
        <v>2.6881972757598227</v>
      </c>
      <c r="G81" s="49"/>
      <c r="H81" s="49">
        <f t="shared" si="3"/>
        <v>-0.19819727575982249</v>
      </c>
    </row>
    <row r="82" spans="2:19" s="54" customFormat="1" ht="14" customHeight="1">
      <c r="B82" s="3" t="s">
        <v>39</v>
      </c>
      <c r="C82" s="8" t="s">
        <v>9</v>
      </c>
      <c r="D82" s="49">
        <v>8.8287455143158902E-2</v>
      </c>
      <c r="E82" s="7">
        <v>2.64</v>
      </c>
      <c r="F82" s="49">
        <f>(E78*(D82-D85)+E85*(D78-D82))/(D78-D85)</f>
        <v>2.5498854425038999</v>
      </c>
      <c r="G82" s="49"/>
      <c r="H82" s="49">
        <f t="shared" si="3"/>
        <v>9.01145574961002E-2</v>
      </c>
    </row>
    <row r="83" spans="2:19" s="54" customFormat="1" ht="14" customHeight="1">
      <c r="B83" s="3" t="s">
        <v>51</v>
      </c>
      <c r="C83" s="8" t="s">
        <v>10</v>
      </c>
      <c r="D83" s="49">
        <v>0.14753682786438374</v>
      </c>
      <c r="E83" s="7">
        <v>2.5099999999999998</v>
      </c>
      <c r="F83" s="49">
        <f>(E82*(D83-D85)+E85*(D82-D83))/(D82-D85)</f>
        <v>2.5688135593220336</v>
      </c>
      <c r="G83" s="49"/>
      <c r="H83" s="49">
        <f t="shared" si="3"/>
        <v>-5.8813559322033804E-2</v>
      </c>
    </row>
    <row r="84" spans="2:19" s="54" customFormat="1" ht="14" customHeight="1">
      <c r="B84" s="3" t="s">
        <v>52</v>
      </c>
      <c r="C84" s="8" t="s">
        <v>10</v>
      </c>
      <c r="D84" s="49">
        <v>0.15157655782264917</v>
      </c>
      <c r="E84" s="7">
        <v>2.81</v>
      </c>
      <c r="F84" s="49">
        <f>(E82*(D84-D85)+E85*(D82-D84))/(D82-D85)</f>
        <v>2.5639599383667178</v>
      </c>
      <c r="G84" s="49"/>
      <c r="H84" s="49">
        <f t="shared" si="3"/>
        <v>0.24604006163328229</v>
      </c>
    </row>
    <row r="85" spans="2:19" s="54" customFormat="1" ht="14" customHeight="1">
      <c r="B85" s="3" t="s">
        <v>38</v>
      </c>
      <c r="C85" s="8" t="s">
        <v>9</v>
      </c>
      <c r="D85" s="49">
        <v>0.37959687102251355</v>
      </c>
      <c r="E85" s="7">
        <v>2.29</v>
      </c>
      <c r="F85" s="49">
        <f>(E82*(D85-D87)+E87*(D82-D85))/(D82-D87)</f>
        <v>2.4573855278717831</v>
      </c>
      <c r="G85" s="49"/>
      <c r="H85" s="49">
        <f t="shared" si="3"/>
        <v>-0.16738552787178307</v>
      </c>
    </row>
    <row r="86" spans="2:19" s="54" customFormat="1" ht="14" customHeight="1">
      <c r="B86" s="3" t="s">
        <v>48</v>
      </c>
      <c r="C86" s="8" t="s">
        <v>10</v>
      </c>
      <c r="D86" s="49">
        <v>1.1614529448498774</v>
      </c>
      <c r="E86" s="7">
        <v>2.15</v>
      </c>
      <c r="F86" s="49">
        <f>(E85*(D86-D87)+E87*(D85-D86))/(D85-D87)</f>
        <v>1.9142339302012303</v>
      </c>
      <c r="G86" s="49"/>
      <c r="H86" s="49">
        <f t="shared" si="3"/>
        <v>0.23576606979876957</v>
      </c>
    </row>
    <row r="87" spans="2:19" s="54" customFormat="1" ht="14" customHeight="1">
      <c r="B87" s="3" t="s">
        <v>36</v>
      </c>
      <c r="C87" s="8" t="s">
        <v>9</v>
      </c>
      <c r="D87" s="49">
        <v>1.5239813036971688</v>
      </c>
      <c r="E87" s="7">
        <v>1.74</v>
      </c>
      <c r="F87" s="49">
        <f>(E85*(D87-D89)+E89*(D85-D87))/(D85-D89)</f>
        <v>2.0577672433806367</v>
      </c>
      <c r="G87" s="49"/>
      <c r="H87" s="49">
        <f t="shared" si="3"/>
        <v>-0.31776724338063667</v>
      </c>
    </row>
    <row r="88" spans="2:19" s="54" customFormat="1" ht="14" customHeight="1">
      <c r="B88" s="3" t="s">
        <v>49</v>
      </c>
      <c r="C88" s="8" t="s">
        <v>10</v>
      </c>
      <c r="D88" s="49">
        <v>1.7079303242247645</v>
      </c>
      <c r="E88" s="7">
        <v>2.2000000000000002</v>
      </c>
      <c r="F88" s="49">
        <f>(E87*(D88-D89)+E89*(D87-D88))/(D87-D89)</f>
        <v>1.9510000706264568</v>
      </c>
      <c r="G88" s="49"/>
      <c r="H88" s="49">
        <f t="shared" si="3"/>
        <v>0.24899992937354343</v>
      </c>
    </row>
    <row r="89" spans="2:19" s="54" customFormat="1" ht="14" customHeight="1">
      <c r="B89" s="3" t="s">
        <v>37</v>
      </c>
      <c r="C89" s="8" t="s">
        <v>9</v>
      </c>
      <c r="D89" s="49">
        <v>1.7593662274793851</v>
      </c>
      <c r="E89" s="7">
        <v>2.0099999999999998</v>
      </c>
      <c r="F89" s="49">
        <f>G89*(D89-D87)+E87</f>
        <v>1.6268721870170488</v>
      </c>
      <c r="G89" s="49">
        <f>(E87-E85)/(D87-D85)</f>
        <v>-0.48060772612446329</v>
      </c>
      <c r="H89" s="49">
        <f t="shared" si="3"/>
        <v>0.38312781298295095</v>
      </c>
    </row>
    <row r="90" spans="2:19" s="45" customFormat="1" ht="14" customHeight="1" thickBot="1"/>
    <row r="91" spans="2:19" s="28" customFormat="1" ht="24" customHeight="1" thickBot="1">
      <c r="B91" s="136" t="s">
        <v>45</v>
      </c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8"/>
    </row>
    <row r="92" spans="2:19" s="45" customFormat="1" ht="14" customHeight="1"/>
    <row r="93" spans="2:19" s="40" customFormat="1" ht="30">
      <c r="B93" s="4" t="s">
        <v>7</v>
      </c>
      <c r="C93" s="12" t="s">
        <v>0</v>
      </c>
      <c r="D93" s="13" t="s">
        <v>31</v>
      </c>
      <c r="E93" s="4" t="s">
        <v>27</v>
      </c>
      <c r="F93" s="4" t="s">
        <v>28</v>
      </c>
      <c r="G93" s="9" t="s">
        <v>1</v>
      </c>
      <c r="H93" s="9" t="s">
        <v>11</v>
      </c>
      <c r="I93" s="9" t="s">
        <v>29</v>
      </c>
      <c r="J93" s="9" t="s">
        <v>30</v>
      </c>
      <c r="K93" s="9" t="s">
        <v>47</v>
      </c>
      <c r="L93" s="9" t="s">
        <v>46</v>
      </c>
      <c r="M93" s="9" t="s">
        <v>13</v>
      </c>
      <c r="N93" s="9"/>
      <c r="O93" s="9"/>
    </row>
    <row r="94" spans="2:19" s="8" customFormat="1" ht="14" customHeight="1">
      <c r="B94" s="3" t="s">
        <v>3</v>
      </c>
      <c r="C94" s="8" t="s">
        <v>9</v>
      </c>
      <c r="D94" s="51">
        <v>-1.8271700430634383</v>
      </c>
      <c r="E94" s="7">
        <v>3.51</v>
      </c>
      <c r="F94" s="51">
        <v>3.2414331541322539</v>
      </c>
      <c r="G94" s="51">
        <v>-0.23861266420662472</v>
      </c>
      <c r="H94" s="51">
        <v>0.26856684586774593</v>
      </c>
      <c r="I94" s="51">
        <f>ABS(H94)</f>
        <v>0.26856684586774593</v>
      </c>
      <c r="J94" s="51">
        <f t="shared" ref="J94:J100" si="4">H94^2</f>
        <v>7.2128150699349594E-2</v>
      </c>
      <c r="K94" s="51">
        <f t="shared" ref="K94:K100" si="5">E94-(AVERAGE($E$94:$E$100))</f>
        <v>0.90142857142857169</v>
      </c>
      <c r="L94" s="51">
        <f>K94^2</f>
        <v>0.81257346938775554</v>
      </c>
      <c r="M94" s="51">
        <f t="shared" ref="M94:M100" si="6">I94/E94</f>
        <v>7.6514770902491716E-2</v>
      </c>
      <c r="O94" s="51"/>
      <c r="R94" s="51"/>
      <c r="S94" s="51"/>
    </row>
    <row r="95" spans="2:19" s="8" customFormat="1" ht="14" customHeight="1">
      <c r="B95" s="50" t="s">
        <v>5</v>
      </c>
      <c r="C95" s="8" t="s">
        <v>9</v>
      </c>
      <c r="D95" s="51">
        <v>-1.6535281524705114</v>
      </c>
      <c r="E95" s="7">
        <v>3.2</v>
      </c>
      <c r="F95" s="51">
        <v>3.4386083690978206</v>
      </c>
      <c r="G95" s="51"/>
      <c r="H95" s="51">
        <v>-0.23860836909782046</v>
      </c>
      <c r="I95" s="51">
        <f t="shared" ref="I95:I100" si="7">ABS(H95)</f>
        <v>0.23860836909782046</v>
      </c>
      <c r="J95" s="51">
        <f t="shared" si="4"/>
        <v>5.6933953803521724E-2</v>
      </c>
      <c r="K95" s="51">
        <f t="shared" si="5"/>
        <v>0.59142857142857208</v>
      </c>
      <c r="L95" s="51">
        <f t="shared" ref="L95:L100" si="8">K95^2</f>
        <v>0.34978775510204158</v>
      </c>
      <c r="M95" s="51">
        <f t="shared" si="6"/>
        <v>7.4565115343068894E-2</v>
      </c>
    </row>
    <row r="96" spans="2:19" s="8" customFormat="1" ht="14" customHeight="1">
      <c r="B96" s="3" t="s">
        <v>6</v>
      </c>
      <c r="C96" s="8" t="s">
        <v>9</v>
      </c>
      <c r="D96" s="51">
        <v>-0.27053366180827565</v>
      </c>
      <c r="E96" s="51">
        <v>2.87</v>
      </c>
      <c r="F96" s="51">
        <v>2.7553622832488545</v>
      </c>
      <c r="G96" s="51"/>
      <c r="H96" s="51">
        <v>0.11463771675114565</v>
      </c>
      <c r="I96" s="51">
        <f t="shared" si="7"/>
        <v>0.11463771675114565</v>
      </c>
      <c r="J96" s="51">
        <f t="shared" si="4"/>
        <v>1.3141806101915898E-2</v>
      </c>
      <c r="K96" s="51">
        <f t="shared" si="5"/>
        <v>0.26142857142857201</v>
      </c>
      <c r="L96" s="51">
        <f t="shared" si="8"/>
        <v>6.8344897959183984E-2</v>
      </c>
      <c r="M96" s="51">
        <f t="shared" si="6"/>
        <v>3.9943455313988026E-2</v>
      </c>
    </row>
    <row r="97" spans="2:19" s="8" customFormat="1" ht="14" customHeight="1">
      <c r="B97" s="3" t="s">
        <v>39</v>
      </c>
      <c r="C97" s="8" t="s">
        <v>9</v>
      </c>
      <c r="D97" s="51">
        <v>8.8287455143158902E-2</v>
      </c>
      <c r="E97" s="7">
        <v>2.64</v>
      </c>
      <c r="F97" s="51">
        <v>2.5498854425038999</v>
      </c>
      <c r="G97" s="51"/>
      <c r="H97" s="51">
        <v>9.01145574961002E-2</v>
      </c>
      <c r="I97" s="51">
        <f t="shared" si="7"/>
        <v>9.01145574961002E-2</v>
      </c>
      <c r="J97" s="51">
        <f t="shared" si="4"/>
        <v>8.1206334727179485E-3</v>
      </c>
      <c r="K97" s="51">
        <f t="shared" si="5"/>
        <v>3.1428571428572027E-2</v>
      </c>
      <c r="L97" s="51">
        <f t="shared" si="8"/>
        <v>9.8775510204085395E-4</v>
      </c>
      <c r="M97" s="51">
        <f t="shared" si="6"/>
        <v>3.4134302081856138E-2</v>
      </c>
    </row>
    <row r="98" spans="2:19" s="8" customFormat="1" ht="14" customHeight="1">
      <c r="B98" s="3" t="s">
        <v>38</v>
      </c>
      <c r="C98" s="8" t="s">
        <v>9</v>
      </c>
      <c r="D98" s="51">
        <v>0.37959687102251355</v>
      </c>
      <c r="E98" s="7">
        <v>2.29</v>
      </c>
      <c r="F98" s="51">
        <v>2.4573855278717831</v>
      </c>
      <c r="G98" s="51"/>
      <c r="H98" s="51">
        <v>-0.16738552787178307</v>
      </c>
      <c r="I98" s="51">
        <f t="shared" si="7"/>
        <v>0.16738552787178307</v>
      </c>
      <c r="J98" s="51">
        <f t="shared" si="4"/>
        <v>2.8017914940915465E-2</v>
      </c>
      <c r="K98" s="51">
        <f t="shared" si="5"/>
        <v>-0.31857142857142806</v>
      </c>
      <c r="L98" s="51">
        <f t="shared" si="8"/>
        <v>0.10148775510204049</v>
      </c>
      <c r="M98" s="51">
        <f t="shared" si="6"/>
        <v>7.3094116974577752E-2</v>
      </c>
      <c r="Q98" s="51"/>
    </row>
    <row r="99" spans="2:19" s="8" customFormat="1" ht="14" customHeight="1">
      <c r="B99" s="3" t="s">
        <v>36</v>
      </c>
      <c r="C99" s="8" t="s">
        <v>9</v>
      </c>
      <c r="D99" s="51">
        <v>1.5239813036971688</v>
      </c>
      <c r="E99" s="7">
        <v>1.74</v>
      </c>
      <c r="F99" s="51">
        <v>2.0577672433806367</v>
      </c>
      <c r="G99" s="51"/>
      <c r="H99" s="51">
        <v>-0.31776724338063667</v>
      </c>
      <c r="I99" s="51">
        <f t="shared" si="7"/>
        <v>0.31776724338063667</v>
      </c>
      <c r="J99" s="51">
        <f t="shared" si="4"/>
        <v>0.10097602096572877</v>
      </c>
      <c r="K99" s="51">
        <f t="shared" si="5"/>
        <v>-0.86857142857142811</v>
      </c>
      <c r="L99" s="51">
        <f t="shared" si="8"/>
        <v>0.75441632653061141</v>
      </c>
      <c r="M99" s="51">
        <f t="shared" si="6"/>
        <v>0.18262485251760727</v>
      </c>
      <c r="Q99" s="51"/>
      <c r="R99" s="51"/>
    </row>
    <row r="100" spans="2:19" s="8" customFormat="1" ht="14" customHeight="1">
      <c r="B100" s="3" t="s">
        <v>37</v>
      </c>
      <c r="C100" s="8" t="s">
        <v>9</v>
      </c>
      <c r="D100" s="51">
        <v>1.7593662274793851</v>
      </c>
      <c r="E100" s="7">
        <v>2.0099999999999998</v>
      </c>
      <c r="F100" s="51">
        <v>1.6268721870170488</v>
      </c>
      <c r="G100" s="51">
        <v>-0.48060772612446329</v>
      </c>
      <c r="H100" s="51">
        <v>0.38312781298295095</v>
      </c>
      <c r="I100" s="51">
        <f t="shared" si="7"/>
        <v>0.38312781298295095</v>
      </c>
      <c r="J100" s="51">
        <f t="shared" si="4"/>
        <v>0.14678692108109903</v>
      </c>
      <c r="K100" s="51">
        <f t="shared" si="5"/>
        <v>-0.59857142857142831</v>
      </c>
      <c r="L100" s="51">
        <f t="shared" si="8"/>
        <v>0.35828775510204053</v>
      </c>
      <c r="M100" s="51">
        <f t="shared" si="6"/>
        <v>0.19061085223032387</v>
      </c>
      <c r="O100" s="51"/>
      <c r="R100" s="51"/>
      <c r="S100" s="51"/>
    </row>
    <row r="101" spans="2:19" s="8" customFormat="1" ht="14" customHeight="1">
      <c r="B101" s="3"/>
      <c r="D101" s="51"/>
      <c r="E101" s="7"/>
      <c r="F101" s="51"/>
      <c r="G101" s="51"/>
      <c r="H101" s="51"/>
      <c r="I101" s="51"/>
      <c r="J101" s="51"/>
      <c r="K101" s="51"/>
      <c r="L101" s="51"/>
      <c r="M101" s="51"/>
      <c r="O101" s="51"/>
      <c r="R101" s="51"/>
      <c r="S101" s="51"/>
    </row>
    <row r="102" spans="2:19" s="8" customFormat="1" ht="14" customHeight="1">
      <c r="B102" s="3"/>
      <c r="D102" s="51"/>
      <c r="E102" s="85" t="s">
        <v>102</v>
      </c>
      <c r="F102" s="88">
        <f>CORREL(E94:E100,F94:F100)</f>
        <v>0.91265991458480655</v>
      </c>
      <c r="G102" s="85" t="s">
        <v>104</v>
      </c>
      <c r="H102" s="89">
        <f>SQRT((SUM(J94:J100)/7))</f>
        <v>0.24672292182158176</v>
      </c>
      <c r="I102" s="51"/>
      <c r="J102" s="51"/>
      <c r="K102" s="51"/>
      <c r="L102" s="51"/>
      <c r="M102" s="51"/>
      <c r="O102" s="51"/>
      <c r="R102" s="51"/>
      <c r="S102" s="51"/>
    </row>
    <row r="103" spans="2:19" s="8" customFormat="1" ht="14" customHeight="1">
      <c r="B103" s="3"/>
      <c r="E103" s="86" t="s">
        <v>103</v>
      </c>
      <c r="F103" s="90">
        <f>1-(SUM(J94:J100)/SUM(L94:L100))</f>
        <v>0.82578687197995826</v>
      </c>
      <c r="G103" s="86" t="s">
        <v>105</v>
      </c>
      <c r="H103" s="90">
        <f>(SUM(M94:M100)/7)*100</f>
        <v>9.5926780766273367</v>
      </c>
      <c r="I103" s="51"/>
      <c r="J103" s="51"/>
      <c r="K103" s="51"/>
      <c r="L103" s="51"/>
      <c r="M103" s="51"/>
      <c r="O103" s="51"/>
      <c r="R103" s="51"/>
      <c r="S103" s="51"/>
    </row>
    <row r="104" spans="2:19" s="8" customFormat="1" ht="14" customHeight="1">
      <c r="B104" s="3"/>
      <c r="D104" s="51"/>
      <c r="G104" s="87" t="s">
        <v>106</v>
      </c>
      <c r="H104" s="90">
        <f>SUM(I94:I100)/7</f>
        <v>0.22574401049259757</v>
      </c>
      <c r="I104" s="51"/>
      <c r="J104" s="51"/>
      <c r="K104" s="51"/>
      <c r="L104" s="51"/>
      <c r="M104" s="51"/>
      <c r="O104" s="51"/>
      <c r="R104" s="51"/>
      <c r="S104" s="51"/>
    </row>
    <row r="105" spans="2:19" s="56" customFormat="1" ht="14" customHeight="1">
      <c r="F105" s="30"/>
      <c r="G105" s="30"/>
      <c r="O105" s="30"/>
      <c r="P105" s="30"/>
      <c r="Q105" s="30"/>
    </row>
    <row r="106" spans="2:19" s="40" customFormat="1" ht="30">
      <c r="B106" s="4" t="s">
        <v>7</v>
      </c>
      <c r="C106" s="12" t="s">
        <v>0</v>
      </c>
      <c r="D106" s="13" t="s">
        <v>31</v>
      </c>
      <c r="E106" s="4" t="s">
        <v>27</v>
      </c>
      <c r="F106" s="4" t="s">
        <v>28</v>
      </c>
      <c r="G106" s="9" t="s">
        <v>1</v>
      </c>
      <c r="H106" s="9" t="s">
        <v>11</v>
      </c>
      <c r="I106" s="9" t="s">
        <v>29</v>
      </c>
      <c r="J106" s="9" t="s">
        <v>30</v>
      </c>
      <c r="K106" s="9" t="s">
        <v>47</v>
      </c>
      <c r="L106" s="9" t="s">
        <v>46</v>
      </c>
      <c r="M106" s="9" t="s">
        <v>13</v>
      </c>
      <c r="N106" s="9" t="s">
        <v>109</v>
      </c>
      <c r="O106" s="9" t="s">
        <v>110</v>
      </c>
      <c r="P106" s="9" t="s">
        <v>111</v>
      </c>
    </row>
    <row r="107" spans="2:19" s="8" customFormat="1" ht="14" customHeight="1">
      <c r="B107" s="50" t="s">
        <v>2</v>
      </c>
      <c r="C107" s="8" t="s">
        <v>10</v>
      </c>
      <c r="D107" s="51">
        <v>-1.8356484886548594</v>
      </c>
      <c r="E107" s="7">
        <v>3.45</v>
      </c>
      <c r="F107" s="51">
        <v>3.5251364289133553</v>
      </c>
      <c r="G107" s="51">
        <v>-1.7852834874203283</v>
      </c>
      <c r="H107" s="51">
        <v>-7.5136428913355147E-2</v>
      </c>
      <c r="I107" s="51">
        <f>ABS(H107)</f>
        <v>7.5136428913355147E-2</v>
      </c>
      <c r="J107" s="50">
        <f>H107^2</f>
        <v>5.6454829498516716E-3</v>
      </c>
      <c r="K107" s="51">
        <f t="shared" ref="K107:K116" si="9">E107-(AVERAGE($E$107:$E$116))</f>
        <v>0.66100000000000092</v>
      </c>
      <c r="L107" s="51">
        <f>K107^2</f>
        <v>0.43692100000000123</v>
      </c>
      <c r="M107" s="51">
        <f t="shared" ref="M107:M116" si="10">I107/E107</f>
        <v>2.1778675047349316E-2</v>
      </c>
      <c r="N107" s="51">
        <f>F107-AVERAGE($F$107:$F$116)</f>
        <v>0.8242424247058695</v>
      </c>
      <c r="O107" s="30">
        <f>N107^2</f>
        <v>0.67937557468501097</v>
      </c>
      <c r="P107" s="30">
        <f>K107*N107</f>
        <v>0.5448242427305805</v>
      </c>
      <c r="R107" s="51"/>
      <c r="S107" s="51"/>
    </row>
    <row r="108" spans="2:19" s="8" customFormat="1" ht="14" customHeight="1">
      <c r="B108" s="50" t="s">
        <v>4</v>
      </c>
      <c r="C108" s="8" t="s">
        <v>10</v>
      </c>
      <c r="D108" s="51">
        <v>-1.7263596625411302</v>
      </c>
      <c r="E108" s="7">
        <v>3.45</v>
      </c>
      <c r="F108" s="51">
        <v>3.3300248922929629</v>
      </c>
      <c r="G108" s="51"/>
      <c r="H108" s="51">
        <v>0.11997510770703723</v>
      </c>
      <c r="I108" s="51">
        <f t="shared" ref="I108:I116" si="11">ABS(H108)</f>
        <v>0.11997510770703723</v>
      </c>
      <c r="J108" s="50">
        <f t="shared" ref="J108:J116" si="12">H108^2</f>
        <v>1.4394026469315185E-2</v>
      </c>
      <c r="K108" s="51">
        <f t="shared" si="9"/>
        <v>0.66100000000000092</v>
      </c>
      <c r="L108" s="51">
        <f t="shared" ref="L108:L116" si="13">K108^2</f>
        <v>0.43692100000000123</v>
      </c>
      <c r="M108" s="51">
        <f t="shared" si="10"/>
        <v>3.4775393538271658E-2</v>
      </c>
      <c r="N108" s="51">
        <f t="shared" ref="N108:N116" si="14">F108-AVERAGE($F$107:$F$116)</f>
        <v>0.62913088808547712</v>
      </c>
      <c r="O108" s="30">
        <f t="shared" ref="O108:O116" si="15">N108^2</f>
        <v>0.39580567434322117</v>
      </c>
      <c r="P108" s="30">
        <f t="shared" ref="P108:P116" si="16">K108*N108</f>
        <v>0.41585551702450096</v>
      </c>
      <c r="R108" s="51"/>
      <c r="S108" s="51"/>
    </row>
    <row r="109" spans="2:19" s="8" customFormat="1" ht="14" customHeight="1">
      <c r="B109" s="3" t="s">
        <v>54</v>
      </c>
      <c r="C109" s="8" t="s">
        <v>10</v>
      </c>
      <c r="D109" s="51">
        <v>-0.56988928879792011</v>
      </c>
      <c r="E109" s="7">
        <v>2.87</v>
      </c>
      <c r="F109" s="51">
        <v>2.9414300437012439</v>
      </c>
      <c r="G109" s="51"/>
      <c r="H109" s="51">
        <v>-7.1430043701243839E-2</v>
      </c>
      <c r="I109" s="51">
        <f t="shared" si="11"/>
        <v>7.1430043701243839E-2</v>
      </c>
      <c r="J109" s="50">
        <f t="shared" si="12"/>
        <v>5.1022511431616045E-3</v>
      </c>
      <c r="K109" s="51">
        <f t="shared" si="9"/>
        <v>8.1000000000000849E-2</v>
      </c>
      <c r="L109" s="51">
        <f t="shared" si="13"/>
        <v>6.5610000000001379E-3</v>
      </c>
      <c r="M109" s="51">
        <f t="shared" si="10"/>
        <v>2.4888516969074508E-2</v>
      </c>
      <c r="N109" s="51">
        <f t="shared" si="14"/>
        <v>0.24053603949375812</v>
      </c>
      <c r="O109" s="30">
        <f t="shared" si="15"/>
        <v>5.7857586295342767E-2</v>
      </c>
      <c r="P109" s="30">
        <f t="shared" si="16"/>
        <v>1.9483419198994611E-2</v>
      </c>
    </row>
    <row r="110" spans="2:19" s="8" customFormat="1" ht="14" customHeight="1">
      <c r="B110" s="3" t="s">
        <v>55</v>
      </c>
      <c r="C110" s="8" t="s">
        <v>10</v>
      </c>
      <c r="D110" s="51">
        <v>-0.1366905922856663</v>
      </c>
      <c r="E110" s="7">
        <v>3.14</v>
      </c>
      <c r="F110" s="51">
        <v>2.7842082097850263</v>
      </c>
      <c r="G110" s="51"/>
      <c r="H110" s="51">
        <v>0.35579179021497387</v>
      </c>
      <c r="I110" s="51">
        <f t="shared" si="11"/>
        <v>0.35579179021497387</v>
      </c>
      <c r="J110" s="50">
        <f t="shared" si="12"/>
        <v>0.12658779798437597</v>
      </c>
      <c r="K110" s="51">
        <f t="shared" si="9"/>
        <v>0.35100000000000087</v>
      </c>
      <c r="L110" s="51">
        <f t="shared" si="13"/>
        <v>0.1232010000000006</v>
      </c>
      <c r="M110" s="51">
        <f t="shared" si="10"/>
        <v>0.11330948732960951</v>
      </c>
      <c r="N110" s="51">
        <f t="shared" si="14"/>
        <v>8.3314205577540434E-2</v>
      </c>
      <c r="O110" s="30">
        <f t="shared" si="15"/>
        <v>6.9412568510166693E-3</v>
      </c>
      <c r="P110" s="30">
        <f t="shared" si="16"/>
        <v>2.9243286157716764E-2</v>
      </c>
    </row>
    <row r="111" spans="2:19" s="8" customFormat="1" ht="14" customHeight="1">
      <c r="B111" s="3" t="s">
        <v>53</v>
      </c>
      <c r="C111" s="8" t="s">
        <v>10</v>
      </c>
      <c r="D111" s="51">
        <v>-7.074158510690684E-2</v>
      </c>
      <c r="E111" s="7">
        <v>2.82</v>
      </c>
      <c r="F111" s="51">
        <v>2.7419356931060048</v>
      </c>
      <c r="G111" s="51"/>
      <c r="H111" s="51">
        <v>7.8064306893995017E-2</v>
      </c>
      <c r="I111" s="51">
        <f t="shared" si="11"/>
        <v>7.8064306893995017E-2</v>
      </c>
      <c r="J111" s="50">
        <f t="shared" si="12"/>
        <v>6.0940360108398383E-3</v>
      </c>
      <c r="K111" s="51">
        <f t="shared" si="9"/>
        <v>3.1000000000000583E-2</v>
      </c>
      <c r="L111" s="51">
        <f t="shared" si="13"/>
        <v>9.6100000000003615E-4</v>
      </c>
      <c r="M111" s="51">
        <f t="shared" si="10"/>
        <v>2.7682378331203909E-2</v>
      </c>
      <c r="N111" s="51">
        <f t="shared" si="14"/>
        <v>4.1041688898519002E-2</v>
      </c>
      <c r="O111" s="30">
        <f t="shared" si="15"/>
        <v>1.6844202276428178E-3</v>
      </c>
      <c r="P111" s="30">
        <f t="shared" si="16"/>
        <v>1.2722923558541131E-3</v>
      </c>
    </row>
    <row r="112" spans="2:19" s="8" customFormat="1" ht="14" customHeight="1">
      <c r="B112" s="3" t="s">
        <v>50</v>
      </c>
      <c r="C112" s="8" t="s">
        <v>10</v>
      </c>
      <c r="D112" s="51">
        <v>1.3095279829438568E-2</v>
      </c>
      <c r="E112" s="7">
        <v>2.4900000000000002</v>
      </c>
      <c r="F112" s="51">
        <v>2.6881972757598227</v>
      </c>
      <c r="G112" s="51"/>
      <c r="H112" s="51">
        <v>-0.19819727575982249</v>
      </c>
      <c r="I112" s="51">
        <f t="shared" si="11"/>
        <v>0.19819727575982249</v>
      </c>
      <c r="J112" s="50">
        <f t="shared" si="12"/>
        <v>3.9282160118615121E-2</v>
      </c>
      <c r="K112" s="51">
        <f t="shared" si="9"/>
        <v>-0.29899999999999904</v>
      </c>
      <c r="L112" s="51">
        <f t="shared" si="13"/>
        <v>8.9400999999999425E-2</v>
      </c>
      <c r="M112" s="51">
        <f t="shared" si="10"/>
        <v>7.9597299501936739E-2</v>
      </c>
      <c r="N112" s="51">
        <f t="shared" si="14"/>
        <v>-1.2696728447663119E-2</v>
      </c>
      <c r="O112" s="30">
        <f t="shared" si="15"/>
        <v>1.6120691327369793E-4</v>
      </c>
      <c r="P112" s="30">
        <f t="shared" si="16"/>
        <v>3.7963218058512604E-3</v>
      </c>
      <c r="R112" s="51"/>
    </row>
    <row r="113" spans="2:19" s="8" customFormat="1" ht="14" customHeight="1">
      <c r="B113" s="3" t="s">
        <v>51</v>
      </c>
      <c r="C113" s="8" t="s">
        <v>10</v>
      </c>
      <c r="D113" s="51">
        <v>0.14753682786438374</v>
      </c>
      <c r="E113" s="7">
        <v>2.5099999999999998</v>
      </c>
      <c r="F113" s="51">
        <v>2.5688135593220336</v>
      </c>
      <c r="G113" s="51"/>
      <c r="H113" s="51">
        <v>-5.8813559322033804E-2</v>
      </c>
      <c r="I113" s="51">
        <f t="shared" si="11"/>
        <v>5.8813559322033804E-2</v>
      </c>
      <c r="J113" s="50">
        <f t="shared" si="12"/>
        <v>3.4590347601263895E-3</v>
      </c>
      <c r="K113" s="51">
        <f t="shared" si="9"/>
        <v>-0.27899999999999947</v>
      </c>
      <c r="L113" s="51">
        <f t="shared" si="13"/>
        <v>7.7840999999999702E-2</v>
      </c>
      <c r="M113" s="51">
        <f t="shared" si="10"/>
        <v>2.3431696941049327E-2</v>
      </c>
      <c r="N113" s="51">
        <f t="shared" si="14"/>
        <v>-0.13208044488545223</v>
      </c>
      <c r="O113" s="30">
        <f t="shared" si="15"/>
        <v>1.7445243921138984E-2</v>
      </c>
      <c r="P113" s="30">
        <f t="shared" si="16"/>
        <v>3.6850444123041101E-2</v>
      </c>
      <c r="R113" s="51"/>
    </row>
    <row r="114" spans="2:19" s="8" customFormat="1" ht="14" customHeight="1">
      <c r="B114" s="3" t="s">
        <v>52</v>
      </c>
      <c r="C114" s="8" t="s">
        <v>10</v>
      </c>
      <c r="D114" s="51">
        <v>0.15157655782264917</v>
      </c>
      <c r="E114" s="7">
        <v>2.81</v>
      </c>
      <c r="F114" s="51">
        <v>2.5639599383667178</v>
      </c>
      <c r="G114" s="51"/>
      <c r="H114" s="51">
        <v>0.24604006163328229</v>
      </c>
      <c r="I114" s="51">
        <f t="shared" si="11"/>
        <v>0.24604006163328229</v>
      </c>
      <c r="J114" s="50">
        <f t="shared" si="12"/>
        <v>6.0535711928509352E-2</v>
      </c>
      <c r="K114" s="51">
        <f t="shared" si="9"/>
        <v>2.1000000000000796E-2</v>
      </c>
      <c r="L114" s="51">
        <f t="shared" si="13"/>
        <v>4.4100000000003343E-4</v>
      </c>
      <c r="M114" s="51">
        <f t="shared" si="10"/>
        <v>8.7558740794762377E-2</v>
      </c>
      <c r="N114" s="51">
        <f t="shared" si="14"/>
        <v>-0.13693406584076806</v>
      </c>
      <c r="O114" s="30">
        <f t="shared" si="15"/>
        <v>1.8750938387683803E-2</v>
      </c>
      <c r="P114" s="30">
        <f t="shared" si="16"/>
        <v>-2.8756153826562381E-3</v>
      </c>
      <c r="R114" s="51"/>
    </row>
    <row r="115" spans="2:19" s="8" customFormat="1" ht="14" customHeight="1">
      <c r="B115" s="3" t="s">
        <v>48</v>
      </c>
      <c r="C115" s="8" t="s">
        <v>10</v>
      </c>
      <c r="D115" s="51">
        <v>1.1614529448498774</v>
      </c>
      <c r="E115" s="7">
        <v>2.15</v>
      </c>
      <c r="F115" s="51">
        <v>1.9142339302012303</v>
      </c>
      <c r="G115" s="51"/>
      <c r="H115" s="51">
        <v>0.23576606979876957</v>
      </c>
      <c r="I115" s="51">
        <f t="shared" si="11"/>
        <v>0.23576606979876957</v>
      </c>
      <c r="J115" s="50">
        <f t="shared" si="12"/>
        <v>5.5585639668358285E-2</v>
      </c>
      <c r="K115" s="51">
        <f t="shared" si="9"/>
        <v>-0.63899999999999935</v>
      </c>
      <c r="L115" s="51">
        <f t="shared" si="13"/>
        <v>0.40832099999999916</v>
      </c>
      <c r="M115" s="51">
        <f t="shared" si="10"/>
        <v>0.10965863711570678</v>
      </c>
      <c r="N115" s="51">
        <f t="shared" si="14"/>
        <v>-0.78666007400625548</v>
      </c>
      <c r="O115" s="30">
        <f t="shared" si="15"/>
        <v>0.61883407203552732</v>
      </c>
      <c r="P115" s="30">
        <f t="shared" si="16"/>
        <v>0.50267578728999673</v>
      </c>
      <c r="R115" s="51"/>
      <c r="S115" s="51"/>
    </row>
    <row r="116" spans="2:19" s="8" customFormat="1" ht="14" customHeight="1">
      <c r="B116" s="3" t="s">
        <v>49</v>
      </c>
      <c r="C116" s="8" t="s">
        <v>10</v>
      </c>
      <c r="D116" s="51">
        <v>1.7079303242247645</v>
      </c>
      <c r="E116" s="7">
        <v>2.2000000000000002</v>
      </c>
      <c r="F116" s="51">
        <v>1.9510000706264568</v>
      </c>
      <c r="G116" s="51"/>
      <c r="H116" s="51">
        <v>0.24899992937354343</v>
      </c>
      <c r="I116" s="51">
        <f t="shared" si="11"/>
        <v>0.24899992937354343</v>
      </c>
      <c r="J116" s="50">
        <f t="shared" si="12"/>
        <v>6.2000964828029616E-2</v>
      </c>
      <c r="K116" s="51">
        <f t="shared" si="9"/>
        <v>-0.58899999999999908</v>
      </c>
      <c r="L116" s="51">
        <f t="shared" si="13"/>
        <v>0.34692099999999892</v>
      </c>
      <c r="M116" s="51">
        <f t="shared" si="10"/>
        <v>0.11318178607888336</v>
      </c>
      <c r="N116" s="51">
        <f t="shared" si="14"/>
        <v>-0.74989393358102907</v>
      </c>
      <c r="O116" s="30">
        <f t="shared" si="15"/>
        <v>0.5623409116216288</v>
      </c>
      <c r="P116" s="30">
        <f t="shared" si="16"/>
        <v>0.44168752687922541</v>
      </c>
      <c r="R116" s="51"/>
      <c r="S116" s="51"/>
    </row>
    <row r="117" spans="2:19" s="8" customFormat="1" ht="14" customHeight="1">
      <c r="B117" s="3"/>
      <c r="D117" s="51"/>
      <c r="E117" s="7"/>
      <c r="F117" s="51"/>
      <c r="G117" s="51"/>
      <c r="H117" s="51"/>
      <c r="I117" s="51"/>
      <c r="J117" s="50"/>
      <c r="K117" s="51"/>
      <c r="L117" s="51"/>
      <c r="M117" s="51"/>
      <c r="O117" s="51"/>
      <c r="R117" s="51"/>
      <c r="S117" s="51"/>
    </row>
    <row r="118" spans="2:19" s="8" customFormat="1" ht="14" customHeight="1">
      <c r="B118" s="3"/>
      <c r="D118" s="51"/>
      <c r="E118" s="86" t="s">
        <v>102</v>
      </c>
      <c r="F118" s="89">
        <f>CORREL(E107:E116,F107:F116)</f>
        <v>0.93451964683858824</v>
      </c>
      <c r="G118" s="85" t="s">
        <v>104</v>
      </c>
      <c r="H118" s="90">
        <f>SQRT(SUM(J107:J116)/11)</f>
        <v>0.18554271888930274</v>
      </c>
      <c r="I118" s="51"/>
      <c r="J118" s="50"/>
      <c r="K118" s="51"/>
      <c r="L118" s="51"/>
      <c r="M118" s="51"/>
      <c r="O118" s="51"/>
      <c r="R118" s="51"/>
      <c r="S118" s="51"/>
    </row>
    <row r="119" spans="2:19" s="8" customFormat="1" ht="14" customHeight="1">
      <c r="B119" s="3"/>
      <c r="D119" s="51"/>
      <c r="E119" s="86" t="s">
        <v>103</v>
      </c>
      <c r="F119" s="89">
        <f>F118^2</f>
        <v>0.87332697032731965</v>
      </c>
      <c r="G119" s="86" t="s">
        <v>105</v>
      </c>
      <c r="H119" s="90">
        <f>(SUM(M107:M116)/10)*100</f>
        <v>6.358626116478475</v>
      </c>
      <c r="I119" s="51"/>
      <c r="J119" s="50"/>
      <c r="K119" s="51"/>
      <c r="L119" s="51"/>
      <c r="M119" s="51"/>
      <c r="O119" s="51"/>
      <c r="R119" s="51"/>
      <c r="S119" s="51"/>
    </row>
    <row r="120" spans="2:19" s="8" customFormat="1" ht="14" customHeight="1">
      <c r="B120" s="3"/>
      <c r="D120" s="51"/>
      <c r="E120" s="86" t="s">
        <v>107</v>
      </c>
      <c r="F120" s="90">
        <f>1-(SUM(J107:J116)/SUM(L107:L116))</f>
        <v>0.80353355614753752</v>
      </c>
      <c r="G120" s="86" t="s">
        <v>106</v>
      </c>
      <c r="H120" s="90">
        <f>SUM(I107:I116)/10</f>
        <v>0.16882145733180567</v>
      </c>
      <c r="I120" s="51"/>
      <c r="J120" s="50"/>
      <c r="K120" s="51"/>
      <c r="L120" s="51"/>
      <c r="M120" s="51"/>
      <c r="O120" s="51"/>
      <c r="R120" s="51"/>
      <c r="S120" s="51"/>
    </row>
    <row r="121" spans="2:19" s="8" customFormat="1" ht="14" customHeight="1">
      <c r="B121" s="3"/>
      <c r="D121" s="51"/>
      <c r="E121" s="86" t="s">
        <v>112</v>
      </c>
      <c r="F121" s="90">
        <f>(2*SUM(P107:P116))/(SUM(L107:L116)+SUM(O107:O116)+10*((AVERAGE(E107:E116)-AVERAGE(F107:F116))^2))</f>
        <v>0.91323100379864985</v>
      </c>
      <c r="G121" s="86"/>
      <c r="H121" s="90"/>
      <c r="I121" s="51"/>
      <c r="J121" s="50"/>
      <c r="K121" s="51"/>
      <c r="L121" s="51"/>
      <c r="M121" s="51"/>
      <c r="O121" s="51"/>
      <c r="R121" s="51"/>
      <c r="S121" s="51"/>
    </row>
    <row r="122" spans="2:19" s="56" customFormat="1" ht="14" customHeight="1" thickBot="1">
      <c r="H122" s="57"/>
      <c r="I122" s="11"/>
    </row>
    <row r="123" spans="2:19" s="27" customFormat="1" ht="24" customHeight="1" thickBot="1">
      <c r="B123" s="115" t="s">
        <v>79</v>
      </c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7"/>
    </row>
    <row r="124" spans="2:19" s="33" customFormat="1" ht="14" customHeight="1">
      <c r="K124" s="7"/>
      <c r="L124" s="58"/>
    </row>
    <row r="125" spans="2:19" s="60" customFormat="1" ht="30">
      <c r="B125" s="4" t="s">
        <v>7</v>
      </c>
      <c r="C125" s="9" t="s">
        <v>0</v>
      </c>
      <c r="D125" s="4" t="s">
        <v>27</v>
      </c>
      <c r="E125" s="4" t="s">
        <v>28</v>
      </c>
      <c r="F125" s="59" t="s">
        <v>14</v>
      </c>
      <c r="G125" s="59" t="s">
        <v>56</v>
      </c>
      <c r="K125" s="7"/>
      <c r="L125" s="51"/>
    </row>
    <row r="126" spans="2:19" s="60" customFormat="1" ht="14" customHeight="1">
      <c r="B126" s="3" t="s">
        <v>36</v>
      </c>
      <c r="C126" s="8" t="s">
        <v>9</v>
      </c>
      <c r="D126" s="34">
        <v>1.74</v>
      </c>
      <c r="E126" s="30">
        <v>2.0577672433806367</v>
      </c>
      <c r="F126" s="30">
        <f t="shared" ref="F126:F142" si="17">D126-E126</f>
        <v>-0.31776724338063667</v>
      </c>
      <c r="G126" s="61">
        <f t="shared" ref="G126:G142" si="18">POWER(F126,2)</f>
        <v>0.10097602096572877</v>
      </c>
    </row>
    <row r="127" spans="2:19" s="60" customFormat="1" ht="14" customHeight="1">
      <c r="B127" s="3" t="s">
        <v>37</v>
      </c>
      <c r="C127" s="8" t="s">
        <v>9</v>
      </c>
      <c r="D127" s="34">
        <v>2.0099999999999998</v>
      </c>
      <c r="E127" s="30">
        <v>1.6268721870170488</v>
      </c>
      <c r="F127" s="30">
        <f t="shared" si="17"/>
        <v>0.38312781298295095</v>
      </c>
      <c r="G127" s="61">
        <f t="shared" si="18"/>
        <v>0.14678692108109903</v>
      </c>
    </row>
    <row r="128" spans="2:19" s="60" customFormat="1" ht="14" customHeight="1">
      <c r="B128" s="3" t="s">
        <v>48</v>
      </c>
      <c r="C128" s="8" t="s">
        <v>10</v>
      </c>
      <c r="D128" s="34">
        <v>2.15</v>
      </c>
      <c r="E128" s="30">
        <v>1.9142339302012303</v>
      </c>
      <c r="F128" s="30">
        <f t="shared" si="17"/>
        <v>0.23576606979876957</v>
      </c>
      <c r="G128" s="61">
        <f t="shared" si="18"/>
        <v>5.5585639668358285E-2</v>
      </c>
    </row>
    <row r="129" spans="2:12" s="60" customFormat="1" ht="14" customHeight="1">
      <c r="B129" s="3" t="s">
        <v>49</v>
      </c>
      <c r="C129" s="8" t="s">
        <v>10</v>
      </c>
      <c r="D129" s="34">
        <v>2.2000000000000002</v>
      </c>
      <c r="E129" s="30">
        <v>1.9510000706264568</v>
      </c>
      <c r="F129" s="30">
        <f t="shared" si="17"/>
        <v>0.24899992937354343</v>
      </c>
      <c r="G129" s="61">
        <f t="shared" si="18"/>
        <v>6.2000964828029616E-2</v>
      </c>
    </row>
    <row r="130" spans="2:12" s="60" customFormat="1" ht="14" customHeight="1">
      <c r="B130" s="3" t="s">
        <v>38</v>
      </c>
      <c r="C130" s="8" t="s">
        <v>9</v>
      </c>
      <c r="D130" s="34">
        <v>2.29</v>
      </c>
      <c r="E130" s="30">
        <v>2.4573855278717831</v>
      </c>
      <c r="F130" s="30">
        <f t="shared" si="17"/>
        <v>-0.16738552787178307</v>
      </c>
      <c r="G130" s="61">
        <f t="shared" si="18"/>
        <v>2.8017914940915465E-2</v>
      </c>
    </row>
    <row r="131" spans="2:12" s="60" customFormat="1" ht="14" customHeight="1">
      <c r="B131" s="3" t="s">
        <v>50</v>
      </c>
      <c r="C131" s="8" t="s">
        <v>10</v>
      </c>
      <c r="D131" s="34">
        <v>2.4900000000000002</v>
      </c>
      <c r="E131" s="30">
        <v>2.6881972757598227</v>
      </c>
      <c r="F131" s="30">
        <f t="shared" si="17"/>
        <v>-0.19819727575982249</v>
      </c>
      <c r="G131" s="61">
        <f t="shared" si="18"/>
        <v>3.9282160118615121E-2</v>
      </c>
    </row>
    <row r="132" spans="2:12" s="60" customFormat="1" ht="14" customHeight="1">
      <c r="B132" s="3" t="s">
        <v>51</v>
      </c>
      <c r="C132" s="8" t="s">
        <v>10</v>
      </c>
      <c r="D132" s="34">
        <v>2.5099999999999998</v>
      </c>
      <c r="E132" s="30">
        <v>2.5688135593220336</v>
      </c>
      <c r="F132" s="30">
        <f t="shared" si="17"/>
        <v>-5.8813559322033804E-2</v>
      </c>
      <c r="G132" s="61">
        <f t="shared" si="18"/>
        <v>3.4590347601263895E-3</v>
      </c>
    </row>
    <row r="133" spans="2:12" s="60" customFormat="1" ht="14" customHeight="1">
      <c r="B133" s="3" t="s">
        <v>39</v>
      </c>
      <c r="C133" s="8" t="s">
        <v>9</v>
      </c>
      <c r="D133" s="34">
        <v>2.64</v>
      </c>
      <c r="E133" s="30">
        <v>2.5498854425038999</v>
      </c>
      <c r="F133" s="30">
        <f t="shared" si="17"/>
        <v>9.01145574961002E-2</v>
      </c>
      <c r="G133" s="61">
        <f t="shared" si="18"/>
        <v>8.1206334727179485E-3</v>
      </c>
    </row>
    <row r="134" spans="2:12" s="60" customFormat="1" ht="14" customHeight="1">
      <c r="B134" s="3" t="s">
        <v>52</v>
      </c>
      <c r="C134" s="8" t="s">
        <v>10</v>
      </c>
      <c r="D134" s="34">
        <v>2.81</v>
      </c>
      <c r="E134" s="30">
        <v>2.5639599383667178</v>
      </c>
      <c r="F134" s="30">
        <f t="shared" si="17"/>
        <v>0.24604006163328229</v>
      </c>
      <c r="G134" s="61">
        <f t="shared" si="18"/>
        <v>6.0535711928509352E-2</v>
      </c>
    </row>
    <row r="135" spans="2:12" s="60" customFormat="1" ht="14" customHeight="1">
      <c r="B135" s="3" t="s">
        <v>53</v>
      </c>
      <c r="C135" s="8" t="s">
        <v>10</v>
      </c>
      <c r="D135" s="35">
        <v>2.82</v>
      </c>
      <c r="E135" s="30">
        <v>2.7419356931060048</v>
      </c>
      <c r="F135" s="30">
        <f t="shared" si="17"/>
        <v>7.8064306893995017E-2</v>
      </c>
      <c r="G135" s="61">
        <f t="shared" si="18"/>
        <v>6.0940360108398383E-3</v>
      </c>
    </row>
    <row r="136" spans="2:12" s="60" customFormat="1" ht="14" customHeight="1">
      <c r="B136" s="3" t="s">
        <v>54</v>
      </c>
      <c r="C136" s="8" t="s">
        <v>10</v>
      </c>
      <c r="D136" s="34">
        <v>2.87</v>
      </c>
      <c r="E136" s="30">
        <v>2.9414300437012439</v>
      </c>
      <c r="F136" s="30">
        <f t="shared" si="17"/>
        <v>-7.1430043701243839E-2</v>
      </c>
      <c r="G136" s="61">
        <f t="shared" si="18"/>
        <v>5.1022511431616045E-3</v>
      </c>
      <c r="K136" s="7"/>
      <c r="L136" s="51"/>
    </row>
    <row r="137" spans="2:12" s="60" customFormat="1" ht="14" customHeight="1">
      <c r="B137" s="3" t="s">
        <v>40</v>
      </c>
      <c r="C137" s="8" t="s">
        <v>9</v>
      </c>
      <c r="D137" s="34">
        <v>2.87</v>
      </c>
      <c r="E137" s="30">
        <v>2.7553622832488545</v>
      </c>
      <c r="F137" s="30">
        <f t="shared" si="17"/>
        <v>0.11463771675114565</v>
      </c>
      <c r="G137" s="61">
        <f t="shared" si="18"/>
        <v>1.3141806101915898E-2</v>
      </c>
      <c r="K137" s="7"/>
      <c r="L137" s="51"/>
    </row>
    <row r="138" spans="2:12" s="60" customFormat="1" ht="14" customHeight="1">
      <c r="B138" s="3" t="s">
        <v>55</v>
      </c>
      <c r="C138" s="8" t="s">
        <v>10</v>
      </c>
      <c r="D138" s="34">
        <v>3.14</v>
      </c>
      <c r="E138" s="30">
        <v>2.7842082097850263</v>
      </c>
      <c r="F138" s="30">
        <f t="shared" si="17"/>
        <v>0.35579179021497387</v>
      </c>
      <c r="G138" s="61">
        <f t="shared" si="18"/>
        <v>0.12658779798437597</v>
      </c>
      <c r="K138" s="7"/>
      <c r="L138" s="51"/>
    </row>
    <row r="139" spans="2:12" s="60" customFormat="1" ht="14" customHeight="1">
      <c r="B139" s="50" t="s">
        <v>5</v>
      </c>
      <c r="C139" s="8" t="s">
        <v>9</v>
      </c>
      <c r="D139" s="34">
        <v>3.2</v>
      </c>
      <c r="E139" s="30">
        <v>3.4386083690978206</v>
      </c>
      <c r="F139" s="30">
        <f t="shared" si="17"/>
        <v>-0.23860836909782046</v>
      </c>
      <c r="G139" s="61">
        <f t="shared" si="18"/>
        <v>5.6933953803521724E-2</v>
      </c>
      <c r="K139" s="7"/>
      <c r="L139" s="51"/>
    </row>
    <row r="140" spans="2:12" s="60" customFormat="1" ht="14" customHeight="1">
      <c r="B140" s="50" t="s">
        <v>2</v>
      </c>
      <c r="C140" s="8" t="s">
        <v>10</v>
      </c>
      <c r="D140" s="34">
        <v>3.45</v>
      </c>
      <c r="E140" s="30">
        <v>3.5251364289133553</v>
      </c>
      <c r="F140" s="30">
        <f t="shared" si="17"/>
        <v>-7.5136428913355147E-2</v>
      </c>
      <c r="G140" s="61">
        <f t="shared" si="18"/>
        <v>5.6454829498516716E-3</v>
      </c>
      <c r="K140" s="7"/>
      <c r="L140" s="51"/>
    </row>
    <row r="141" spans="2:12" s="60" customFormat="1" ht="14" customHeight="1">
      <c r="B141" s="50" t="s">
        <v>4</v>
      </c>
      <c r="C141" s="8" t="s">
        <v>10</v>
      </c>
      <c r="D141" s="34">
        <v>3.45</v>
      </c>
      <c r="E141" s="30">
        <v>3.3300248922929629</v>
      </c>
      <c r="F141" s="30">
        <f t="shared" si="17"/>
        <v>0.11997510770703723</v>
      </c>
      <c r="G141" s="61">
        <f t="shared" si="18"/>
        <v>1.4394026469315185E-2</v>
      </c>
      <c r="K141" s="7"/>
      <c r="L141" s="51"/>
    </row>
    <row r="142" spans="2:12" s="60" customFormat="1" ht="14" customHeight="1">
      <c r="B142" s="3" t="s">
        <v>3</v>
      </c>
      <c r="C142" s="8" t="s">
        <v>9</v>
      </c>
      <c r="D142" s="34">
        <v>3.51</v>
      </c>
      <c r="E142" s="30">
        <v>3.2414331541322539</v>
      </c>
      <c r="F142" s="30">
        <f t="shared" si="17"/>
        <v>0.26856684586774593</v>
      </c>
      <c r="G142" s="61">
        <f t="shared" si="18"/>
        <v>7.2128150699349594E-2</v>
      </c>
      <c r="K142" s="7"/>
      <c r="L142" s="51"/>
    </row>
    <row r="143" spans="2:12" s="63" customFormat="1">
      <c r="B143" s="60"/>
      <c r="C143" s="60"/>
      <c r="D143" s="43"/>
      <c r="E143" s="44"/>
      <c r="F143" s="62"/>
      <c r="G143" s="60"/>
      <c r="H143" s="60"/>
    </row>
    <row r="144" spans="2:12" s="26" customFormat="1" ht="17">
      <c r="B144" s="39" t="s">
        <v>25</v>
      </c>
      <c r="C144" s="27" t="s">
        <v>57</v>
      </c>
      <c r="D144" s="39" t="s">
        <v>58</v>
      </c>
      <c r="E144" s="38"/>
      <c r="F144" s="39"/>
      <c r="G144" s="39"/>
      <c r="H144" s="39"/>
    </row>
    <row r="145" spans="2:11" s="5" customFormat="1" ht="17">
      <c r="B145" s="39" t="s">
        <v>26</v>
      </c>
      <c r="C145" s="27" t="s">
        <v>57</v>
      </c>
      <c r="D145" s="39" t="s">
        <v>59</v>
      </c>
    </row>
    <row r="146" spans="2:11" s="48" customFormat="1">
      <c r="B146" s="33"/>
      <c r="C146" s="33"/>
      <c r="D146" s="39"/>
      <c r="E146" s="38"/>
      <c r="F146" s="64"/>
      <c r="G146" s="33"/>
      <c r="H146" s="33"/>
    </row>
    <row r="147" spans="2:11" s="48" customFormat="1" ht="15">
      <c r="B147" s="65" t="s">
        <v>60</v>
      </c>
      <c r="C147" s="66">
        <f>SUM(F126:F142)</f>
        <v>1.0137457506728487</v>
      </c>
      <c r="D147" s="33"/>
      <c r="E147" s="66"/>
      <c r="F147" s="33"/>
      <c r="G147" s="33"/>
      <c r="H147" s="33"/>
    </row>
    <row r="148" spans="2:11" s="48" customFormat="1" ht="15">
      <c r="B148" s="65" t="s">
        <v>61</v>
      </c>
      <c r="C148" s="66">
        <f>POWER(C147,2)</f>
        <v>1.0276804470072574</v>
      </c>
      <c r="D148" s="33"/>
      <c r="E148" s="66"/>
      <c r="F148" s="33"/>
      <c r="G148" s="33"/>
      <c r="H148" s="33"/>
    </row>
    <row r="149" spans="2:11" s="48" customFormat="1" ht="15">
      <c r="B149" s="65" t="s">
        <v>62</v>
      </c>
      <c r="C149" s="66">
        <f>SUM(G126:G142)</f>
        <v>0.80479250692643145</v>
      </c>
      <c r="D149" s="33"/>
      <c r="E149" s="66"/>
      <c r="F149" s="33"/>
      <c r="G149" s="33"/>
      <c r="H149" s="33"/>
    </row>
    <row r="150" spans="2:11" s="48" customFormat="1">
      <c r="B150" s="37" t="s">
        <v>15</v>
      </c>
      <c r="C150" s="33">
        <v>17</v>
      </c>
      <c r="D150" s="33"/>
      <c r="E150" s="66"/>
      <c r="F150" s="33"/>
      <c r="G150" s="33"/>
      <c r="H150" s="33"/>
    </row>
    <row r="151" spans="2:11" s="48" customFormat="1" ht="15">
      <c r="B151" s="65" t="s">
        <v>63</v>
      </c>
      <c r="C151" s="66">
        <f>C147/C150</f>
        <v>5.9632102980755802E-2</v>
      </c>
      <c r="D151" s="33"/>
      <c r="E151" s="66"/>
      <c r="F151" s="33"/>
      <c r="G151" s="33"/>
      <c r="H151" s="33"/>
    </row>
    <row r="152" spans="2:11" s="48" customFormat="1" ht="15">
      <c r="B152" s="65" t="s">
        <v>93</v>
      </c>
      <c r="C152" s="66">
        <f>C149-(C148/17)</f>
        <v>0.74434071592600459</v>
      </c>
      <c r="E152" s="66"/>
      <c r="F152" s="33"/>
      <c r="G152" s="33"/>
      <c r="H152" s="33"/>
    </row>
    <row r="153" spans="2:11" s="48" customFormat="1">
      <c r="B153" s="37" t="s">
        <v>18</v>
      </c>
      <c r="C153" s="66">
        <f>C152/16</f>
        <v>4.6521294745375287E-2</v>
      </c>
      <c r="D153" s="33"/>
      <c r="E153" s="66"/>
      <c r="F153" s="33"/>
      <c r="G153" s="33"/>
      <c r="H153" s="33"/>
    </row>
    <row r="154" spans="2:11" s="48" customFormat="1">
      <c r="B154" s="37" t="s">
        <v>19</v>
      </c>
      <c r="C154" s="66">
        <f>SQRT(C153)</f>
        <v>0.21568795688534695</v>
      </c>
      <c r="E154" s="67"/>
    </row>
    <row r="155" spans="2:11" s="48" customFormat="1">
      <c r="B155" s="37" t="s">
        <v>21</v>
      </c>
      <c r="C155" s="66">
        <f>C154/SQRT(C150)</f>
        <v>5.2312013435997257E-2</v>
      </c>
      <c r="E155" s="67"/>
    </row>
    <row r="156" spans="2:11" s="48" customFormat="1">
      <c r="B156" s="91" t="s">
        <v>20</v>
      </c>
      <c r="C156" s="92">
        <f>C151/C155</f>
        <v>1.1399313286557884</v>
      </c>
      <c r="E156" s="67"/>
    </row>
    <row r="157" spans="2:11" s="48" customFormat="1" ht="17">
      <c r="B157" s="93" t="s">
        <v>108</v>
      </c>
      <c r="C157" s="92">
        <v>2.1198999999999999</v>
      </c>
      <c r="E157" s="67"/>
    </row>
    <row r="158" spans="2:11" s="48" customFormat="1">
      <c r="B158" s="91" t="s">
        <v>22</v>
      </c>
      <c r="C158" s="94">
        <v>0.27586899999999998</v>
      </c>
      <c r="D158" s="33"/>
      <c r="E158" s="66"/>
      <c r="F158" s="33"/>
      <c r="G158" s="33"/>
      <c r="H158" s="33"/>
    </row>
    <row r="159" spans="2:11" s="48" customFormat="1" ht="14" thickBot="1">
      <c r="B159" s="33"/>
      <c r="C159" s="33"/>
      <c r="D159" s="33"/>
      <c r="E159" s="66"/>
      <c r="F159" s="33"/>
      <c r="G159" s="33"/>
      <c r="H159" s="33"/>
    </row>
    <row r="160" spans="2:11" s="6" customFormat="1" ht="15" customHeight="1">
      <c r="B160" s="118" t="s">
        <v>121</v>
      </c>
      <c r="C160" s="119"/>
      <c r="D160" s="119"/>
      <c r="E160" s="119"/>
      <c r="F160" s="119"/>
      <c r="G160" s="119"/>
      <c r="H160" s="119"/>
      <c r="I160" s="119"/>
      <c r="J160" s="119"/>
      <c r="K160" s="120"/>
    </row>
    <row r="161" spans="2:13" s="6" customFormat="1" ht="32" customHeight="1" thickBot="1">
      <c r="B161" s="121"/>
      <c r="C161" s="122"/>
      <c r="D161" s="122"/>
      <c r="E161" s="122"/>
      <c r="F161" s="122"/>
      <c r="G161" s="122"/>
      <c r="H161" s="122"/>
      <c r="I161" s="122"/>
      <c r="J161" s="122"/>
      <c r="K161" s="123"/>
    </row>
    <row r="162" spans="2:13" s="6" customFormat="1" ht="15">
      <c r="B162" s="69"/>
      <c r="C162" s="70"/>
      <c r="D162" s="70"/>
      <c r="E162" s="70"/>
      <c r="F162" s="70"/>
      <c r="G162" s="70"/>
      <c r="H162" s="70"/>
      <c r="I162" s="70"/>
      <c r="J162" s="70"/>
      <c r="K162" s="70"/>
      <c r="L162" s="70"/>
    </row>
    <row r="163" spans="2:13" s="6" customFormat="1" ht="15">
      <c r="B163" s="71" t="s">
        <v>16</v>
      </c>
      <c r="C163" s="72"/>
      <c r="D163" s="72"/>
      <c r="E163" s="72"/>
      <c r="F163" s="72"/>
      <c r="G163" s="72"/>
      <c r="I163" s="69"/>
      <c r="J163" s="69"/>
      <c r="K163" s="69"/>
      <c r="L163" s="73"/>
    </row>
    <row r="164" spans="2:13" s="6" customFormat="1" ht="15">
      <c r="B164" s="74" t="s">
        <v>14</v>
      </c>
      <c r="C164" s="75" t="s">
        <v>65</v>
      </c>
      <c r="D164" s="75"/>
      <c r="E164" s="75"/>
      <c r="F164" s="75"/>
      <c r="G164" s="75"/>
      <c r="I164" s="69"/>
      <c r="J164" s="69"/>
      <c r="K164" s="69"/>
      <c r="L164" s="73"/>
    </row>
    <row r="165" spans="2:13" s="6" customFormat="1" ht="15">
      <c r="B165" s="74" t="s">
        <v>66</v>
      </c>
      <c r="C165" s="75" t="s">
        <v>67</v>
      </c>
      <c r="D165" s="75"/>
      <c r="E165" s="75"/>
      <c r="F165" s="75"/>
      <c r="G165" s="75"/>
      <c r="I165" s="69"/>
      <c r="J165" s="69"/>
      <c r="K165" s="69"/>
      <c r="L165" s="73"/>
    </row>
    <row r="166" spans="2:13" s="6" customFormat="1" ht="15">
      <c r="B166" s="76" t="s">
        <v>68</v>
      </c>
      <c r="C166" s="75" t="s">
        <v>69</v>
      </c>
      <c r="D166" s="75"/>
      <c r="E166" s="75"/>
      <c r="F166" s="75"/>
      <c r="G166" s="75"/>
      <c r="I166" s="69"/>
      <c r="J166" s="69"/>
      <c r="K166" s="69"/>
      <c r="L166" s="73"/>
    </row>
    <row r="167" spans="2:13" s="6" customFormat="1" ht="15">
      <c r="B167" s="74" t="s">
        <v>15</v>
      </c>
      <c r="C167" s="75" t="s">
        <v>17</v>
      </c>
      <c r="D167" s="75"/>
      <c r="E167" s="75"/>
      <c r="F167" s="75"/>
      <c r="G167" s="75"/>
      <c r="I167" s="69"/>
      <c r="J167" s="69"/>
      <c r="K167" s="69"/>
      <c r="L167" s="73"/>
    </row>
    <row r="168" spans="2:13" s="6" customFormat="1" ht="15">
      <c r="B168" s="74" t="s">
        <v>20</v>
      </c>
      <c r="C168" s="75" t="s">
        <v>23</v>
      </c>
      <c r="D168" s="75"/>
      <c r="E168" s="75"/>
      <c r="F168" s="75"/>
      <c r="G168" s="75"/>
      <c r="I168" s="69"/>
      <c r="J168" s="69"/>
      <c r="K168" s="69"/>
      <c r="L168" s="73"/>
    </row>
    <row r="169" spans="2:13" s="6" customFormat="1" ht="17">
      <c r="B169" s="68" t="s">
        <v>64</v>
      </c>
      <c r="C169" s="75" t="s">
        <v>24</v>
      </c>
      <c r="D169" s="75"/>
      <c r="E169" s="75"/>
      <c r="F169" s="75"/>
      <c r="G169" s="75"/>
      <c r="I169" s="69"/>
      <c r="J169" s="69"/>
      <c r="K169" s="69"/>
      <c r="L169" s="73"/>
    </row>
    <row r="170" spans="2:13" s="48" customFormat="1">
      <c r="B170" s="33"/>
      <c r="C170" s="33"/>
      <c r="D170" s="66"/>
      <c r="E170" s="33"/>
      <c r="F170" s="33"/>
      <c r="G170" s="33"/>
    </row>
    <row r="171" spans="2:13" ht="14" thickBot="1"/>
    <row r="172" spans="2:13" s="27" customFormat="1" ht="24" customHeight="1" thickBot="1">
      <c r="B172" s="115" t="s">
        <v>118</v>
      </c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7"/>
    </row>
    <row r="174" spans="2:13" ht="30">
      <c r="B174" s="9" t="s">
        <v>7</v>
      </c>
      <c r="C174" s="13" t="s">
        <v>31</v>
      </c>
      <c r="D174" s="4" t="s">
        <v>27</v>
      </c>
      <c r="E174" s="4" t="s">
        <v>119</v>
      </c>
      <c r="F174" s="95" t="s">
        <v>116</v>
      </c>
      <c r="G174" s="9" t="s">
        <v>11</v>
      </c>
      <c r="H174" s="9" t="s">
        <v>117</v>
      </c>
      <c r="I174" s="95" t="s">
        <v>0</v>
      </c>
    </row>
    <row r="175" spans="2:13" ht="17">
      <c r="B175" s="3" t="s">
        <v>50</v>
      </c>
      <c r="C175" s="98">
        <v>1.3095279829438568E-2</v>
      </c>
      <c r="D175" s="98">
        <v>2.4900000000000002</v>
      </c>
      <c r="E175" s="51">
        <v>2.6881972757598227</v>
      </c>
      <c r="F175" s="98">
        <v>0.14286568636066299</v>
      </c>
      <c r="G175" s="98">
        <f t="shared" ref="G175:G191" si="19">D175-E175</f>
        <v>-0.19819727575982249</v>
      </c>
      <c r="H175" s="98">
        <f t="shared" ref="H175:H191" si="20">(G175-(AVERAGE($G$175:$G$191))/(STDEV($G$175:$G$191)))</f>
        <v>-0.47467123305385156</v>
      </c>
      <c r="I175" s="100" t="s">
        <v>10</v>
      </c>
    </row>
    <row r="176" spans="2:13" ht="17">
      <c r="B176" s="3" t="s">
        <v>53</v>
      </c>
      <c r="C176" s="98">
        <v>-7.074158510690684E-2</v>
      </c>
      <c r="D176" s="98">
        <v>2.82</v>
      </c>
      <c r="E176" s="51">
        <v>2.7419356931060048</v>
      </c>
      <c r="F176" s="98">
        <v>0.14327577452961901</v>
      </c>
      <c r="G176" s="98">
        <f t="shared" si="19"/>
        <v>7.8064306893995017E-2</v>
      </c>
      <c r="H176" s="98">
        <f t="shared" si="20"/>
        <v>-0.19840965040003405</v>
      </c>
      <c r="I176" s="100" t="s">
        <v>10</v>
      </c>
    </row>
    <row r="177" spans="2:9">
      <c r="B177" s="3" t="s">
        <v>3</v>
      </c>
      <c r="C177" s="98">
        <v>-1.8271700430634383</v>
      </c>
      <c r="D177" s="98">
        <v>3.51</v>
      </c>
      <c r="E177" s="51">
        <v>3.2414331541322539</v>
      </c>
      <c r="F177" s="98">
        <v>0.42897053223585901</v>
      </c>
      <c r="G177" s="98">
        <f t="shared" si="19"/>
        <v>0.26856684586774593</v>
      </c>
      <c r="H177" s="98">
        <f t="shared" si="20"/>
        <v>-7.9071114262831421E-3</v>
      </c>
      <c r="I177" s="100" t="s">
        <v>9</v>
      </c>
    </row>
    <row r="178" spans="2:9" ht="17">
      <c r="B178" s="3" t="s">
        <v>51</v>
      </c>
      <c r="C178" s="98">
        <v>0.14753682786438374</v>
      </c>
      <c r="D178" s="98">
        <v>2.5099999999999998</v>
      </c>
      <c r="E178" s="51">
        <v>2.5688135593220336</v>
      </c>
      <c r="F178" s="98">
        <v>0.144779431149126</v>
      </c>
      <c r="G178" s="98">
        <f t="shared" si="19"/>
        <v>-5.8813559322033804E-2</v>
      </c>
      <c r="H178" s="98">
        <f t="shared" si="20"/>
        <v>-0.33528751661606288</v>
      </c>
      <c r="I178" s="100" t="s">
        <v>10</v>
      </c>
    </row>
    <row r="179" spans="2:9">
      <c r="B179" s="50" t="s">
        <v>5</v>
      </c>
      <c r="C179" s="98">
        <v>-1.6535281524705114</v>
      </c>
      <c r="D179" s="98">
        <v>3.2</v>
      </c>
      <c r="E179" s="51">
        <v>3.4386083690978206</v>
      </c>
      <c r="F179" s="98">
        <v>0.37545402618705898</v>
      </c>
      <c r="G179" s="98">
        <f t="shared" si="19"/>
        <v>-0.23860836909782046</v>
      </c>
      <c r="H179" s="98">
        <f t="shared" si="20"/>
        <v>-0.51508232639184959</v>
      </c>
      <c r="I179" s="100" t="s">
        <v>9</v>
      </c>
    </row>
    <row r="180" spans="2:9" ht="17">
      <c r="B180" s="3" t="s">
        <v>38</v>
      </c>
      <c r="C180" s="98">
        <v>0.37959687102251355</v>
      </c>
      <c r="D180" s="98">
        <v>2.29</v>
      </c>
      <c r="E180" s="51">
        <v>2.4573855278717831</v>
      </c>
      <c r="F180" s="98">
        <v>0.155193961939912</v>
      </c>
      <c r="G180" s="98">
        <f t="shared" si="19"/>
        <v>-0.16738552787178307</v>
      </c>
      <c r="H180" s="98">
        <f t="shared" si="20"/>
        <v>-0.44385948516581214</v>
      </c>
      <c r="I180" s="100" t="s">
        <v>9</v>
      </c>
    </row>
    <row r="181" spans="2:9" ht="17">
      <c r="B181" s="3" t="s">
        <v>52</v>
      </c>
      <c r="C181" s="98">
        <v>0.15157655782264917</v>
      </c>
      <c r="D181" s="98">
        <v>2.81</v>
      </c>
      <c r="E181" s="51">
        <v>2.5639599383667178</v>
      </c>
      <c r="F181" s="98">
        <v>0.144779431149126</v>
      </c>
      <c r="G181" s="98">
        <f t="shared" si="19"/>
        <v>0.24604006163328229</v>
      </c>
      <c r="H181" s="98">
        <f t="shared" si="20"/>
        <v>-3.0433895660746779E-2</v>
      </c>
      <c r="I181" s="100" t="s">
        <v>10</v>
      </c>
    </row>
    <row r="182" spans="2:9" ht="17">
      <c r="B182" s="3" t="s">
        <v>40</v>
      </c>
      <c r="C182" s="98">
        <v>-0.27053366180827565</v>
      </c>
      <c r="D182" s="98">
        <v>2.87</v>
      </c>
      <c r="E182" s="51">
        <v>2.7553622832488545</v>
      </c>
      <c r="F182" s="98">
        <v>0.14908535692316699</v>
      </c>
      <c r="G182" s="98">
        <f t="shared" si="19"/>
        <v>0.11463771675114565</v>
      </c>
      <c r="H182" s="98">
        <f t="shared" si="20"/>
        <v>-0.16183624054288342</v>
      </c>
      <c r="I182" s="100" t="s">
        <v>9</v>
      </c>
    </row>
    <row r="183" spans="2:9">
      <c r="B183" s="50" t="s">
        <v>2</v>
      </c>
      <c r="C183" s="98">
        <v>-1.8356484886548594</v>
      </c>
      <c r="D183" s="98">
        <v>3.45</v>
      </c>
      <c r="E183" s="51">
        <v>3.5251364289133553</v>
      </c>
      <c r="F183" s="98">
        <v>0.43210599802767102</v>
      </c>
      <c r="G183" s="98">
        <f t="shared" si="19"/>
        <v>-7.5136428913355147E-2</v>
      </c>
      <c r="H183" s="98">
        <f t="shared" si="20"/>
        <v>-0.35161038620738422</v>
      </c>
      <c r="I183" s="100" t="s">
        <v>10</v>
      </c>
    </row>
    <row r="184" spans="2:9" ht="17">
      <c r="B184" s="3" t="s">
        <v>39</v>
      </c>
      <c r="C184" s="98">
        <v>8.8287455143158902E-2</v>
      </c>
      <c r="D184" s="98">
        <v>2.64</v>
      </c>
      <c r="E184" s="51">
        <v>2.5498854425038999</v>
      </c>
      <c r="F184" s="98">
        <v>0.143549166642257</v>
      </c>
      <c r="G184" s="98">
        <f t="shared" si="19"/>
        <v>9.01145574961002E-2</v>
      </c>
      <c r="H184" s="98">
        <f t="shared" si="20"/>
        <v>-0.18635939979792887</v>
      </c>
      <c r="I184" s="100" t="s">
        <v>9</v>
      </c>
    </row>
    <row r="185" spans="2:9" ht="17">
      <c r="B185" s="3" t="s">
        <v>49</v>
      </c>
      <c r="C185" s="98">
        <v>1.7079303242247645</v>
      </c>
      <c r="D185" s="98">
        <v>2.2000000000000002</v>
      </c>
      <c r="E185" s="51">
        <v>1.9510000706264568</v>
      </c>
      <c r="F185" s="98">
        <v>0.39267772928322398</v>
      </c>
      <c r="G185" s="98">
        <f t="shared" si="19"/>
        <v>0.24899992937354343</v>
      </c>
      <c r="H185" s="98">
        <f t="shared" si="20"/>
        <v>-2.7474027920485644E-2</v>
      </c>
      <c r="I185" s="100" t="s">
        <v>10</v>
      </c>
    </row>
    <row r="186" spans="2:9" ht="17">
      <c r="B186" s="3" t="s">
        <v>37</v>
      </c>
      <c r="C186" s="98">
        <v>1.7593662274793851</v>
      </c>
      <c r="D186" s="98">
        <v>2.0099999999999998</v>
      </c>
      <c r="E186" s="51">
        <v>1.6268721870170488</v>
      </c>
      <c r="F186" s="98">
        <v>0.40750070789029202</v>
      </c>
      <c r="G186" s="98">
        <f t="shared" si="19"/>
        <v>0.38312781298295095</v>
      </c>
      <c r="H186" s="98">
        <f t="shared" si="20"/>
        <v>0.10665385568892188</v>
      </c>
      <c r="I186" s="100" t="s">
        <v>9</v>
      </c>
    </row>
    <row r="187" spans="2:9" ht="17">
      <c r="B187" s="3" t="s">
        <v>36</v>
      </c>
      <c r="C187" s="98">
        <v>1.5239813036971688</v>
      </c>
      <c r="D187" s="98">
        <v>1.74</v>
      </c>
      <c r="E187" s="51">
        <v>2.0577672433806367</v>
      </c>
      <c r="F187" s="98">
        <v>0.34024624818145399</v>
      </c>
      <c r="G187" s="98">
        <f t="shared" si="19"/>
        <v>-0.31776724338063667</v>
      </c>
      <c r="H187" s="98">
        <f t="shared" si="20"/>
        <v>-0.59424120067466579</v>
      </c>
      <c r="I187" s="100" t="s">
        <v>9</v>
      </c>
    </row>
    <row r="188" spans="2:9" ht="17">
      <c r="B188" s="3" t="s">
        <v>55</v>
      </c>
      <c r="C188" s="98">
        <v>-0.1366905922856663</v>
      </c>
      <c r="D188" s="98">
        <v>3.14</v>
      </c>
      <c r="E188" s="51">
        <v>2.7842082097850263</v>
      </c>
      <c r="F188" s="98">
        <v>0.14453166954704799</v>
      </c>
      <c r="G188" s="98">
        <f t="shared" si="19"/>
        <v>0.35579179021497387</v>
      </c>
      <c r="H188" s="98">
        <f t="shared" si="20"/>
        <v>7.9317832920944797E-2</v>
      </c>
      <c r="I188" s="100" t="s">
        <v>10</v>
      </c>
    </row>
    <row r="189" spans="2:9" ht="17">
      <c r="B189" s="3" t="s">
        <v>54</v>
      </c>
      <c r="C189" s="98">
        <v>-0.56988928879792011</v>
      </c>
      <c r="D189" s="98">
        <v>2.87</v>
      </c>
      <c r="E189" s="51">
        <v>2.9414300437012439</v>
      </c>
      <c r="F189" s="98">
        <v>0.170614985793374</v>
      </c>
      <c r="G189" s="98">
        <f t="shared" si="19"/>
        <v>-7.1430043701243839E-2</v>
      </c>
      <c r="H189" s="98">
        <f t="shared" si="20"/>
        <v>-0.34790400099527291</v>
      </c>
      <c r="I189" s="100" t="s">
        <v>10</v>
      </c>
    </row>
    <row r="190" spans="2:9">
      <c r="B190" s="50" t="s">
        <v>4</v>
      </c>
      <c r="C190" s="98">
        <v>-1.7263596625411302</v>
      </c>
      <c r="D190" s="98">
        <v>3.45</v>
      </c>
      <c r="E190" s="51">
        <v>3.3300248922929629</v>
      </c>
      <c r="F190" s="98">
        <v>0.39855565970493201</v>
      </c>
      <c r="G190" s="98">
        <f t="shared" si="19"/>
        <v>0.11997510770703723</v>
      </c>
      <c r="H190" s="98">
        <f t="shared" si="20"/>
        <v>-0.15649884958699184</v>
      </c>
      <c r="I190" s="100" t="s">
        <v>10</v>
      </c>
    </row>
    <row r="191" spans="2:9" ht="17">
      <c r="B191" s="3" t="s">
        <v>48</v>
      </c>
      <c r="C191" s="98">
        <v>1.1614529448498774</v>
      </c>
      <c r="D191" s="98">
        <v>2.15</v>
      </c>
      <c r="E191" s="51">
        <v>1.9142339302012303</v>
      </c>
      <c r="F191" s="98">
        <v>0.25781852622123302</v>
      </c>
      <c r="G191" s="98">
        <f t="shared" si="19"/>
        <v>0.23576606979876957</v>
      </c>
      <c r="H191" s="98">
        <f t="shared" si="20"/>
        <v>-4.0707887495259498E-2</v>
      </c>
      <c r="I191" s="100" t="s">
        <v>10</v>
      </c>
    </row>
    <row r="193" spans="2:13" ht="14" thickBot="1"/>
    <row r="194" spans="2:13" s="27" customFormat="1" ht="24" customHeight="1" thickBot="1">
      <c r="B194" s="115" t="s">
        <v>130</v>
      </c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7"/>
    </row>
    <row r="196" spans="2:13" ht="17">
      <c r="B196" s="9" t="s">
        <v>7</v>
      </c>
      <c r="C196" s="9" t="s">
        <v>33</v>
      </c>
      <c r="D196" s="10" t="s">
        <v>34</v>
      </c>
      <c r="E196" s="9" t="s">
        <v>133</v>
      </c>
      <c r="F196" s="10" t="s">
        <v>134</v>
      </c>
      <c r="G196" s="41" t="s">
        <v>131</v>
      </c>
      <c r="H196" s="41" t="s">
        <v>132</v>
      </c>
      <c r="I196" s="102" t="s">
        <v>129</v>
      </c>
      <c r="J196" s="9" t="s">
        <v>0</v>
      </c>
      <c r="K196" s="4" t="s">
        <v>124</v>
      </c>
    </row>
    <row r="197" spans="2:13" ht="17">
      <c r="B197" s="3" t="s">
        <v>36</v>
      </c>
      <c r="C197" s="51">
        <v>1575.73</v>
      </c>
      <c r="D197" s="52">
        <v>4</v>
      </c>
      <c r="E197" s="51">
        <f>(ABS(C197-$C$214))/$C$215</f>
        <v>0.93049009975727937</v>
      </c>
      <c r="F197" s="51">
        <f>(ABS(D197-$D$214))/$D$215</f>
        <v>1.2247448713915889</v>
      </c>
      <c r="G197" s="51">
        <f>AVERAGE(E197:F197)</f>
        <v>1.077617485574434</v>
      </c>
      <c r="H197" s="51">
        <f>STDEV(E197:F197)</f>
        <v>0.20806954441911954</v>
      </c>
      <c r="I197" s="51">
        <f t="shared" ref="I197:I213" si="21">G197+1.28*H197</f>
        <v>1.343946502430907</v>
      </c>
      <c r="J197" s="8" t="s">
        <v>9</v>
      </c>
      <c r="K197" s="51" t="s">
        <v>125</v>
      </c>
    </row>
    <row r="198" spans="2:13" ht="17">
      <c r="B198" s="3" t="s">
        <v>37</v>
      </c>
      <c r="C198" s="51">
        <v>1717.32</v>
      </c>
      <c r="D198" s="52">
        <v>4</v>
      </c>
      <c r="E198" s="51">
        <f t="shared" ref="E198:E213" si="22">(ABS(C198-$C$214))/$C$215</f>
        <v>1.2633746424914414</v>
      </c>
      <c r="F198" s="51">
        <f t="shared" ref="F198:F213" si="23">(ABS(D198-$D$214))/$D$215</f>
        <v>1.2247448713915889</v>
      </c>
      <c r="G198" s="51">
        <f t="shared" ref="G198:G213" si="24">AVERAGE(E198:F198)</f>
        <v>1.2440597569415153</v>
      </c>
      <c r="H198" s="51">
        <f t="shared" ref="H198:H213" si="25">STDEV(E198:F198)</f>
        <v>2.7315373100389777E-2</v>
      </c>
      <c r="I198" s="51">
        <f t="shared" si="21"/>
        <v>1.2790234345100142</v>
      </c>
      <c r="J198" s="8" t="s">
        <v>9</v>
      </c>
      <c r="K198" s="51" t="s">
        <v>125</v>
      </c>
    </row>
    <row r="199" spans="2:13" ht="17">
      <c r="B199" s="3" t="s">
        <v>38</v>
      </c>
      <c r="C199" s="7">
        <v>1408.29</v>
      </c>
      <c r="D199" s="53">
        <v>3</v>
      </c>
      <c r="E199" s="51">
        <f t="shared" si="22"/>
        <v>0.53683102895137413</v>
      </c>
      <c r="F199" s="51">
        <f t="shared" si="23"/>
        <v>0</v>
      </c>
      <c r="G199" s="51">
        <f t="shared" si="24"/>
        <v>0.26841551447568707</v>
      </c>
      <c r="H199" s="51">
        <f t="shared" si="25"/>
        <v>0.37959686092286848</v>
      </c>
      <c r="I199" s="51">
        <f t="shared" si="21"/>
        <v>0.75429949645695871</v>
      </c>
      <c r="J199" s="8" t="s">
        <v>9</v>
      </c>
      <c r="K199" s="51" t="s">
        <v>125</v>
      </c>
    </row>
    <row r="200" spans="2:13" ht="17">
      <c r="B200" s="3" t="s">
        <v>39</v>
      </c>
      <c r="C200" s="51">
        <v>1233.06</v>
      </c>
      <c r="D200" s="52">
        <v>3</v>
      </c>
      <c r="E200" s="51">
        <f t="shared" si="22"/>
        <v>0.12485731312887799</v>
      </c>
      <c r="F200" s="51">
        <f t="shared" si="23"/>
        <v>0</v>
      </c>
      <c r="G200" s="51">
        <f t="shared" si="24"/>
        <v>6.2428656564438995E-2</v>
      </c>
      <c r="H200" s="51">
        <f t="shared" si="25"/>
        <v>8.828745279416178E-2</v>
      </c>
      <c r="I200" s="51">
        <f t="shared" si="21"/>
        <v>0.17543659614096607</v>
      </c>
      <c r="J200" s="8" t="s">
        <v>9</v>
      </c>
      <c r="K200" s="51" t="s">
        <v>125</v>
      </c>
    </row>
    <row r="201" spans="2:13" ht="17">
      <c r="B201" s="3" t="s">
        <v>40</v>
      </c>
      <c r="C201" s="51">
        <v>1017.22</v>
      </c>
      <c r="D201" s="52">
        <v>3</v>
      </c>
      <c r="E201" s="51">
        <f t="shared" si="22"/>
        <v>0.38259236342837549</v>
      </c>
      <c r="F201" s="51">
        <f t="shared" si="23"/>
        <v>0</v>
      </c>
      <c r="G201" s="51">
        <f t="shared" si="24"/>
        <v>0.19129618171418775</v>
      </c>
      <c r="H201" s="51">
        <f t="shared" si="25"/>
        <v>0.27053365461039236</v>
      </c>
      <c r="I201" s="51">
        <f t="shared" si="21"/>
        <v>0.53757925961549002</v>
      </c>
      <c r="J201" s="8" t="s">
        <v>9</v>
      </c>
      <c r="K201" s="51" t="s">
        <v>125</v>
      </c>
    </row>
    <row r="202" spans="2:13">
      <c r="B202" s="50" t="s">
        <v>5</v>
      </c>
      <c r="C202" s="7">
        <v>706.25</v>
      </c>
      <c r="D202" s="53">
        <v>2</v>
      </c>
      <c r="E202" s="51">
        <f t="shared" si="22"/>
        <v>1.1136970053807902</v>
      </c>
      <c r="F202" s="51">
        <f t="shared" si="23"/>
        <v>1.2247448713915889</v>
      </c>
      <c r="G202" s="51">
        <f t="shared" si="24"/>
        <v>1.1692209383861896</v>
      </c>
      <c r="H202" s="51">
        <f t="shared" si="25"/>
        <v>7.8522699092530915E-2</v>
      </c>
      <c r="I202" s="51">
        <f t="shared" si="21"/>
        <v>1.2697299932246291</v>
      </c>
      <c r="J202" s="8" t="s">
        <v>9</v>
      </c>
      <c r="K202" s="51" t="s">
        <v>125</v>
      </c>
    </row>
    <row r="203" spans="2:13">
      <c r="B203" s="3" t="s">
        <v>3</v>
      </c>
      <c r="C203" s="51">
        <v>601.79999999999995</v>
      </c>
      <c r="D203" s="52">
        <v>2</v>
      </c>
      <c r="E203" s="51">
        <f t="shared" si="22"/>
        <v>1.359263715519806</v>
      </c>
      <c r="F203" s="51">
        <f t="shared" si="23"/>
        <v>1.2247448713915889</v>
      </c>
      <c r="G203" s="51">
        <f t="shared" si="24"/>
        <v>1.2920042934556975</v>
      </c>
      <c r="H203" s="51">
        <f t="shared" si="25"/>
        <v>9.5119186880438453E-2</v>
      </c>
      <c r="I203" s="51">
        <f t="shared" si="21"/>
        <v>1.4137568526626587</v>
      </c>
      <c r="J203" s="8" t="s">
        <v>9</v>
      </c>
      <c r="K203" s="51" t="s">
        <v>125</v>
      </c>
    </row>
    <row r="204" spans="2:13" ht="17">
      <c r="B204" s="3" t="s">
        <v>48</v>
      </c>
      <c r="C204" s="7">
        <v>1357.66</v>
      </c>
      <c r="D204" s="53">
        <v>4</v>
      </c>
      <c r="E204" s="51">
        <f t="shared" si="22"/>
        <v>0.41779759157139967</v>
      </c>
      <c r="F204" s="51">
        <f t="shared" si="23"/>
        <v>1.2247448713915889</v>
      </c>
      <c r="G204" s="51">
        <f t="shared" si="24"/>
        <v>0.82127123148149428</v>
      </c>
      <c r="H204" s="51">
        <f t="shared" si="25"/>
        <v>0.57059789362089453</v>
      </c>
      <c r="I204" s="51">
        <f t="shared" si="21"/>
        <v>1.5516365353162391</v>
      </c>
      <c r="J204" s="8" t="s">
        <v>10</v>
      </c>
      <c r="K204" s="51" t="s">
        <v>126</v>
      </c>
    </row>
    <row r="205" spans="2:13" ht="17">
      <c r="B205" s="3" t="s">
        <v>49</v>
      </c>
      <c r="C205" s="7">
        <v>1686.38</v>
      </c>
      <c r="D205" s="53">
        <v>4</v>
      </c>
      <c r="E205" s="51">
        <f t="shared" si="22"/>
        <v>1.1906332924512202</v>
      </c>
      <c r="F205" s="51">
        <f t="shared" si="23"/>
        <v>1.2247448713915889</v>
      </c>
      <c r="G205" s="51">
        <f t="shared" si="24"/>
        <v>1.2076890819214046</v>
      </c>
      <c r="H205" s="51">
        <f t="shared" si="25"/>
        <v>2.4120528785714974E-2</v>
      </c>
      <c r="I205" s="51">
        <f t="shared" si="21"/>
        <v>1.2385633587671196</v>
      </c>
      <c r="J205" s="8" t="s">
        <v>10</v>
      </c>
      <c r="K205" s="51" t="s">
        <v>126</v>
      </c>
    </row>
    <row r="206" spans="2:13" ht="17">
      <c r="B206" s="3" t="s">
        <v>50</v>
      </c>
      <c r="C206" s="7">
        <v>1187.83</v>
      </c>
      <c r="D206" s="53">
        <v>3</v>
      </c>
      <c r="E206" s="51">
        <f t="shared" si="22"/>
        <v>1.8519521845128017E-2</v>
      </c>
      <c r="F206" s="51">
        <f t="shared" si="23"/>
        <v>0</v>
      </c>
      <c r="G206" s="51">
        <f t="shared" si="24"/>
        <v>9.2597609225640084E-3</v>
      </c>
      <c r="H206" s="51">
        <f t="shared" si="25"/>
        <v>1.3095279481022423E-2</v>
      </c>
      <c r="I206" s="51">
        <f t="shared" si="21"/>
        <v>2.6021718658272713E-2</v>
      </c>
      <c r="J206" s="8" t="s">
        <v>10</v>
      </c>
      <c r="K206" s="51" t="s">
        <v>126</v>
      </c>
    </row>
    <row r="207" spans="2:13" ht="17">
      <c r="B207" s="3" t="s">
        <v>51</v>
      </c>
      <c r="C207" s="7">
        <v>1268.7</v>
      </c>
      <c r="D207" s="53">
        <v>3</v>
      </c>
      <c r="E207" s="51">
        <f t="shared" si="22"/>
        <v>0.20864857736396217</v>
      </c>
      <c r="F207" s="51">
        <f t="shared" si="23"/>
        <v>0</v>
      </c>
      <c r="G207" s="51">
        <f t="shared" si="24"/>
        <v>0.10432428868198108</v>
      </c>
      <c r="H207" s="51">
        <f t="shared" si="25"/>
        <v>0.14753682393898362</v>
      </c>
      <c r="I207" s="51">
        <f t="shared" si="21"/>
        <v>0.29317142332388013</v>
      </c>
      <c r="J207" s="8" t="s">
        <v>10</v>
      </c>
      <c r="K207" s="51" t="s">
        <v>126</v>
      </c>
    </row>
    <row r="208" spans="2:13" ht="17">
      <c r="B208" s="3" t="s">
        <v>52</v>
      </c>
      <c r="C208" s="7">
        <v>1271.1300000000001</v>
      </c>
      <c r="D208" s="53">
        <v>3</v>
      </c>
      <c r="E208" s="51">
        <f t="shared" si="22"/>
        <v>0.21436161810726351</v>
      </c>
      <c r="F208" s="51">
        <f t="shared" si="23"/>
        <v>0</v>
      </c>
      <c r="G208" s="51">
        <f t="shared" si="24"/>
        <v>0.10718080905363175</v>
      </c>
      <c r="H208" s="51">
        <f t="shared" si="25"/>
        <v>0.15157655378976703</v>
      </c>
      <c r="I208" s="51">
        <f t="shared" si="21"/>
        <v>0.30119879790453352</v>
      </c>
      <c r="J208" s="8" t="s">
        <v>10</v>
      </c>
      <c r="K208" s="51" t="s">
        <v>126</v>
      </c>
    </row>
    <row r="209" spans="2:11" ht="17">
      <c r="B209" s="3" t="s">
        <v>53</v>
      </c>
      <c r="C209" s="7">
        <v>1137.4000000000001</v>
      </c>
      <c r="D209" s="53">
        <v>3</v>
      </c>
      <c r="E209" s="51">
        <f t="shared" si="22"/>
        <v>0.10004370642017138</v>
      </c>
      <c r="F209" s="51">
        <f t="shared" si="23"/>
        <v>0</v>
      </c>
      <c r="G209" s="51">
        <f t="shared" si="24"/>
        <v>5.002185321008569E-2</v>
      </c>
      <c r="H209" s="51">
        <f t="shared" si="25"/>
        <v>7.0741583224739321E-2</v>
      </c>
      <c r="I209" s="51">
        <f t="shared" si="21"/>
        <v>0.14057107973775201</v>
      </c>
      <c r="J209" s="8" t="s">
        <v>10</v>
      </c>
      <c r="K209" s="51" t="s">
        <v>126</v>
      </c>
    </row>
    <row r="210" spans="2:11" ht="17">
      <c r="B210" s="3" t="s">
        <v>54</v>
      </c>
      <c r="C210" s="51">
        <v>837.15</v>
      </c>
      <c r="D210" s="52">
        <v>3</v>
      </c>
      <c r="E210" s="51">
        <f t="shared" si="22"/>
        <v>0.80594513982600657</v>
      </c>
      <c r="F210" s="51">
        <f t="shared" si="23"/>
        <v>0</v>
      </c>
      <c r="G210" s="51">
        <f t="shared" si="24"/>
        <v>0.40297256991300329</v>
      </c>
      <c r="H210" s="51">
        <f t="shared" si="25"/>
        <v>0.5698892736353095</v>
      </c>
      <c r="I210" s="51">
        <f t="shared" si="21"/>
        <v>1.1324308401661995</v>
      </c>
      <c r="J210" s="8" t="s">
        <v>10</v>
      </c>
      <c r="K210" s="51" t="s">
        <v>126</v>
      </c>
    </row>
    <row r="211" spans="2:11" ht="17">
      <c r="B211" s="3" t="s">
        <v>55</v>
      </c>
      <c r="C211" s="7">
        <v>1097.73</v>
      </c>
      <c r="D211" s="53">
        <v>3</v>
      </c>
      <c r="E211" s="51">
        <f t="shared" si="22"/>
        <v>0.19330968431595663</v>
      </c>
      <c r="F211" s="51">
        <f t="shared" si="23"/>
        <v>0</v>
      </c>
      <c r="G211" s="51">
        <f t="shared" si="24"/>
        <v>9.6654842157978316E-2</v>
      </c>
      <c r="H211" s="51">
        <f t="shared" si="25"/>
        <v>0.13669058864884373</v>
      </c>
      <c r="I211" s="51">
        <f t="shared" si="21"/>
        <v>0.27161879562849833</v>
      </c>
      <c r="J211" s="8" t="s">
        <v>10</v>
      </c>
      <c r="K211" s="51" t="s">
        <v>126</v>
      </c>
    </row>
    <row r="212" spans="2:11" ht="15" customHeight="1">
      <c r="B212" s="50" t="s">
        <v>2</v>
      </c>
      <c r="C212" s="7">
        <v>596.70000000000005</v>
      </c>
      <c r="D212" s="53">
        <v>2</v>
      </c>
      <c r="E212" s="51">
        <f t="shared" si="22"/>
        <v>1.3712540479440183</v>
      </c>
      <c r="F212" s="51">
        <f t="shared" si="23"/>
        <v>1.2247448713915889</v>
      </c>
      <c r="G212" s="51">
        <f t="shared" si="24"/>
        <v>1.2979994596678037</v>
      </c>
      <c r="H212" s="51">
        <f t="shared" si="25"/>
        <v>0.10359763224627991</v>
      </c>
      <c r="I212" s="51">
        <f t="shared" si="21"/>
        <v>1.430604428943042</v>
      </c>
      <c r="J212" s="8" t="s">
        <v>10</v>
      </c>
      <c r="K212" s="51" t="s">
        <v>126</v>
      </c>
    </row>
    <row r="213" spans="2:11" ht="17" customHeight="1">
      <c r="B213" s="50" t="s">
        <v>4</v>
      </c>
      <c r="C213" s="51">
        <v>662.44</v>
      </c>
      <c r="D213" s="52">
        <v>2</v>
      </c>
      <c r="E213" s="51">
        <f t="shared" si="22"/>
        <v>1.2166963119503476</v>
      </c>
      <c r="F213" s="51">
        <f t="shared" si="23"/>
        <v>1.2247448713915889</v>
      </c>
      <c r="G213" s="51">
        <f t="shared" si="24"/>
        <v>1.2207205916709682</v>
      </c>
      <c r="H213" s="51">
        <f t="shared" si="25"/>
        <v>5.6911909596847948E-3</v>
      </c>
      <c r="I213" s="51">
        <f t="shared" si="21"/>
        <v>1.2280053160993647</v>
      </c>
      <c r="J213" s="8" t="s">
        <v>10</v>
      </c>
      <c r="K213" s="51" t="s">
        <v>126</v>
      </c>
    </row>
    <row r="214" spans="2:11" s="98" customFormat="1" ht="17">
      <c r="B214" s="101" t="s">
        <v>127</v>
      </c>
      <c r="C214" s="101">
        <f>AVERAGE(C197:C203)</f>
        <v>1179.9528571428571</v>
      </c>
      <c r="D214" s="101">
        <f>AVERAGE(D197:D203)</f>
        <v>3</v>
      </c>
    </row>
    <row r="215" spans="2:11" s="98" customFormat="1" ht="17">
      <c r="B215" s="101" t="s">
        <v>128</v>
      </c>
      <c r="C215" s="101">
        <f>STDEV(C197:C203)</f>
        <v>425.34266937432477</v>
      </c>
      <c r="D215" s="101">
        <f>STDEV(D197:D203)</f>
        <v>0.81649658092772603</v>
      </c>
    </row>
  </sheetData>
  <sortState ref="C265:D281">
    <sortCondition ref="C265:C281"/>
  </sortState>
  <mergeCells count="10">
    <mergeCell ref="B194:M194"/>
    <mergeCell ref="B172:M172"/>
    <mergeCell ref="B23:M23"/>
    <mergeCell ref="B2:M2"/>
    <mergeCell ref="B123:M123"/>
    <mergeCell ref="B160:K161"/>
    <mergeCell ref="D48:H49"/>
    <mergeCell ref="B91:M91"/>
    <mergeCell ref="B70:M70"/>
    <mergeCell ref="B46:M46"/>
  </mergeCells>
  <pageMargins left="0.75" right="0.75" top="1" bottom="1" header="0.5" footer="0.5"/>
  <pageSetup paperSize="9" orientation="portrait" horizontalDpi="4294967292" verticalDpi="4294967292"/>
  <ignoredErrors>
    <ignoredError sqref="C43:D44 C214:D215" formulaRange="1"/>
    <ignoredError sqref="F87 F76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6"/>
  <sheetViews>
    <sheetView zoomScale="150" zoomScaleNormal="150" zoomScalePageLayoutView="150" workbookViewId="0"/>
  </sheetViews>
  <sheetFormatPr baseColWidth="10" defaultRowHeight="13" x14ac:dyDescent="0"/>
  <cols>
    <col min="1" max="1" width="1.83203125" style="29" customWidth="1"/>
    <col min="2" max="2" width="17.5" style="29" customWidth="1"/>
    <col min="3" max="3" width="14.6640625" style="29" customWidth="1"/>
    <col min="4" max="4" width="11.6640625" style="29" customWidth="1"/>
    <col min="5" max="5" width="13.1640625" style="29" customWidth="1"/>
    <col min="6" max="6" width="10.33203125" style="29" customWidth="1"/>
    <col min="7" max="8" width="10.83203125" style="29"/>
    <col min="9" max="10" width="11.1640625" style="29" customWidth="1"/>
    <col min="11" max="11" width="13.1640625" style="29" customWidth="1"/>
    <col min="12" max="12" width="12.5" style="29" customWidth="1"/>
    <col min="13" max="13" width="10.83203125" style="29"/>
    <col min="14" max="14" width="12" style="29" customWidth="1"/>
    <col min="15" max="15" width="13.83203125" style="29" customWidth="1"/>
    <col min="16" max="16" width="24.33203125" style="29" customWidth="1"/>
    <col min="17" max="17" width="17.33203125" style="29" bestFit="1" customWidth="1"/>
    <col min="18" max="16384" width="10.83203125" style="29"/>
  </cols>
  <sheetData>
    <row r="1" spans="2:13" ht="14" thickBot="1"/>
    <row r="2" spans="2:13" s="28" customFormat="1" ht="24" customHeight="1" thickBot="1">
      <c r="B2" s="124" t="s">
        <v>32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6"/>
    </row>
    <row r="3" spans="2:13" s="25" customFormat="1" ht="14" customHeight="1"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2:13" ht="30">
      <c r="B4" s="9" t="s">
        <v>7</v>
      </c>
      <c r="C4" s="9" t="s">
        <v>0</v>
      </c>
      <c r="D4" s="4" t="s">
        <v>90</v>
      </c>
      <c r="H4" s="9"/>
      <c r="I4" s="9"/>
      <c r="J4" s="4"/>
    </row>
    <row r="5" spans="2:13" s="33" customFormat="1" ht="14" customHeight="1">
      <c r="B5" s="3" t="s">
        <v>51</v>
      </c>
      <c r="C5" s="3" t="s">
        <v>9</v>
      </c>
      <c r="D5" s="30">
        <v>2.06</v>
      </c>
    </row>
    <row r="6" spans="2:13" s="39" customFormat="1" ht="14" customHeight="1">
      <c r="B6" s="3" t="s">
        <v>36</v>
      </c>
      <c r="C6" s="3" t="s">
        <v>9</v>
      </c>
      <c r="D6" s="30">
        <v>2.14</v>
      </c>
    </row>
    <row r="7" spans="2:13" s="39" customFormat="1" ht="14" customHeight="1">
      <c r="B7" s="4" t="s">
        <v>87</v>
      </c>
      <c r="C7" s="4" t="s">
        <v>10</v>
      </c>
      <c r="D7" s="55">
        <v>2.4</v>
      </c>
    </row>
    <row r="8" spans="2:13" s="39" customFormat="1" ht="14" customHeight="1">
      <c r="B8" s="4" t="s">
        <v>72</v>
      </c>
      <c r="C8" s="4" t="s">
        <v>10</v>
      </c>
      <c r="D8" s="55">
        <v>2.42</v>
      </c>
    </row>
    <row r="9" spans="2:13" s="33" customFormat="1" ht="14" customHeight="1">
      <c r="B9" s="3" t="s">
        <v>37</v>
      </c>
      <c r="C9" s="3" t="s">
        <v>9</v>
      </c>
      <c r="D9" s="51">
        <v>2.5299999999999998</v>
      </c>
    </row>
    <row r="10" spans="2:13" s="39" customFormat="1" ht="14" customHeight="1">
      <c r="B10" s="4" t="s">
        <v>71</v>
      </c>
      <c r="C10" s="4" t="s">
        <v>10</v>
      </c>
      <c r="D10" s="55">
        <v>2.54</v>
      </c>
    </row>
    <row r="11" spans="2:13" s="39" customFormat="1" ht="14" customHeight="1">
      <c r="B11" s="3" t="s">
        <v>48</v>
      </c>
      <c r="C11" s="3" t="s">
        <v>9</v>
      </c>
      <c r="D11" s="30">
        <v>2.58</v>
      </c>
    </row>
    <row r="12" spans="2:13" s="39" customFormat="1" ht="14" customHeight="1">
      <c r="B12" s="3" t="s">
        <v>52</v>
      </c>
      <c r="C12" s="3" t="s">
        <v>9</v>
      </c>
      <c r="D12" s="30">
        <v>2.83</v>
      </c>
    </row>
    <row r="13" spans="2:13" s="39" customFormat="1" ht="14" customHeight="1">
      <c r="B13" s="4" t="s">
        <v>89</v>
      </c>
      <c r="C13" s="4" t="s">
        <v>10</v>
      </c>
      <c r="D13" s="55">
        <v>3.12</v>
      </c>
    </row>
    <row r="14" spans="2:13" s="39" customFormat="1" ht="14" customHeight="1">
      <c r="B14" s="4" t="s">
        <v>77</v>
      </c>
      <c r="C14" s="4" t="s">
        <v>10</v>
      </c>
      <c r="D14" s="55">
        <v>3.48</v>
      </c>
    </row>
    <row r="15" spans="2:13" s="39" customFormat="1" ht="14" customHeight="1">
      <c r="B15" s="4" t="s">
        <v>75</v>
      </c>
      <c r="C15" s="4" t="s">
        <v>10</v>
      </c>
      <c r="D15" s="55">
        <v>3.55</v>
      </c>
    </row>
    <row r="16" spans="2:13" s="39" customFormat="1" ht="14" customHeight="1">
      <c r="B16" s="3" t="s">
        <v>2</v>
      </c>
      <c r="C16" s="3" t="s">
        <v>9</v>
      </c>
      <c r="D16" s="30">
        <v>3.79</v>
      </c>
    </row>
    <row r="17" spans="2:13" s="39" customFormat="1" ht="14" customHeight="1">
      <c r="B17" s="3" t="s">
        <v>5</v>
      </c>
      <c r="C17" s="3" t="s">
        <v>9</v>
      </c>
      <c r="D17" s="30">
        <v>4.24</v>
      </c>
    </row>
    <row r="18" spans="2:13" s="39" customFormat="1" ht="14" customHeight="1">
      <c r="B18" s="3" t="s">
        <v>40</v>
      </c>
      <c r="C18" s="3" t="s">
        <v>9</v>
      </c>
      <c r="D18" s="30">
        <v>4.96</v>
      </c>
    </row>
    <row r="19" spans="2:13" s="39" customFormat="1" ht="14" customHeight="1">
      <c r="B19" s="4" t="s">
        <v>76</v>
      </c>
      <c r="C19" s="4" t="s">
        <v>10</v>
      </c>
      <c r="D19" s="55">
        <v>5.79</v>
      </c>
    </row>
    <row r="20" spans="2:13" s="39" customFormat="1" ht="14" customHeight="1">
      <c r="B20" s="3" t="s">
        <v>4</v>
      </c>
      <c r="C20" s="3" t="s">
        <v>9</v>
      </c>
      <c r="D20" s="30">
        <v>5.8</v>
      </c>
    </row>
    <row r="21" spans="2:13" ht="14" thickBot="1"/>
    <row r="22" spans="2:13" s="28" customFormat="1" ht="24" customHeight="1" thickBot="1">
      <c r="B22" s="127" t="s">
        <v>43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9"/>
    </row>
    <row r="24" spans="2:13" s="41" customFormat="1" ht="26">
      <c r="B24" s="9" t="s">
        <v>7</v>
      </c>
      <c r="C24" s="4" t="s">
        <v>8</v>
      </c>
      <c r="D24" s="9" t="s">
        <v>33</v>
      </c>
      <c r="E24" s="4" t="s">
        <v>98</v>
      </c>
      <c r="F24" s="9" t="s">
        <v>41</v>
      </c>
      <c r="G24" s="9" t="s">
        <v>0</v>
      </c>
      <c r="H24" s="13"/>
      <c r="I24" s="9"/>
      <c r="J24" s="9"/>
      <c r="K24" s="4"/>
    </row>
    <row r="25" spans="2:13" s="8" customFormat="1" ht="14" customHeight="1">
      <c r="B25" s="3" t="s">
        <v>51</v>
      </c>
      <c r="C25" s="30">
        <v>0.19850000000000001</v>
      </c>
      <c r="D25" s="34">
        <v>1268.7</v>
      </c>
      <c r="E25" s="30">
        <f>(C25-$C$41)/$C$42</f>
        <v>0.60075529901515068</v>
      </c>
      <c r="F25" s="30">
        <f>(D25-$D$41)/$D$42</f>
        <v>0.33932304796026652</v>
      </c>
      <c r="G25" s="3" t="s">
        <v>9</v>
      </c>
      <c r="H25" s="51"/>
      <c r="I25" s="3"/>
      <c r="J25" s="3"/>
      <c r="K25" s="30"/>
    </row>
    <row r="26" spans="2:13" s="8" customFormat="1" ht="14" customHeight="1">
      <c r="B26" s="3" t="s">
        <v>36</v>
      </c>
      <c r="C26" s="30">
        <v>0.19486000000000001</v>
      </c>
      <c r="D26" s="30">
        <v>1575.73</v>
      </c>
      <c r="E26" s="30">
        <f t="shared" ref="E26:E40" si="0">(C26-$C$41)/$C$42</f>
        <v>0.48989660698711951</v>
      </c>
      <c r="F26" s="30">
        <f t="shared" ref="F26:F40" si="1">(D26-$D$41)/$D$42</f>
        <v>1.0923577817169743</v>
      </c>
      <c r="G26" s="3" t="s">
        <v>9</v>
      </c>
      <c r="H26" s="51"/>
      <c r="I26" s="3"/>
      <c r="J26" s="3"/>
      <c r="K26" s="30"/>
    </row>
    <row r="27" spans="2:13" s="8" customFormat="1" ht="14" customHeight="1">
      <c r="B27" s="3" t="s">
        <v>37</v>
      </c>
      <c r="C27" s="30">
        <v>0.22422</v>
      </c>
      <c r="D27" s="30">
        <v>1717.32</v>
      </c>
      <c r="E27" s="30">
        <f t="shared" si="0"/>
        <v>1.3840755075209077</v>
      </c>
      <c r="F27" s="30">
        <f t="shared" si="1"/>
        <v>1.4396273903956447</v>
      </c>
      <c r="G27" s="3" t="s">
        <v>9</v>
      </c>
      <c r="H27" s="51"/>
      <c r="I27" s="3"/>
      <c r="J27" s="3"/>
      <c r="K27" s="51"/>
    </row>
    <row r="28" spans="2:13" s="8" customFormat="1" ht="14" customHeight="1">
      <c r="B28" s="3" t="s">
        <v>48</v>
      </c>
      <c r="C28" s="30">
        <v>0.18423999999999999</v>
      </c>
      <c r="D28" s="34">
        <v>1357.66</v>
      </c>
      <c r="E28" s="30">
        <f t="shared" si="0"/>
        <v>0.16645723628995168</v>
      </c>
      <c r="F28" s="30">
        <f t="shared" si="1"/>
        <v>0.55751009780880489</v>
      </c>
      <c r="G28" s="3" t="s">
        <v>9</v>
      </c>
      <c r="H28" s="51"/>
      <c r="I28" s="3"/>
      <c r="J28" s="3"/>
      <c r="K28" s="30"/>
    </row>
    <row r="29" spans="2:13" s="8" customFormat="1" ht="14" customHeight="1">
      <c r="B29" s="3" t="s">
        <v>52</v>
      </c>
      <c r="C29" s="30">
        <v>0.19600000000000001</v>
      </c>
      <c r="D29" s="34">
        <v>1271.1300000000001</v>
      </c>
      <c r="E29" s="30">
        <f t="shared" si="0"/>
        <v>0.52461608745743704</v>
      </c>
      <c r="F29" s="30">
        <f t="shared" si="1"/>
        <v>0.34528296849907003</v>
      </c>
      <c r="G29" s="3" t="s">
        <v>9</v>
      </c>
      <c r="H29" s="51"/>
      <c r="I29" s="3"/>
      <c r="J29" s="3"/>
      <c r="K29" s="30"/>
    </row>
    <row r="30" spans="2:13" s="8" customFormat="1" ht="14" customHeight="1">
      <c r="B30" s="3" t="s">
        <v>2</v>
      </c>
      <c r="C30" s="30">
        <v>0.18042</v>
      </c>
      <c r="D30" s="34">
        <v>596.70000000000005</v>
      </c>
      <c r="E30" s="30">
        <f t="shared" si="0"/>
        <v>5.0116521029765639E-2</v>
      </c>
      <c r="F30" s="30">
        <f t="shared" si="1"/>
        <v>-1.3088525084495555</v>
      </c>
      <c r="G30" s="3" t="s">
        <v>9</v>
      </c>
      <c r="H30" s="51"/>
      <c r="I30" s="3"/>
      <c r="J30" s="3"/>
      <c r="K30" s="30"/>
    </row>
    <row r="31" spans="2:13" s="8" customFormat="1" ht="14" customHeight="1">
      <c r="B31" s="3" t="s">
        <v>5</v>
      </c>
      <c r="C31" s="30">
        <v>0.17821999999999999</v>
      </c>
      <c r="D31" s="34">
        <v>706.25</v>
      </c>
      <c r="E31" s="30">
        <f t="shared" si="0"/>
        <v>-1.6885985141022544E-2</v>
      </c>
      <c r="F31" s="30">
        <f t="shared" si="1"/>
        <v>-1.0401655557639959</v>
      </c>
      <c r="G31" s="3" t="s">
        <v>9</v>
      </c>
      <c r="H31" s="51"/>
      <c r="I31" s="3"/>
      <c r="J31" s="3"/>
      <c r="K31" s="30"/>
    </row>
    <row r="32" spans="2:13" s="8" customFormat="1" ht="14" customHeight="1">
      <c r="B32" s="3" t="s">
        <v>40</v>
      </c>
      <c r="C32" s="30">
        <v>0.12053</v>
      </c>
      <c r="D32" s="30">
        <v>1017.22</v>
      </c>
      <c r="E32" s="30">
        <f t="shared" si="0"/>
        <v>-1.7738744310468209</v>
      </c>
      <c r="F32" s="30">
        <f t="shared" si="1"/>
        <v>-0.27746741175095679</v>
      </c>
      <c r="G32" s="3" t="s">
        <v>9</v>
      </c>
      <c r="H32" s="51"/>
      <c r="I32" s="3"/>
      <c r="J32" s="3"/>
      <c r="K32" s="30"/>
    </row>
    <row r="33" spans="2:16" s="8" customFormat="1" ht="14" customHeight="1">
      <c r="B33" s="3" t="s">
        <v>4</v>
      </c>
      <c r="C33" s="30">
        <v>0.13197999999999999</v>
      </c>
      <c r="D33" s="30">
        <v>662.44</v>
      </c>
      <c r="E33" s="30">
        <f t="shared" si="0"/>
        <v>-1.4251568421124929</v>
      </c>
      <c r="F33" s="30">
        <f t="shared" si="1"/>
        <v>-1.1476158104162493</v>
      </c>
      <c r="G33" s="3" t="s">
        <v>9</v>
      </c>
      <c r="H33" s="51"/>
      <c r="I33" s="3"/>
      <c r="J33" s="3"/>
      <c r="K33" s="30"/>
    </row>
    <row r="34" spans="2:16" s="8" customFormat="1" ht="14" customHeight="1">
      <c r="B34" s="3" t="s">
        <v>38</v>
      </c>
      <c r="C34" s="30">
        <v>0.17471999999999999</v>
      </c>
      <c r="D34" s="34">
        <v>1408.29</v>
      </c>
      <c r="E34" s="30">
        <f t="shared" si="0"/>
        <v>-0.12348088132182165</v>
      </c>
      <c r="F34" s="30">
        <f t="shared" si="1"/>
        <v>0.68168737224486009</v>
      </c>
      <c r="G34" s="3" t="s">
        <v>10</v>
      </c>
      <c r="H34" s="51"/>
      <c r="I34" s="4"/>
      <c r="J34" s="4"/>
      <c r="K34" s="55"/>
    </row>
    <row r="35" spans="2:16" s="8" customFormat="1" ht="14" customHeight="1">
      <c r="B35" s="3" t="s">
        <v>50</v>
      </c>
      <c r="C35" s="30">
        <v>0.21052999999999999</v>
      </c>
      <c r="D35" s="34">
        <v>1187.83</v>
      </c>
      <c r="E35" s="30">
        <f t="shared" si="0"/>
        <v>0.96713718503086799</v>
      </c>
      <c r="F35" s="30">
        <f t="shared" si="1"/>
        <v>0.14097787348576873</v>
      </c>
      <c r="G35" s="3" t="s">
        <v>10</v>
      </c>
      <c r="H35" s="51"/>
      <c r="I35" s="4"/>
      <c r="J35" s="4"/>
      <c r="K35" s="55"/>
    </row>
    <row r="36" spans="2:16" s="8" customFormat="1" ht="14" customHeight="1">
      <c r="B36" s="3" t="s">
        <v>49</v>
      </c>
      <c r="C36" s="30">
        <v>0.24496999999999999</v>
      </c>
      <c r="D36" s="34">
        <v>1686.38</v>
      </c>
      <c r="E36" s="30">
        <f t="shared" si="0"/>
        <v>2.0160309634499303</v>
      </c>
      <c r="F36" s="30">
        <f t="shared" si="1"/>
        <v>1.3637426408192761</v>
      </c>
      <c r="G36" s="3" t="s">
        <v>10</v>
      </c>
      <c r="H36" s="51"/>
    </row>
    <row r="37" spans="2:16" s="8" customFormat="1" ht="14" customHeight="1">
      <c r="B37" s="3" t="s">
        <v>39</v>
      </c>
      <c r="C37" s="30">
        <v>0.17398</v>
      </c>
      <c r="D37" s="30">
        <v>1233.06</v>
      </c>
      <c r="E37" s="30">
        <f t="shared" si="0"/>
        <v>-0.14601808794290458</v>
      </c>
      <c r="F37" s="30">
        <f t="shared" si="1"/>
        <v>0.25191088005781676</v>
      </c>
      <c r="G37" s="3" t="s">
        <v>10</v>
      </c>
      <c r="H37" s="51"/>
    </row>
    <row r="38" spans="2:16" s="8" customFormat="1" ht="14" customHeight="1">
      <c r="B38" s="3" t="s">
        <v>55</v>
      </c>
      <c r="C38" s="30">
        <v>0.17387</v>
      </c>
      <c r="D38" s="34">
        <v>1097.73</v>
      </c>
      <c r="E38" s="30">
        <f t="shared" si="0"/>
        <v>-0.14936821325144395</v>
      </c>
      <c r="F38" s="30">
        <f t="shared" si="1"/>
        <v>-8.0005188467393171E-2</v>
      </c>
      <c r="G38" s="3" t="s">
        <v>10</v>
      </c>
      <c r="H38" s="51"/>
    </row>
    <row r="39" spans="2:16" s="8" customFormat="1" ht="14" customHeight="1">
      <c r="B39" s="3" t="s">
        <v>53</v>
      </c>
      <c r="C39" s="30">
        <v>0.18445</v>
      </c>
      <c r="D39" s="34">
        <v>1137.4000000000001</v>
      </c>
      <c r="E39" s="30">
        <f t="shared" si="0"/>
        <v>0.1728529300608001</v>
      </c>
      <c r="F39" s="30">
        <f t="shared" si="1"/>
        <v>1.7291127489121344E-2</v>
      </c>
      <c r="G39" s="3" t="s">
        <v>10</v>
      </c>
      <c r="H39" s="51"/>
      <c r="I39" s="4"/>
      <c r="J39" s="4"/>
      <c r="K39" s="55"/>
    </row>
    <row r="40" spans="2:16" s="8" customFormat="1" ht="14" customHeight="1">
      <c r="B40" s="3" t="s">
        <v>54</v>
      </c>
      <c r="C40" s="30">
        <v>0.12853999999999999</v>
      </c>
      <c r="D40" s="30">
        <v>837.15</v>
      </c>
      <c r="E40" s="30">
        <f t="shared" si="0"/>
        <v>-1.5299243972159069</v>
      </c>
      <c r="F40" s="30">
        <f t="shared" si="1"/>
        <v>-0.71911469217166613</v>
      </c>
      <c r="G40" s="3" t="s">
        <v>10</v>
      </c>
      <c r="H40" s="51"/>
    </row>
    <row r="41" spans="2:16" s="9" customFormat="1" ht="14" customHeight="1">
      <c r="B41" s="4" t="s">
        <v>12</v>
      </c>
      <c r="C41" s="11">
        <f>AVERAGE(C25:C33)</f>
        <v>0.17877444444444446</v>
      </c>
      <c r="D41" s="11">
        <f>AVERAGE(D25:D33)</f>
        <v>1130.3499999999999</v>
      </c>
      <c r="E41" s="42"/>
      <c r="F41" s="42"/>
      <c r="G41" s="42"/>
      <c r="I41"/>
      <c r="J41"/>
      <c r="K41"/>
      <c r="L41"/>
      <c r="M41"/>
      <c r="N41"/>
      <c r="O41" s="1"/>
      <c r="P41"/>
    </row>
    <row r="42" spans="2:16" s="9" customFormat="1" ht="14" customHeight="1">
      <c r="B42" s="4" t="s">
        <v>19</v>
      </c>
      <c r="C42" s="11">
        <f>STDEV(C25:C33)</f>
        <v>3.2834592700043894E-2</v>
      </c>
      <c r="D42" s="11">
        <f>STDEV(D25:D33)</f>
        <v>407.72355674525363</v>
      </c>
      <c r="E42" s="42"/>
      <c r="F42" s="42"/>
      <c r="G42" s="42"/>
    </row>
    <row r="43" spans="2:16" s="47" customFormat="1" ht="14" customHeight="1" thickBot="1">
      <c r="B43" s="4"/>
      <c r="C43" s="46"/>
      <c r="D43" s="46"/>
    </row>
    <row r="44" spans="2:16" s="28" customFormat="1" ht="24" customHeight="1" thickBot="1">
      <c r="B44" s="127" t="s">
        <v>44</v>
      </c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9"/>
    </row>
    <row r="45" spans="2:16" s="47" customFormat="1" ht="14" customHeight="1" thickBot="1">
      <c r="B45" s="4"/>
      <c r="C45" s="46"/>
      <c r="D45" s="46"/>
    </row>
    <row r="46" spans="2:16" s="47" customFormat="1" ht="11" customHeight="1">
      <c r="B46" s="4"/>
      <c r="C46" s="46"/>
      <c r="D46" s="130" t="s">
        <v>99</v>
      </c>
      <c r="E46" s="131"/>
      <c r="F46" s="131"/>
      <c r="G46" s="131"/>
      <c r="H46" s="132"/>
    </row>
    <row r="47" spans="2:16" s="47" customFormat="1" ht="11" customHeight="1" thickBot="1">
      <c r="B47" s="4"/>
      <c r="C47" s="46"/>
      <c r="D47" s="133"/>
      <c r="E47" s="134"/>
      <c r="F47" s="134"/>
      <c r="G47" s="134"/>
      <c r="H47" s="135"/>
    </row>
    <row r="48" spans="2:16" s="47" customFormat="1" ht="14" customHeight="1">
      <c r="B48" s="4"/>
      <c r="C48" s="46"/>
      <c r="D48" s="46"/>
    </row>
    <row r="49" spans="2:14" s="41" customFormat="1" ht="30">
      <c r="B49" s="9" t="s">
        <v>7</v>
      </c>
      <c r="C49" s="4" t="s">
        <v>98</v>
      </c>
      <c r="D49" s="4" t="s">
        <v>97</v>
      </c>
      <c r="E49" s="9" t="s">
        <v>0</v>
      </c>
      <c r="F49" s="13" t="s">
        <v>31</v>
      </c>
      <c r="G49" s="4" t="s">
        <v>90</v>
      </c>
    </row>
    <row r="50" spans="2:14" s="40" customFormat="1" ht="14" customHeight="1">
      <c r="B50" s="3" t="s">
        <v>51</v>
      </c>
      <c r="C50" s="51">
        <v>0.60075529901515068</v>
      </c>
      <c r="D50" s="51">
        <v>0.33932304796026652</v>
      </c>
      <c r="E50" s="3" t="s">
        <v>9</v>
      </c>
      <c r="F50" s="51">
        <f>0.7071068*C50+0.7071068*D50</f>
        <v>0.66473579167907693</v>
      </c>
      <c r="G50" s="30">
        <v>2.06</v>
      </c>
      <c r="I50" s="49"/>
      <c r="J50" s="51"/>
      <c r="L50" s="8"/>
      <c r="M50" s="78"/>
      <c r="N50" s="51"/>
    </row>
    <row r="51" spans="2:14" s="40" customFormat="1" ht="14" customHeight="1">
      <c r="B51" s="3" t="s">
        <v>36</v>
      </c>
      <c r="C51" s="51">
        <v>0.48989660698711951</v>
      </c>
      <c r="D51" s="51">
        <v>1.0923577817169743</v>
      </c>
      <c r="E51" s="3" t="s">
        <v>9</v>
      </c>
      <c r="F51" s="51">
        <f t="shared" ref="F51:F65" si="2">0.7071068*C51+0.7071068*D51</f>
        <v>1.118822837582508</v>
      </c>
      <c r="G51" s="30">
        <v>2.14</v>
      </c>
      <c r="I51" s="49"/>
      <c r="J51" s="51"/>
      <c r="L51" s="9"/>
      <c r="M51" s="79"/>
      <c r="N51" s="11"/>
    </row>
    <row r="52" spans="2:14" s="40" customFormat="1" ht="14" customHeight="1">
      <c r="B52" s="3" t="s">
        <v>37</v>
      </c>
      <c r="C52" s="51">
        <v>1.3840755075209077</v>
      </c>
      <c r="D52" s="51">
        <v>1.4396273903956447</v>
      </c>
      <c r="E52" s="3" t="s">
        <v>9</v>
      </c>
      <c r="F52" s="51">
        <f t="shared" si="2"/>
        <v>1.9966595202965003</v>
      </c>
      <c r="G52" s="51">
        <v>2.5299999999999998</v>
      </c>
      <c r="I52" s="49"/>
      <c r="J52" s="51"/>
      <c r="L52" s="9"/>
      <c r="M52" s="79"/>
      <c r="N52" s="11"/>
    </row>
    <row r="53" spans="2:14" s="40" customFormat="1" ht="14" customHeight="1">
      <c r="B53" s="3" t="s">
        <v>48</v>
      </c>
      <c r="C53" s="51">
        <v>0.16645723628995168</v>
      </c>
      <c r="D53" s="51">
        <v>0.55751009780880489</v>
      </c>
      <c r="E53" s="3" t="s">
        <v>9</v>
      </c>
      <c r="F53" s="51">
        <f t="shared" si="2"/>
        <v>0.51192222491910266</v>
      </c>
      <c r="G53" s="30">
        <v>2.58</v>
      </c>
      <c r="I53" s="49"/>
      <c r="J53" s="51"/>
      <c r="L53" s="9"/>
      <c r="M53" s="79"/>
      <c r="N53" s="11"/>
    </row>
    <row r="54" spans="2:14" s="40" customFormat="1" ht="14" customHeight="1">
      <c r="B54" s="3" t="s">
        <v>52</v>
      </c>
      <c r="C54" s="51">
        <v>0.52461608745743704</v>
      </c>
      <c r="D54" s="51">
        <v>0.34528296849907003</v>
      </c>
      <c r="E54" s="3" t="s">
        <v>9</v>
      </c>
      <c r="F54" s="51">
        <f t="shared" si="2"/>
        <v>0.61511153778042671</v>
      </c>
      <c r="G54" s="30">
        <v>2.83</v>
      </c>
      <c r="I54" s="49"/>
      <c r="J54" s="51"/>
      <c r="L54" s="8"/>
      <c r="M54" s="78"/>
      <c r="N54" s="51"/>
    </row>
    <row r="55" spans="2:14" s="40" customFormat="1" ht="14" customHeight="1">
      <c r="B55" s="3" t="s">
        <v>2</v>
      </c>
      <c r="C55" s="51">
        <v>5.0116521029765639E-2</v>
      </c>
      <c r="D55" s="51">
        <v>-1.3088525084495555</v>
      </c>
      <c r="E55" s="3" t="s">
        <v>9</v>
      </c>
      <c r="F55" s="51">
        <f t="shared" si="2"/>
        <v>-0.89006077610924783</v>
      </c>
      <c r="G55" s="30">
        <v>3.79</v>
      </c>
      <c r="I55" s="49"/>
      <c r="J55" s="51"/>
      <c r="L55" s="9"/>
      <c r="M55" s="79"/>
      <c r="N55" s="11"/>
    </row>
    <row r="56" spans="2:14" s="40" customFormat="1" ht="14" customHeight="1">
      <c r="B56" s="3" t="s">
        <v>5</v>
      </c>
      <c r="C56" s="51">
        <v>-1.6885985141022544E-2</v>
      </c>
      <c r="D56" s="51">
        <v>-1.0401655557639959</v>
      </c>
      <c r="E56" s="3" t="s">
        <v>9</v>
      </c>
      <c r="F56" s="51">
        <f t="shared" si="2"/>
        <v>-0.74744833252441678</v>
      </c>
      <c r="G56" s="30">
        <v>4.24</v>
      </c>
      <c r="I56" s="49"/>
      <c r="J56" s="51"/>
      <c r="L56" s="8"/>
      <c r="M56" s="78"/>
      <c r="N56" s="51"/>
    </row>
    <row r="57" spans="2:14" s="40" customFormat="1" ht="14" customHeight="1">
      <c r="B57" s="3" t="s">
        <v>40</v>
      </c>
      <c r="C57" s="51">
        <v>-1.7738744310468209</v>
      </c>
      <c r="D57" s="51">
        <v>-0.27746741175095679</v>
      </c>
      <c r="E57" s="3" t="s">
        <v>9</v>
      </c>
      <c r="F57" s="51">
        <f t="shared" si="2"/>
        <v>-1.4505177661668398</v>
      </c>
      <c r="G57" s="30">
        <v>4.96</v>
      </c>
      <c r="I57" s="49"/>
      <c r="J57" s="51"/>
      <c r="L57" s="9"/>
      <c r="M57" s="79"/>
      <c r="N57" s="11"/>
    </row>
    <row r="58" spans="2:14" s="40" customFormat="1" ht="14" customHeight="1">
      <c r="B58" s="3" t="s">
        <v>4</v>
      </c>
      <c r="C58" s="51">
        <v>-1.4251568421124929</v>
      </c>
      <c r="D58" s="51">
        <v>-1.1476158104162493</v>
      </c>
      <c r="E58" s="3" t="s">
        <v>9</v>
      </c>
      <c r="F58" s="51">
        <f t="shared" si="2"/>
        <v>-1.8192250374571111</v>
      </c>
      <c r="G58" s="30">
        <v>5.8</v>
      </c>
      <c r="I58" s="49"/>
      <c r="J58" s="51"/>
      <c r="L58" s="9"/>
      <c r="M58" s="79"/>
      <c r="N58" s="11"/>
    </row>
    <row r="59" spans="2:14" s="40" customFormat="1" ht="14" customHeight="1">
      <c r="B59" s="3" t="s">
        <v>38</v>
      </c>
      <c r="C59" s="51">
        <v>-0.12348088132182165</v>
      </c>
      <c r="D59" s="51">
        <v>0.68168737224486009</v>
      </c>
      <c r="E59" s="3" t="s">
        <v>10</v>
      </c>
      <c r="F59" s="51">
        <f t="shared" si="2"/>
        <v>0.3947116055358188</v>
      </c>
      <c r="G59" s="30">
        <v>2.4</v>
      </c>
      <c r="I59" s="49"/>
      <c r="J59" s="51"/>
      <c r="L59" s="9"/>
      <c r="M59" s="79"/>
      <c r="N59" s="11"/>
    </row>
    <row r="60" spans="2:14" s="40" customFormat="1" ht="14" customHeight="1">
      <c r="B60" s="3" t="s">
        <v>50</v>
      </c>
      <c r="C60" s="51">
        <v>0.96713718503086799</v>
      </c>
      <c r="D60" s="51">
        <v>0.14097787348576873</v>
      </c>
      <c r="E60" s="3" t="s">
        <v>10</v>
      </c>
      <c r="F60" s="51">
        <f t="shared" si="2"/>
        <v>0.78355569305951178</v>
      </c>
      <c r="G60" s="30">
        <v>2.42</v>
      </c>
      <c r="I60" s="49"/>
      <c r="J60" s="51"/>
      <c r="L60" s="9"/>
      <c r="M60" s="79"/>
      <c r="N60" s="11"/>
    </row>
    <row r="61" spans="2:14" s="40" customFormat="1" ht="14" customHeight="1">
      <c r="B61" s="3" t="s">
        <v>49</v>
      </c>
      <c r="C61" s="51">
        <v>2.0160309634499303</v>
      </c>
      <c r="D61" s="51">
        <v>1.3637426408192761</v>
      </c>
      <c r="E61" s="3" t="s">
        <v>10</v>
      </c>
      <c r="F61" s="51">
        <f t="shared" si="2"/>
        <v>2.3898608980392648</v>
      </c>
      <c r="G61" s="30">
        <v>2.54</v>
      </c>
      <c r="I61" s="49"/>
      <c r="J61" s="51"/>
      <c r="L61" s="8"/>
      <c r="M61" s="78"/>
      <c r="N61" s="51"/>
    </row>
    <row r="62" spans="2:14" s="40" customFormat="1" ht="14" customHeight="1">
      <c r="B62" s="3" t="s">
        <v>39</v>
      </c>
      <c r="C62" s="51">
        <v>-0.14601808794290458</v>
      </c>
      <c r="D62" s="51">
        <v>0.25191088005781676</v>
      </c>
      <c r="E62" s="3" t="s">
        <v>10</v>
      </c>
      <c r="F62" s="51">
        <f t="shared" si="2"/>
        <v>7.4877513375440782E-2</v>
      </c>
      <c r="G62" s="30">
        <v>3.12</v>
      </c>
      <c r="I62" s="49"/>
      <c r="J62" s="51"/>
      <c r="L62" s="8"/>
      <c r="M62" s="78"/>
      <c r="N62" s="51"/>
    </row>
    <row r="63" spans="2:14" s="40" customFormat="1" ht="14" customHeight="1">
      <c r="B63" s="3" t="s">
        <v>55</v>
      </c>
      <c r="C63" s="51">
        <v>-0.14936821325144395</v>
      </c>
      <c r="D63" s="51">
        <v>-8.0005188467393171E-2</v>
      </c>
      <c r="E63" s="3" t="s">
        <v>10</v>
      </c>
      <c r="F63" s="51">
        <f t="shared" si="2"/>
        <v>-0.16219149209452141</v>
      </c>
      <c r="G63" s="30">
        <v>3.48</v>
      </c>
      <c r="I63" s="49"/>
      <c r="J63" s="51"/>
      <c r="L63" s="9"/>
      <c r="M63" s="79"/>
      <c r="N63" s="11"/>
    </row>
    <row r="64" spans="2:14" s="40" customFormat="1" ht="14" customHeight="1">
      <c r="B64" s="3" t="s">
        <v>53</v>
      </c>
      <c r="C64" s="51">
        <v>0.1728529300608001</v>
      </c>
      <c r="D64" s="51">
        <v>1.7291127489121344E-2</v>
      </c>
      <c r="E64" s="3" t="s">
        <v>10</v>
      </c>
      <c r="F64" s="51">
        <f t="shared" si="2"/>
        <v>0.13445215607314082</v>
      </c>
      <c r="G64" s="30">
        <v>3.55</v>
      </c>
      <c r="I64" s="49"/>
      <c r="J64" s="51"/>
      <c r="L64" s="9"/>
      <c r="M64" s="79"/>
      <c r="N64" s="11"/>
    </row>
    <row r="65" spans="2:14" s="40" customFormat="1" ht="14" customHeight="1">
      <c r="B65" s="3" t="s">
        <v>54</v>
      </c>
      <c r="C65" s="51">
        <v>-1.5299243972159069</v>
      </c>
      <c r="D65" s="51">
        <v>-0.71911469217166613</v>
      </c>
      <c r="E65" s="3" t="s">
        <v>10</v>
      </c>
      <c r="F65" s="51">
        <f t="shared" si="2"/>
        <v>-1.5903108335717608</v>
      </c>
      <c r="G65" s="30">
        <v>5.79</v>
      </c>
      <c r="I65" s="49"/>
      <c r="J65" s="51"/>
      <c r="L65" s="8"/>
      <c r="M65" s="78"/>
      <c r="N65" s="51"/>
    </row>
    <row r="66" spans="2:14" s="47" customFormat="1" ht="14" customHeight="1" thickBot="1">
      <c r="B66" s="4"/>
      <c r="C66" s="46"/>
      <c r="D66" s="46"/>
    </row>
    <row r="67" spans="2:14" s="28" customFormat="1" ht="24" customHeight="1" thickBot="1">
      <c r="B67" s="136" t="s">
        <v>92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8"/>
    </row>
    <row r="68" spans="2:14" s="42" customFormat="1" ht="14" customHeight="1"/>
    <row r="69" spans="2:14" s="41" customFormat="1" ht="30">
      <c r="B69" s="9" t="s">
        <v>7</v>
      </c>
      <c r="C69" s="9" t="s">
        <v>0</v>
      </c>
      <c r="D69" s="13" t="s">
        <v>31</v>
      </c>
      <c r="E69" s="4" t="s">
        <v>100</v>
      </c>
      <c r="F69" s="4" t="s">
        <v>91</v>
      </c>
      <c r="G69" s="9" t="s">
        <v>1</v>
      </c>
      <c r="H69" s="9" t="s">
        <v>11</v>
      </c>
    </row>
    <row r="70" spans="2:14" s="54" customFormat="1" ht="14" customHeight="1">
      <c r="B70" s="3" t="s">
        <v>4</v>
      </c>
      <c r="C70" s="3" t="s">
        <v>9</v>
      </c>
      <c r="D70" s="35">
        <v>-1.8192250374571137</v>
      </c>
      <c r="E70" s="35">
        <v>5.8</v>
      </c>
      <c r="F70" s="35">
        <f>G70*(D70-D72)+E72</f>
        <v>5.7297067126690386</v>
      </c>
      <c r="G70" s="35">
        <f>(E72-E73)/(D72-D73)</f>
        <v>-2.0875821352139137</v>
      </c>
      <c r="H70" s="35">
        <f>E70-F70</f>
        <v>7.0293287330961185E-2</v>
      </c>
    </row>
    <row r="71" spans="2:14" s="54" customFormat="1" ht="14" customHeight="1">
      <c r="B71" s="3" t="s">
        <v>54</v>
      </c>
      <c r="C71" s="3" t="s">
        <v>10</v>
      </c>
      <c r="D71" s="35">
        <v>-1.5903108335717637</v>
      </c>
      <c r="E71" s="35">
        <v>5.79</v>
      </c>
      <c r="F71" s="35">
        <f>(E70*(D71-D72)+E72*(D70-D71))/(D70-D72)</f>
        <v>5.2784807725901555</v>
      </c>
      <c r="G71" s="35"/>
      <c r="H71" s="35">
        <f t="shared" ref="H71:H85" si="3">E71-F71</f>
        <v>0.51151922740984457</v>
      </c>
    </row>
    <row r="72" spans="2:14" s="54" customFormat="1" ht="14" customHeight="1">
      <c r="B72" s="3" t="s">
        <v>40</v>
      </c>
      <c r="C72" s="3" t="s">
        <v>9</v>
      </c>
      <c r="D72" s="35">
        <v>-1.4505177661668434</v>
      </c>
      <c r="E72" s="35">
        <v>4.96</v>
      </c>
      <c r="F72" s="35">
        <f>(E70*(D72-D73)+E73*(D70-D72))/(D70-D73)</f>
        <v>5.0023997842766947</v>
      </c>
      <c r="G72" s="35"/>
      <c r="H72" s="35">
        <f t="shared" si="3"/>
        <v>-4.2399784276694774E-2</v>
      </c>
    </row>
    <row r="73" spans="2:14" s="54" customFormat="1" ht="14" customHeight="1">
      <c r="B73" s="3" t="s">
        <v>2</v>
      </c>
      <c r="C73" s="3" t="s">
        <v>9</v>
      </c>
      <c r="D73" s="35">
        <v>-0.89006077610924716</v>
      </c>
      <c r="E73" s="35">
        <v>3.79</v>
      </c>
      <c r="F73" s="35">
        <f>(E72*(D73-D74)+E74*(D72-D73))/(D72-D74)</f>
        <v>4.3860466839656418</v>
      </c>
      <c r="G73" s="35"/>
      <c r="H73" s="35">
        <f t="shared" si="3"/>
        <v>-0.59604668396564175</v>
      </c>
    </row>
    <row r="74" spans="2:14" s="54" customFormat="1" ht="14" customHeight="1">
      <c r="B74" s="3" t="s">
        <v>5</v>
      </c>
      <c r="C74" s="3" t="s">
        <v>9</v>
      </c>
      <c r="D74" s="35">
        <v>-0.74744833252441634</v>
      </c>
      <c r="E74" s="35">
        <v>4.24</v>
      </c>
      <c r="F74" s="35">
        <f>(E73*(D74-D79)+E79*(D73-D74))/(D73-D79)</f>
        <v>3.6669164414896103</v>
      </c>
      <c r="G74" s="35"/>
      <c r="H74" s="35">
        <f t="shared" si="3"/>
        <v>0.57308355851038995</v>
      </c>
    </row>
    <row r="75" spans="2:14" s="54" customFormat="1" ht="14" customHeight="1">
      <c r="B75" s="3" t="s">
        <v>55</v>
      </c>
      <c r="C75" s="3" t="s">
        <v>10</v>
      </c>
      <c r="D75" s="35">
        <v>-0.16219149209452172</v>
      </c>
      <c r="E75" s="35">
        <v>3.48</v>
      </c>
      <c r="F75" s="35">
        <f>(E74*(D75-D79)+E79*(D74-D75))/(D74-D79)</f>
        <v>3.4685619594872921</v>
      </c>
      <c r="G75" s="35"/>
      <c r="H75" s="35">
        <f t="shared" si="3"/>
        <v>1.1438040512707914E-2</v>
      </c>
    </row>
    <row r="76" spans="2:14" s="54" customFormat="1" ht="14" customHeight="1">
      <c r="B76" s="3" t="s">
        <v>39</v>
      </c>
      <c r="C76" s="3" t="s">
        <v>10</v>
      </c>
      <c r="D76" s="35">
        <v>7.4877513375440338E-2</v>
      </c>
      <c r="E76" s="35">
        <v>3.12</v>
      </c>
      <c r="F76" s="35">
        <f>(E74*(D76-D79)+E79*(D74-D76))/(D74-D79)</f>
        <v>3.1560768479733317</v>
      </c>
      <c r="G76" s="35"/>
      <c r="H76" s="35">
        <f t="shared" si="3"/>
        <v>-3.6076847973331549E-2</v>
      </c>
    </row>
    <row r="77" spans="2:14" s="54" customFormat="1" ht="14" customHeight="1">
      <c r="B77" s="3" t="s">
        <v>53</v>
      </c>
      <c r="C77" s="3" t="s">
        <v>10</v>
      </c>
      <c r="D77" s="35">
        <v>0.13445215607314118</v>
      </c>
      <c r="E77" s="35">
        <v>3.55</v>
      </c>
      <c r="F77" s="35">
        <f>(E74*(D77-D79)+E79*(D74-D77))/(D74-D79)</f>
        <v>3.0775503918054703</v>
      </c>
      <c r="G77" s="35"/>
      <c r="H77" s="35">
        <f t="shared" si="3"/>
        <v>0.47244960819452952</v>
      </c>
    </row>
    <row r="78" spans="2:14" s="54" customFormat="1" ht="14" customHeight="1">
      <c r="B78" s="3" t="s">
        <v>38</v>
      </c>
      <c r="C78" s="3" t="s">
        <v>10</v>
      </c>
      <c r="D78" s="35">
        <v>0.39471160553581819</v>
      </c>
      <c r="E78" s="35">
        <v>2.4</v>
      </c>
      <c r="F78" s="35">
        <f>(E74*(D78-D79)+E79*(D74-D78))/(D74-D79)</f>
        <v>2.734497520230442</v>
      </c>
      <c r="G78" s="35"/>
      <c r="H78" s="35">
        <f t="shared" si="3"/>
        <v>-0.3344975202304421</v>
      </c>
    </row>
    <row r="79" spans="2:14" s="54" customFormat="1" ht="14" customHeight="1">
      <c r="B79" s="3" t="s">
        <v>48</v>
      </c>
      <c r="C79" s="3" t="s">
        <v>9</v>
      </c>
      <c r="D79" s="35">
        <v>0.51192222491910278</v>
      </c>
      <c r="E79" s="35">
        <v>2.58</v>
      </c>
      <c r="F79" s="35">
        <f>(E74*(D79-D80)+E80*(D74-D79))/(D74-D80)</f>
        <v>2.93678204628316</v>
      </c>
      <c r="G79" s="35"/>
      <c r="H79" s="35">
        <f t="shared" si="3"/>
        <v>-0.3567820462831599</v>
      </c>
    </row>
    <row r="80" spans="2:14" s="54" customFormat="1" ht="14" customHeight="1">
      <c r="B80" s="3" t="s">
        <v>52</v>
      </c>
      <c r="C80" s="3" t="s">
        <v>9</v>
      </c>
      <c r="D80" s="35">
        <v>0.61511153778042771</v>
      </c>
      <c r="E80" s="35">
        <v>2.83</v>
      </c>
      <c r="F80" s="35">
        <f>(E79*(D80-D81)+E81*(D79-D80))/(D79-D81)</f>
        <v>2.2288633579754711</v>
      </c>
      <c r="G80" s="35"/>
      <c r="H80" s="35">
        <f t="shared" si="3"/>
        <v>0.60113664202452899</v>
      </c>
    </row>
    <row r="81" spans="2:19" s="54" customFormat="1" ht="14" customHeight="1">
      <c r="B81" s="3" t="s">
        <v>51</v>
      </c>
      <c r="C81" s="3" t="s">
        <v>9</v>
      </c>
      <c r="D81" s="35">
        <v>0.66473579167907815</v>
      </c>
      <c r="E81" s="35">
        <v>2.06</v>
      </c>
      <c r="F81" s="35">
        <f>(E80*(D81-D83)+E83*(D80-D81))/(D80-D83)</f>
        <v>2.7620230949682432</v>
      </c>
      <c r="G81" s="35"/>
      <c r="H81" s="35">
        <f t="shared" si="3"/>
        <v>-0.70202309496824311</v>
      </c>
    </row>
    <row r="82" spans="2:19" s="54" customFormat="1" ht="14" customHeight="1">
      <c r="B82" s="3" t="s">
        <v>50</v>
      </c>
      <c r="C82" s="3" t="s">
        <v>10</v>
      </c>
      <c r="D82" s="35">
        <v>0.78355569305951389</v>
      </c>
      <c r="E82" s="35">
        <v>2.42</v>
      </c>
      <c r="F82" s="35">
        <f>(E81*(D82-D83)+E83*(D81-D82))/(D81-D83)</f>
        <v>2.0809334139702731</v>
      </c>
      <c r="G82" s="35"/>
      <c r="H82" s="35">
        <f t="shared" si="3"/>
        <v>0.33906658602972684</v>
      </c>
    </row>
    <row r="83" spans="2:19" s="54" customFormat="1" ht="14" customHeight="1">
      <c r="B83" s="3" t="s">
        <v>36</v>
      </c>
      <c r="C83" s="3" t="s">
        <v>9</v>
      </c>
      <c r="D83" s="35">
        <v>1.1188228375825084</v>
      </c>
      <c r="E83" s="35">
        <v>2.14</v>
      </c>
      <c r="F83" s="35">
        <f>(E81*(D83-D84)+E84*(D81-D83))/(D81-D84)</f>
        <v>2.2202350847793282</v>
      </c>
      <c r="G83" s="35"/>
      <c r="H83" s="35">
        <f t="shared" si="3"/>
        <v>-8.0235084779328059E-2</v>
      </c>
    </row>
    <row r="84" spans="2:19" s="54" customFormat="1" ht="14" customHeight="1">
      <c r="B84" s="3" t="s">
        <v>37</v>
      </c>
      <c r="C84" s="3" t="s">
        <v>9</v>
      </c>
      <c r="D84" s="35">
        <v>1.9966595202965025</v>
      </c>
      <c r="E84" s="49">
        <v>2.5299999999999998</v>
      </c>
      <c r="F84" s="35">
        <f>G84*(D84-D83)+E83</f>
        <v>2.2946552258001534</v>
      </c>
      <c r="G84" s="35">
        <f>(E83-E81)/(D83-D81)</f>
        <v>0.17617767501126536</v>
      </c>
      <c r="H84" s="35">
        <f t="shared" si="3"/>
        <v>0.23534477419984645</v>
      </c>
    </row>
    <row r="85" spans="2:19" s="54" customFormat="1" ht="14" customHeight="1">
      <c r="B85" s="3" t="s">
        <v>49</v>
      </c>
      <c r="C85" s="3" t="s">
        <v>10</v>
      </c>
      <c r="D85" s="35">
        <v>2.3898608980392688</v>
      </c>
      <c r="E85" s="35">
        <v>2.54</v>
      </c>
      <c r="F85" s="35">
        <f>G85*(D85-D84)+E84</f>
        <v>2.7046891424559445</v>
      </c>
      <c r="G85" s="35">
        <f>(E84-E83)/(D84-D83)</f>
        <v>0.4442739836232894</v>
      </c>
      <c r="H85" s="35">
        <f t="shared" si="3"/>
        <v>-0.16468914245594446</v>
      </c>
    </row>
    <row r="86" spans="2:19" s="45" customFormat="1" ht="14" customHeight="1" thickBot="1">
      <c r="B86" s="16"/>
      <c r="C86" s="18"/>
      <c r="D86" s="21"/>
      <c r="E86" s="17"/>
      <c r="F86" s="21"/>
      <c r="G86" s="21"/>
      <c r="H86" s="21"/>
    </row>
    <row r="87" spans="2:19" s="28" customFormat="1" ht="24" customHeight="1" thickBot="1">
      <c r="B87" s="136" t="s">
        <v>45</v>
      </c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8"/>
    </row>
    <row r="88" spans="2:19" s="45" customFormat="1" ht="14" customHeight="1"/>
    <row r="89" spans="2:19" s="40" customFormat="1" ht="30">
      <c r="B89" s="4" t="s">
        <v>7</v>
      </c>
      <c r="C89" s="12" t="s">
        <v>0</v>
      </c>
      <c r="D89" s="13" t="s">
        <v>31</v>
      </c>
      <c r="E89" s="4" t="s">
        <v>100</v>
      </c>
      <c r="F89" s="4" t="s">
        <v>91</v>
      </c>
      <c r="G89" s="9" t="s">
        <v>1</v>
      </c>
      <c r="H89" s="9" t="s">
        <v>11</v>
      </c>
      <c r="I89" s="9" t="s">
        <v>29</v>
      </c>
      <c r="J89" s="9" t="s">
        <v>30</v>
      </c>
      <c r="K89" s="9" t="s">
        <v>47</v>
      </c>
      <c r="L89" s="9" t="s">
        <v>46</v>
      </c>
      <c r="M89" s="9" t="s">
        <v>13</v>
      </c>
      <c r="N89" s="9"/>
      <c r="O89" s="9"/>
    </row>
    <row r="90" spans="2:19" s="8" customFormat="1" ht="14" customHeight="1">
      <c r="B90" s="3" t="s">
        <v>4</v>
      </c>
      <c r="C90" s="3" t="s">
        <v>9</v>
      </c>
      <c r="D90" s="30">
        <v>-1.8192250374571111</v>
      </c>
      <c r="E90" s="30">
        <v>5.8</v>
      </c>
      <c r="F90" s="30">
        <v>5.7297067126690457</v>
      </c>
      <c r="G90" s="30">
        <v>-2.0875821352139297</v>
      </c>
      <c r="H90" s="30">
        <f>E90-F90</f>
        <v>7.029328733095408E-2</v>
      </c>
      <c r="I90" s="30">
        <f t="shared" ref="I90:I98" si="4">ABS(H90)</f>
        <v>7.029328733095408E-2</v>
      </c>
      <c r="J90" s="30">
        <f t="shared" ref="J90:J98" si="5">H90^2</f>
        <v>4.9411462437920694E-3</v>
      </c>
      <c r="K90" s="30">
        <f>E90-AVERAGE($E$90:$E$98)</f>
        <v>2.3633333333333337</v>
      </c>
      <c r="L90" s="30">
        <f>K90^2</f>
        <v>5.5853444444444467</v>
      </c>
      <c r="M90" s="30">
        <f>I90/E90</f>
        <v>1.2119532298440358E-2</v>
      </c>
      <c r="O90" s="56"/>
      <c r="P90" s="56"/>
      <c r="R90" s="51"/>
      <c r="S90" s="51"/>
    </row>
    <row r="91" spans="2:19" s="8" customFormat="1" ht="14" customHeight="1">
      <c r="B91" s="3" t="s">
        <v>40</v>
      </c>
      <c r="C91" s="3" t="s">
        <v>9</v>
      </c>
      <c r="D91" s="30">
        <v>-1.4505177661668398</v>
      </c>
      <c r="E91" s="30">
        <v>4.96</v>
      </c>
      <c r="F91" s="30">
        <v>5.0023997842766912</v>
      </c>
      <c r="G91" s="30"/>
      <c r="H91" s="30">
        <f t="shared" ref="H91:H98" si="6">E91-F91</f>
        <v>-4.2399784276691221E-2</v>
      </c>
      <c r="I91" s="30">
        <f t="shared" si="4"/>
        <v>4.2399784276691221E-2</v>
      </c>
      <c r="J91" s="30">
        <f t="shared" si="5"/>
        <v>1.7977417067099521E-3</v>
      </c>
      <c r="K91" s="30">
        <f t="shared" ref="K91:K98" si="7">E91-AVERAGE($E$90:$E$98)</f>
        <v>1.5233333333333339</v>
      </c>
      <c r="L91" s="30">
        <f t="shared" ref="L91:L98" si="8">K91^2</f>
        <v>2.3205444444444461</v>
      </c>
      <c r="M91" s="30">
        <f t="shared" ref="M91:M98" si="9">I91/E91</f>
        <v>8.5483436041716172E-3</v>
      </c>
      <c r="O91" s="56"/>
      <c r="P91" s="56"/>
      <c r="Q91" s="51"/>
      <c r="R91" s="51"/>
    </row>
    <row r="92" spans="2:19" s="8" customFormat="1" ht="14" customHeight="1">
      <c r="B92" s="3" t="s">
        <v>2</v>
      </c>
      <c r="C92" s="3" t="s">
        <v>9</v>
      </c>
      <c r="D92" s="30">
        <v>-0.89006077610924783</v>
      </c>
      <c r="E92" s="30">
        <v>3.79</v>
      </c>
      <c r="F92" s="30">
        <v>4.3860466839656436</v>
      </c>
      <c r="G92" s="30"/>
      <c r="H92" s="30">
        <f t="shared" si="6"/>
        <v>-0.59604668396564353</v>
      </c>
      <c r="I92" s="30">
        <f t="shared" si="4"/>
        <v>0.59604668396564353</v>
      </c>
      <c r="J92" s="30">
        <f t="shared" si="5"/>
        <v>0.35527164946643974</v>
      </c>
      <c r="K92" s="30">
        <f t="shared" si="7"/>
        <v>0.35333333333333394</v>
      </c>
      <c r="L92" s="30">
        <f t="shared" si="8"/>
        <v>0.12484444444444487</v>
      </c>
      <c r="M92" s="30">
        <f t="shared" si="9"/>
        <v>0.15726825434449698</v>
      </c>
    </row>
    <row r="93" spans="2:19" s="8" customFormat="1" ht="14" customHeight="1">
      <c r="B93" s="3" t="s">
        <v>5</v>
      </c>
      <c r="C93" s="3" t="s">
        <v>9</v>
      </c>
      <c r="D93" s="30">
        <v>-0.74744833252441678</v>
      </c>
      <c r="E93" s="30">
        <v>4.24</v>
      </c>
      <c r="F93" s="30">
        <v>3.6669164414896098</v>
      </c>
      <c r="G93" s="30"/>
      <c r="H93" s="30">
        <f t="shared" si="6"/>
        <v>0.57308355851039039</v>
      </c>
      <c r="I93" s="30">
        <f t="shared" si="4"/>
        <v>0.57308355851039039</v>
      </c>
      <c r="J93" s="30">
        <f t="shared" si="5"/>
        <v>0.32842476503493206</v>
      </c>
      <c r="K93" s="30">
        <f t="shared" si="7"/>
        <v>0.80333333333333412</v>
      </c>
      <c r="L93" s="30">
        <f t="shared" si="8"/>
        <v>0.64534444444444572</v>
      </c>
      <c r="M93" s="30">
        <f t="shared" si="9"/>
        <v>0.13516121662980904</v>
      </c>
    </row>
    <row r="94" spans="2:19" s="8" customFormat="1" ht="14" customHeight="1">
      <c r="B94" s="3" t="s">
        <v>48</v>
      </c>
      <c r="C94" s="3" t="s">
        <v>9</v>
      </c>
      <c r="D94" s="30">
        <v>0.51192222491910266</v>
      </c>
      <c r="E94" s="30">
        <v>2.58</v>
      </c>
      <c r="F94" s="30">
        <v>2.9367820462831595</v>
      </c>
      <c r="G94" s="30"/>
      <c r="H94" s="30">
        <f t="shared" si="6"/>
        <v>-0.35678204628315946</v>
      </c>
      <c r="I94" s="30">
        <f t="shared" si="4"/>
        <v>0.35678204628315946</v>
      </c>
      <c r="J94" s="30">
        <f t="shared" si="5"/>
        <v>0.12729342854999853</v>
      </c>
      <c r="K94" s="30">
        <f t="shared" si="7"/>
        <v>-0.85666666666666602</v>
      </c>
      <c r="L94" s="30">
        <f t="shared" si="8"/>
        <v>0.73387777777777663</v>
      </c>
      <c r="M94" s="30">
        <f t="shared" si="9"/>
        <v>0.13828761483843391</v>
      </c>
    </row>
    <row r="95" spans="2:19" s="8" customFormat="1" ht="14" customHeight="1">
      <c r="B95" s="3" t="s">
        <v>52</v>
      </c>
      <c r="C95" s="3" t="s">
        <v>9</v>
      </c>
      <c r="D95" s="30">
        <v>0.61511153778042671</v>
      </c>
      <c r="E95" s="30">
        <v>2.83</v>
      </c>
      <c r="F95" s="30">
        <v>2.2288633579754711</v>
      </c>
      <c r="G95" s="30"/>
      <c r="H95" s="30">
        <f t="shared" si="6"/>
        <v>0.60113664202452899</v>
      </c>
      <c r="I95" s="30">
        <f t="shared" si="4"/>
        <v>0.60113664202452899</v>
      </c>
      <c r="J95" s="30">
        <f t="shared" si="5"/>
        <v>0.36136526238452671</v>
      </c>
      <c r="K95" s="30">
        <f t="shared" si="7"/>
        <v>-0.60666666666666602</v>
      </c>
      <c r="L95" s="30">
        <f t="shared" si="8"/>
        <v>0.36804444444444367</v>
      </c>
      <c r="M95" s="30">
        <f t="shared" si="9"/>
        <v>0.21241577456697136</v>
      </c>
      <c r="Q95" s="51"/>
      <c r="R95" s="51"/>
    </row>
    <row r="96" spans="2:19" s="8" customFormat="1" ht="14" customHeight="1">
      <c r="B96" s="3" t="s">
        <v>51</v>
      </c>
      <c r="C96" s="3" t="s">
        <v>9</v>
      </c>
      <c r="D96" s="30">
        <v>0.66473579167907693</v>
      </c>
      <c r="E96" s="30">
        <v>2.06</v>
      </c>
      <c r="F96" s="30">
        <v>2.7620230949682436</v>
      </c>
      <c r="G96" s="30"/>
      <c r="H96" s="30">
        <f t="shared" si="6"/>
        <v>-0.70202309496824356</v>
      </c>
      <c r="I96" s="30">
        <f t="shared" si="4"/>
        <v>0.70202309496824356</v>
      </c>
      <c r="J96" s="30">
        <f t="shared" si="5"/>
        <v>0.49283642586879151</v>
      </c>
      <c r="K96" s="30">
        <f t="shared" si="7"/>
        <v>-1.376666666666666</v>
      </c>
      <c r="L96" s="30">
        <f t="shared" si="8"/>
        <v>1.8952111111111094</v>
      </c>
      <c r="M96" s="30">
        <f t="shared" si="9"/>
        <v>0.34078791017875898</v>
      </c>
      <c r="R96" s="51"/>
      <c r="S96" s="51"/>
    </row>
    <row r="97" spans="2:19" s="8" customFormat="1" ht="14" customHeight="1">
      <c r="B97" s="3" t="s">
        <v>36</v>
      </c>
      <c r="C97" s="3" t="s">
        <v>9</v>
      </c>
      <c r="D97" s="30">
        <v>1.118822837582508</v>
      </c>
      <c r="E97" s="30">
        <v>2.14</v>
      </c>
      <c r="F97" s="30">
        <v>2.2202350847793286</v>
      </c>
      <c r="G97" s="30"/>
      <c r="H97" s="30">
        <f t="shared" si="6"/>
        <v>-8.0235084779328503E-2</v>
      </c>
      <c r="I97" s="30">
        <f t="shared" si="4"/>
        <v>8.0235084779328503E-2</v>
      </c>
      <c r="J97" s="30">
        <f t="shared" si="5"/>
        <v>6.4376688295460322E-3</v>
      </c>
      <c r="K97" s="30">
        <f t="shared" si="7"/>
        <v>-1.296666666666666</v>
      </c>
      <c r="L97" s="30">
        <f t="shared" si="8"/>
        <v>1.6813444444444425</v>
      </c>
      <c r="M97" s="30">
        <f t="shared" si="9"/>
        <v>3.7493030270714253E-2</v>
      </c>
      <c r="O97" s="56"/>
      <c r="P97" s="56"/>
      <c r="R97" s="51"/>
      <c r="S97" s="51"/>
    </row>
    <row r="98" spans="2:19" s="8" customFormat="1" ht="14" customHeight="1">
      <c r="B98" s="3" t="s">
        <v>37</v>
      </c>
      <c r="C98" s="3" t="s">
        <v>9</v>
      </c>
      <c r="D98" s="30">
        <v>1.9966595202965003</v>
      </c>
      <c r="E98" s="51">
        <v>2.5299999999999998</v>
      </c>
      <c r="F98" s="30">
        <v>2.2946552258001529</v>
      </c>
      <c r="G98" s="30">
        <v>0.17617767501126505</v>
      </c>
      <c r="H98" s="30">
        <f t="shared" si="6"/>
        <v>0.2353447741998469</v>
      </c>
      <c r="I98" s="30">
        <f t="shared" si="4"/>
        <v>0.2353447741998469</v>
      </c>
      <c r="J98" s="30">
        <f t="shared" si="5"/>
        <v>5.538716274317692E-2</v>
      </c>
      <c r="K98" s="30">
        <f t="shared" si="7"/>
        <v>-0.90666666666666629</v>
      </c>
      <c r="L98" s="30">
        <f t="shared" si="8"/>
        <v>0.8220444444444438</v>
      </c>
      <c r="M98" s="30">
        <f t="shared" si="9"/>
        <v>9.3021649881362412E-2</v>
      </c>
      <c r="O98" s="56"/>
      <c r="P98" s="56"/>
      <c r="R98" s="51"/>
      <c r="S98" s="51"/>
    </row>
    <row r="99" spans="2:19" s="8" customFormat="1" ht="14" customHeight="1">
      <c r="B99" s="3"/>
      <c r="C99" s="3"/>
      <c r="D99" s="30"/>
      <c r="E99" s="51"/>
      <c r="F99" s="30"/>
      <c r="G99" s="30"/>
      <c r="H99" s="30"/>
      <c r="I99" s="30"/>
      <c r="J99" s="30"/>
      <c r="K99" s="30"/>
      <c r="L99" s="30"/>
      <c r="M99" s="30"/>
      <c r="O99" s="56"/>
      <c r="P99" s="56"/>
      <c r="R99" s="51"/>
      <c r="S99" s="51"/>
    </row>
    <row r="100" spans="2:19" s="8" customFormat="1" ht="14" customHeight="1">
      <c r="B100" s="3"/>
      <c r="C100" s="3"/>
      <c r="E100" s="85" t="s">
        <v>102</v>
      </c>
      <c r="F100" s="88">
        <f>CORREL(E90:E98,F90:F98)</f>
        <v>0.93814133739850669</v>
      </c>
      <c r="G100" s="85" t="s">
        <v>104</v>
      </c>
      <c r="H100" s="89">
        <f>SQRT((SUM(J90:J98)/9))</f>
        <v>0.43890713404342452</v>
      </c>
      <c r="I100" s="30"/>
      <c r="J100" s="30"/>
      <c r="K100" s="30"/>
      <c r="L100" s="30"/>
      <c r="M100" s="30"/>
      <c r="O100" s="56"/>
      <c r="P100" s="56"/>
      <c r="R100" s="51"/>
      <c r="S100" s="51"/>
    </row>
    <row r="101" spans="2:19" s="8" customFormat="1" ht="14" customHeight="1">
      <c r="B101" s="3"/>
      <c r="C101" s="3"/>
      <c r="D101" s="30"/>
      <c r="E101" s="86" t="s">
        <v>103</v>
      </c>
      <c r="F101" s="89">
        <f>1-(SUM(J90:J98)/SUM(L90:L98))</f>
        <v>0.87770302817121781</v>
      </c>
      <c r="G101" s="86" t="s">
        <v>105</v>
      </c>
      <c r="H101" s="90">
        <f>(SUM(M90:M98)/9)*100</f>
        <v>12.612259184590652</v>
      </c>
      <c r="I101" s="30"/>
      <c r="J101" s="30"/>
      <c r="K101" s="30"/>
      <c r="L101" s="30"/>
      <c r="M101" s="30"/>
      <c r="O101" s="56"/>
      <c r="P101" s="56"/>
      <c r="R101" s="51"/>
      <c r="S101" s="51"/>
    </row>
    <row r="102" spans="2:19" s="8" customFormat="1" ht="14" customHeight="1">
      <c r="B102" s="3"/>
      <c r="C102" s="3"/>
      <c r="D102" s="30"/>
      <c r="G102" s="87" t="s">
        <v>106</v>
      </c>
      <c r="H102" s="90">
        <f>SUM(I90:I98)/9</f>
        <v>0.36192721737097627</v>
      </c>
      <c r="I102" s="30"/>
      <c r="J102" s="30"/>
      <c r="K102" s="30"/>
      <c r="L102" s="30"/>
      <c r="M102" s="30"/>
      <c r="O102" s="56"/>
      <c r="P102" s="56"/>
      <c r="R102" s="51"/>
      <c r="S102" s="51"/>
    </row>
    <row r="103" spans="2:19" s="8" customFormat="1" ht="14" customHeight="1">
      <c r="C103" s="78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O103" s="51"/>
      <c r="R103" s="51"/>
      <c r="S103" s="51"/>
    </row>
    <row r="104" spans="2:19" s="40" customFormat="1" ht="31">
      <c r="B104" s="4" t="s">
        <v>7</v>
      </c>
      <c r="C104" s="12" t="s">
        <v>0</v>
      </c>
      <c r="D104" s="13" t="s">
        <v>31</v>
      </c>
      <c r="E104" s="4" t="s">
        <v>90</v>
      </c>
      <c r="F104" s="4" t="s">
        <v>91</v>
      </c>
      <c r="G104" s="9" t="s">
        <v>1</v>
      </c>
      <c r="H104" s="9" t="s">
        <v>11</v>
      </c>
      <c r="I104" s="9" t="s">
        <v>29</v>
      </c>
      <c r="J104" s="9" t="s">
        <v>30</v>
      </c>
      <c r="K104" s="9" t="s">
        <v>47</v>
      </c>
      <c r="L104" s="9" t="s">
        <v>46</v>
      </c>
      <c r="M104" s="9" t="s">
        <v>13</v>
      </c>
      <c r="N104" s="9" t="s">
        <v>109</v>
      </c>
      <c r="O104" s="9" t="s">
        <v>110</v>
      </c>
      <c r="P104" s="9" t="s">
        <v>111</v>
      </c>
    </row>
    <row r="105" spans="2:19" s="8" customFormat="1" ht="14" customHeight="1">
      <c r="B105" s="3" t="s">
        <v>54</v>
      </c>
      <c r="C105" s="3" t="s">
        <v>10</v>
      </c>
      <c r="D105" s="30">
        <v>-1.5903108335717608</v>
      </c>
      <c r="E105" s="30">
        <v>5.79</v>
      </c>
      <c r="F105" s="30">
        <v>5.2784807725901555</v>
      </c>
      <c r="G105" s="56"/>
      <c r="H105" s="30">
        <f>E105-F105</f>
        <v>0.51151922740984457</v>
      </c>
      <c r="I105" s="30">
        <f>ABS(H105)</f>
        <v>0.51151922740984457</v>
      </c>
      <c r="J105" s="30">
        <f>H105^2</f>
        <v>0.26165192000996429</v>
      </c>
      <c r="K105" s="30">
        <f t="shared" ref="K105:K111" si="10">E105-(AVERAGE($E$105:$E$111))</f>
        <v>2.4614285714285717</v>
      </c>
      <c r="L105" s="30">
        <f>K105^2</f>
        <v>6.0586306122448992</v>
      </c>
      <c r="M105" s="30">
        <f>I105/E105</f>
        <v>8.8345289708090594E-2</v>
      </c>
      <c r="N105" s="51">
        <f>F105-AVERAGE($F$105:$F$111)</f>
        <v>2.0640821942311685</v>
      </c>
      <c r="O105" s="30">
        <f>N105^2</f>
        <v>4.2604353045421552</v>
      </c>
      <c r="P105" s="30">
        <f>K105*N105</f>
        <v>5.0805908866575766</v>
      </c>
      <c r="Q105" s="51"/>
      <c r="R105" s="51"/>
      <c r="S105" s="51"/>
    </row>
    <row r="106" spans="2:19" s="8" customFormat="1" ht="14" customHeight="1">
      <c r="B106" s="3" t="s">
        <v>55</v>
      </c>
      <c r="C106" s="3" t="s">
        <v>10</v>
      </c>
      <c r="D106" s="30">
        <v>-0.16219149209452141</v>
      </c>
      <c r="E106" s="30">
        <v>3.48</v>
      </c>
      <c r="F106" s="30">
        <v>3.4685619594872916</v>
      </c>
      <c r="G106" s="56"/>
      <c r="H106" s="30">
        <f>E106-F106</f>
        <v>1.1438040512708358E-2</v>
      </c>
      <c r="I106" s="30">
        <f t="shared" ref="I106:I111" si="11">ABS(H106)</f>
        <v>1.1438040512708358E-2</v>
      </c>
      <c r="J106" s="30">
        <f t="shared" ref="J106:J111" si="12">H106^2</f>
        <v>1.3082877077035768E-4</v>
      </c>
      <c r="K106" s="30">
        <f t="shared" si="10"/>
        <v>0.15142857142857169</v>
      </c>
      <c r="L106" s="30">
        <f t="shared" ref="L106:L111" si="13">K106^2</f>
        <v>2.2930612244898039E-2</v>
      </c>
      <c r="M106" s="30">
        <f t="shared" ref="M106:M111" si="14">I106/E106</f>
        <v>3.2867932507782641E-3</v>
      </c>
      <c r="N106" s="51">
        <f t="shared" ref="N106:N111" si="15">F106-AVERAGE($F$105:$F$111)</f>
        <v>0.25416338112830461</v>
      </c>
      <c r="O106" s="30">
        <f t="shared" ref="O106:O111" si="16">N106^2</f>
        <v>6.4599024306571828E-2</v>
      </c>
      <c r="P106" s="30">
        <f t="shared" ref="P106:P111" si="17">K106*N106</f>
        <v>3.8487597713714766E-2</v>
      </c>
      <c r="Q106" s="51"/>
      <c r="S106" s="51"/>
    </row>
    <row r="107" spans="2:19" s="8" customFormat="1" ht="14" customHeight="1">
      <c r="B107" s="3" t="s">
        <v>39</v>
      </c>
      <c r="C107" s="3" t="s">
        <v>10</v>
      </c>
      <c r="D107" s="30">
        <v>7.4877513375440782E-2</v>
      </c>
      <c r="E107" s="30">
        <v>3.12</v>
      </c>
      <c r="F107" s="30">
        <v>3.1560768479733303</v>
      </c>
      <c r="G107" s="56"/>
      <c r="H107" s="30">
        <f>E107-F107</f>
        <v>-3.6076847973330217E-2</v>
      </c>
      <c r="I107" s="30">
        <f t="shared" si="11"/>
        <v>3.6076847973330217E-2</v>
      </c>
      <c r="J107" s="30">
        <f t="shared" si="12"/>
        <v>1.3015389596907807E-3</v>
      </c>
      <c r="K107" s="30">
        <f t="shared" si="10"/>
        <v>-0.20857142857142819</v>
      </c>
      <c r="L107" s="30">
        <f t="shared" si="13"/>
        <v>4.3502040816326366E-2</v>
      </c>
      <c r="M107" s="30">
        <f t="shared" si="14"/>
        <v>1.15630922991443E-2</v>
      </c>
      <c r="N107" s="51">
        <f t="shared" si="15"/>
        <v>-5.8321730385656689E-2</v>
      </c>
      <c r="O107" s="30">
        <f t="shared" si="16"/>
        <v>3.4014242351772307E-3</v>
      </c>
      <c r="P107" s="30">
        <f t="shared" si="17"/>
        <v>1.2164246623294087E-2</v>
      </c>
    </row>
    <row r="108" spans="2:19" s="8" customFormat="1" ht="14" customHeight="1">
      <c r="B108" s="3" t="s">
        <v>53</v>
      </c>
      <c r="C108" s="3" t="s">
        <v>10</v>
      </c>
      <c r="D108" s="30">
        <v>0.13445215607314082</v>
      </c>
      <c r="E108" s="30">
        <v>3.55</v>
      </c>
      <c r="F108" s="30">
        <v>3.0775503918054707</v>
      </c>
      <c r="G108" s="56"/>
      <c r="H108" s="30">
        <f>E108-F108</f>
        <v>0.47244960819452908</v>
      </c>
      <c r="I108" s="30">
        <f t="shared" si="11"/>
        <v>0.47244960819452908</v>
      </c>
      <c r="J108" s="30">
        <f t="shared" si="12"/>
        <v>0.22320863228316404</v>
      </c>
      <c r="K108" s="30">
        <f t="shared" si="10"/>
        <v>0.22142857142857153</v>
      </c>
      <c r="L108" s="30">
        <f t="shared" si="13"/>
        <v>4.9030612244898006E-2</v>
      </c>
      <c r="M108" s="30">
        <f t="shared" si="14"/>
        <v>0.13308439667451524</v>
      </c>
      <c r="N108" s="51">
        <f t="shared" si="15"/>
        <v>-0.13684818655351627</v>
      </c>
      <c r="O108" s="30">
        <f t="shared" si="16"/>
        <v>1.8727426162985991E-2</v>
      </c>
      <c r="P108" s="30">
        <f t="shared" si="17"/>
        <v>-3.030209845113576E-2</v>
      </c>
      <c r="Q108" s="51"/>
    </row>
    <row r="109" spans="2:19" s="8" customFormat="1" ht="14" customHeight="1">
      <c r="B109" s="3" t="s">
        <v>38</v>
      </c>
      <c r="C109" s="3" t="s">
        <v>10</v>
      </c>
      <c r="D109" s="30">
        <v>0.3947116055358188</v>
      </c>
      <c r="E109" s="30">
        <v>2.4</v>
      </c>
      <c r="F109" s="30">
        <v>2.7344975202304407</v>
      </c>
      <c r="G109" s="56"/>
      <c r="H109" s="30">
        <f>E109-F109</f>
        <v>-0.33449752023044077</v>
      </c>
      <c r="I109" s="30">
        <f t="shared" si="11"/>
        <v>0.33449752023044077</v>
      </c>
      <c r="J109" s="30">
        <f t="shared" si="12"/>
        <v>0.11188859104031414</v>
      </c>
      <c r="K109" s="30">
        <f t="shared" si="10"/>
        <v>-0.92857142857142838</v>
      </c>
      <c r="L109" s="30">
        <f t="shared" si="13"/>
        <v>0.86224489795918335</v>
      </c>
      <c r="M109" s="30">
        <f t="shared" si="14"/>
        <v>0.13937396676268365</v>
      </c>
      <c r="N109" s="51">
        <f t="shared" si="15"/>
        <v>-0.47990105812854633</v>
      </c>
      <c r="O109" s="30">
        <f t="shared" si="16"/>
        <v>0.23030502559289839</v>
      </c>
      <c r="P109" s="30">
        <f t="shared" si="17"/>
        <v>0.44562241111936435</v>
      </c>
      <c r="Q109" s="50"/>
      <c r="R109" s="51"/>
    </row>
    <row r="110" spans="2:19" s="8" customFormat="1" ht="14" customHeight="1">
      <c r="B110" s="3" t="s">
        <v>50</v>
      </c>
      <c r="C110" s="3" t="s">
        <v>10</v>
      </c>
      <c r="D110" s="30">
        <v>0.78355569305951178</v>
      </c>
      <c r="E110" s="30">
        <v>2.42</v>
      </c>
      <c r="F110" s="30">
        <v>2.0809334139702731</v>
      </c>
      <c r="G110" s="56"/>
      <c r="H110" s="30">
        <f t="shared" ref="H110:H111" si="18">E110-F110</f>
        <v>0.33906658602972684</v>
      </c>
      <c r="I110" s="30">
        <f t="shared" si="11"/>
        <v>0.33906658602972684</v>
      </c>
      <c r="J110" s="30">
        <f t="shared" si="12"/>
        <v>0.11496614976185415</v>
      </c>
      <c r="K110" s="30">
        <f t="shared" si="10"/>
        <v>-0.90857142857142836</v>
      </c>
      <c r="L110" s="30">
        <f t="shared" si="13"/>
        <v>0.82550204081632617</v>
      </c>
      <c r="M110" s="30">
        <f t="shared" si="14"/>
        <v>0.14011015951641606</v>
      </c>
      <c r="N110" s="51">
        <f t="shared" si="15"/>
        <v>-1.1334651643887139</v>
      </c>
      <c r="O110" s="30">
        <f t="shared" si="16"/>
        <v>1.2847432788827342</v>
      </c>
      <c r="P110" s="30">
        <f t="shared" si="17"/>
        <v>1.0298340636446026</v>
      </c>
      <c r="R110" s="51"/>
    </row>
    <row r="111" spans="2:19" s="8" customFormat="1" ht="14" customHeight="1">
      <c r="B111" s="3" t="s">
        <v>49</v>
      </c>
      <c r="C111" s="3" t="s">
        <v>10</v>
      </c>
      <c r="D111" s="30">
        <v>2.3898608980392648</v>
      </c>
      <c r="E111" s="30">
        <v>2.54</v>
      </c>
      <c r="F111" s="30">
        <v>2.7046891424559441</v>
      </c>
      <c r="G111" s="30">
        <v>0.44427398362329029</v>
      </c>
      <c r="H111" s="30">
        <f t="shared" si="18"/>
        <v>-0.16468914245594402</v>
      </c>
      <c r="I111" s="30">
        <f t="shared" si="11"/>
        <v>0.16468914245594402</v>
      </c>
      <c r="J111" s="30">
        <f t="shared" si="12"/>
        <v>2.712251364287422E-2</v>
      </c>
      <c r="K111" s="30">
        <f t="shared" si="10"/>
        <v>-0.78857142857142826</v>
      </c>
      <c r="L111" s="30">
        <f t="shared" si="13"/>
        <v>0.62184489795918318</v>
      </c>
      <c r="M111" s="30">
        <f t="shared" si="14"/>
        <v>6.483824506139528E-2</v>
      </c>
      <c r="N111" s="51">
        <f t="shared" si="15"/>
        <v>-0.50970943590304296</v>
      </c>
      <c r="O111" s="30">
        <f t="shared" si="16"/>
        <v>0.25980370904859829</v>
      </c>
      <c r="P111" s="30">
        <f t="shared" si="17"/>
        <v>0.40194229802639941</v>
      </c>
      <c r="R111" s="51"/>
    </row>
    <row r="112" spans="2:19" s="8" customFormat="1" ht="14" customHeight="1">
      <c r="B112" s="3"/>
      <c r="C112" s="3"/>
      <c r="D112" s="30"/>
      <c r="E112" s="30"/>
      <c r="F112" s="30"/>
      <c r="G112" s="30"/>
      <c r="H112" s="30"/>
      <c r="I112" s="30"/>
      <c r="J112" s="30"/>
      <c r="K112" s="55"/>
      <c r="L112" s="30"/>
      <c r="M112" s="30"/>
      <c r="N112" s="30"/>
      <c r="O112" s="30"/>
      <c r="P112" s="11"/>
      <c r="R112" s="51"/>
    </row>
    <row r="113" spans="2:18" s="8" customFormat="1" ht="14" customHeight="1">
      <c r="B113" s="3"/>
      <c r="C113" s="3"/>
      <c r="D113" s="30"/>
      <c r="E113" s="86" t="s">
        <v>113</v>
      </c>
      <c r="F113" s="89">
        <f>CORREL(E105:E111,F105:F111)</f>
        <v>0.96830595162326794</v>
      </c>
      <c r="G113" s="85" t="s">
        <v>104</v>
      </c>
      <c r="H113" s="90">
        <f>SQRT(SUM(J105:J111)/7)</f>
        <v>0.32519668212782771</v>
      </c>
      <c r="I113" s="30"/>
      <c r="J113" s="30"/>
      <c r="K113" s="30"/>
      <c r="L113" s="30"/>
      <c r="M113" s="30"/>
      <c r="O113" s="55"/>
      <c r="P113" s="11"/>
      <c r="R113" s="51"/>
    </row>
    <row r="114" spans="2:18" s="8" customFormat="1" ht="14" customHeight="1">
      <c r="B114" s="3"/>
      <c r="C114" s="3"/>
      <c r="D114" s="30"/>
      <c r="E114" s="86" t="s">
        <v>114</v>
      </c>
      <c r="F114" s="89">
        <f>F113^2</f>
        <v>0.93761641594904255</v>
      </c>
      <c r="G114" s="86" t="s">
        <v>105</v>
      </c>
      <c r="H114" s="90">
        <f>(SUM(M105:M111)/7)*100</f>
        <v>8.2943134753289058</v>
      </c>
      <c r="I114" s="30"/>
      <c r="J114" s="30"/>
      <c r="K114" s="30"/>
      <c r="L114" s="30"/>
      <c r="M114" s="30"/>
      <c r="O114" s="55"/>
      <c r="P114" s="11"/>
      <c r="R114" s="51"/>
    </row>
    <row r="115" spans="2:18" s="8" customFormat="1" ht="14" customHeight="1">
      <c r="B115" s="3"/>
      <c r="C115" s="3"/>
      <c r="D115" s="30"/>
      <c r="E115" s="86" t="s">
        <v>115</v>
      </c>
      <c r="F115" s="90">
        <v>0.91274191437548335</v>
      </c>
      <c r="G115" s="86" t="s">
        <v>106</v>
      </c>
      <c r="H115" s="90">
        <f>SUM(I105:I111)/7</f>
        <v>0.26710528182950338</v>
      </c>
      <c r="I115" s="30"/>
      <c r="J115" s="30"/>
      <c r="K115" s="30"/>
      <c r="L115" s="30"/>
      <c r="M115" s="30"/>
      <c r="O115" s="55"/>
      <c r="P115" s="11"/>
      <c r="R115" s="51"/>
    </row>
    <row r="116" spans="2:18" s="8" customFormat="1" ht="14" customHeight="1">
      <c r="B116" s="3"/>
      <c r="C116" s="3"/>
      <c r="D116" s="30"/>
      <c r="E116" s="86" t="s">
        <v>112</v>
      </c>
      <c r="F116" s="90">
        <f>(2*SUM(P105:P111))/(SUM(L105:L111)+SUM(O105:O111)+7*((AVERAGE(E105:E111)-AVERAGE(F105:F111))^2))</f>
        <v>0.94963103054808851</v>
      </c>
      <c r="G116" s="86"/>
      <c r="H116" s="90"/>
      <c r="I116" s="30"/>
      <c r="J116" s="30"/>
      <c r="K116" s="30"/>
      <c r="L116" s="30"/>
      <c r="M116" s="30"/>
      <c r="O116" s="55"/>
      <c r="P116" s="11"/>
      <c r="R116" s="51"/>
    </row>
    <row r="117" spans="2:18" s="56" customFormat="1" ht="14" customHeight="1" thickBot="1">
      <c r="H117" s="57"/>
      <c r="I117" s="11"/>
      <c r="N117" s="4"/>
    </row>
    <row r="118" spans="2:18" s="27" customFormat="1" ht="24" customHeight="1" thickBot="1">
      <c r="B118" s="115" t="s">
        <v>79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7"/>
    </row>
    <row r="119" spans="2:18" s="33" customFormat="1" ht="14" customHeight="1">
      <c r="K119" s="7"/>
      <c r="L119" s="58"/>
    </row>
    <row r="120" spans="2:18" s="60" customFormat="1" ht="30">
      <c r="B120" s="4" t="s">
        <v>7</v>
      </c>
      <c r="C120" s="9" t="s">
        <v>0</v>
      </c>
      <c r="D120" s="4" t="s">
        <v>90</v>
      </c>
      <c r="E120" s="4" t="s">
        <v>101</v>
      </c>
      <c r="F120" s="59" t="s">
        <v>14</v>
      </c>
      <c r="G120" s="59" t="s">
        <v>56</v>
      </c>
      <c r="I120" s="83"/>
      <c r="J120" s="83"/>
      <c r="K120" s="51"/>
      <c r="L120" s="83"/>
    </row>
    <row r="121" spans="2:18" s="60" customFormat="1" ht="14" customHeight="1">
      <c r="B121" s="3" t="s">
        <v>51</v>
      </c>
      <c r="C121" s="30" t="s">
        <v>9</v>
      </c>
      <c r="D121" s="51">
        <v>2.06</v>
      </c>
      <c r="E121" s="35">
        <v>2.7620230949682432</v>
      </c>
      <c r="F121" s="81">
        <f t="shared" ref="F121:F136" si="19">D121-E121</f>
        <v>-0.70202309496824311</v>
      </c>
      <c r="G121" s="82">
        <f t="shared" ref="G121:G136" si="20">POWER(F121,2)</f>
        <v>0.49283642586879089</v>
      </c>
    </row>
    <row r="122" spans="2:18" s="60" customFormat="1" ht="14" customHeight="1">
      <c r="B122" s="3" t="s">
        <v>36</v>
      </c>
      <c r="C122" s="30" t="s">
        <v>9</v>
      </c>
      <c r="D122" s="51">
        <v>2.14</v>
      </c>
      <c r="E122" s="35">
        <v>2.2202350847793282</v>
      </c>
      <c r="F122" s="81">
        <f t="shared" si="19"/>
        <v>-8.0235084779328059E-2</v>
      </c>
      <c r="G122" s="82">
        <f t="shared" si="20"/>
        <v>6.4376688295459611E-3</v>
      </c>
    </row>
    <row r="123" spans="2:18" s="60" customFormat="1" ht="14" customHeight="1">
      <c r="B123" s="3" t="s">
        <v>38</v>
      </c>
      <c r="C123" s="30" t="s">
        <v>10</v>
      </c>
      <c r="D123" s="51">
        <v>2.4</v>
      </c>
      <c r="E123" s="35">
        <v>2.734497520230442</v>
      </c>
      <c r="F123" s="81">
        <f t="shared" si="19"/>
        <v>-0.3344975202304421</v>
      </c>
      <c r="G123" s="82">
        <f t="shared" si="20"/>
        <v>0.11188859104031502</v>
      </c>
    </row>
    <row r="124" spans="2:18" s="60" customFormat="1" ht="14" customHeight="1">
      <c r="B124" s="3" t="s">
        <v>50</v>
      </c>
      <c r="C124" s="30" t="s">
        <v>10</v>
      </c>
      <c r="D124" s="51">
        <v>2.42</v>
      </c>
      <c r="E124" s="35">
        <v>2.0809334139702731</v>
      </c>
      <c r="F124" s="81">
        <f t="shared" si="19"/>
        <v>0.33906658602972684</v>
      </c>
      <c r="G124" s="82">
        <f t="shared" si="20"/>
        <v>0.11496614976185415</v>
      </c>
    </row>
    <row r="125" spans="2:18" s="60" customFormat="1" ht="14" customHeight="1">
      <c r="B125" s="3" t="s">
        <v>37</v>
      </c>
      <c r="C125" s="30" t="s">
        <v>9</v>
      </c>
      <c r="D125" s="51">
        <v>2.5299999999999998</v>
      </c>
      <c r="E125" s="35">
        <v>2.2946552258001534</v>
      </c>
      <c r="F125" s="81">
        <f t="shared" si="19"/>
        <v>0.23534477419984645</v>
      </c>
      <c r="G125" s="82">
        <f t="shared" si="20"/>
        <v>5.5387162743176711E-2</v>
      </c>
    </row>
    <row r="126" spans="2:18" s="60" customFormat="1" ht="14" customHeight="1">
      <c r="B126" s="3" t="s">
        <v>49</v>
      </c>
      <c r="C126" s="30" t="s">
        <v>10</v>
      </c>
      <c r="D126" s="51">
        <v>2.54</v>
      </c>
      <c r="E126" s="35">
        <v>2.7046891424559445</v>
      </c>
      <c r="F126" s="81">
        <f t="shared" si="19"/>
        <v>-0.16468914245594446</v>
      </c>
      <c r="G126" s="82">
        <f t="shared" si="20"/>
        <v>2.7122513642874369E-2</v>
      </c>
    </row>
    <row r="127" spans="2:18" s="60" customFormat="1" ht="14" customHeight="1">
      <c r="B127" s="3" t="s">
        <v>48</v>
      </c>
      <c r="C127" s="30" t="s">
        <v>9</v>
      </c>
      <c r="D127" s="51">
        <v>2.58</v>
      </c>
      <c r="E127" s="35">
        <v>2.93678204628316</v>
      </c>
      <c r="F127" s="81">
        <f t="shared" si="19"/>
        <v>-0.3567820462831599</v>
      </c>
      <c r="G127" s="82">
        <f t="shared" si="20"/>
        <v>0.12729342854999887</v>
      </c>
    </row>
    <row r="128" spans="2:18" s="60" customFormat="1" ht="14" customHeight="1">
      <c r="B128" s="3" t="s">
        <v>52</v>
      </c>
      <c r="C128" s="30" t="s">
        <v>9</v>
      </c>
      <c r="D128" s="51">
        <v>2.83</v>
      </c>
      <c r="E128" s="35">
        <v>2.2288633579754711</v>
      </c>
      <c r="F128" s="81">
        <f t="shared" si="19"/>
        <v>0.60113664202452899</v>
      </c>
      <c r="G128" s="82">
        <f t="shared" si="20"/>
        <v>0.36136526238452671</v>
      </c>
    </row>
    <row r="129" spans="2:8" s="60" customFormat="1" ht="14" customHeight="1">
      <c r="B129" s="3" t="s">
        <v>39</v>
      </c>
      <c r="C129" s="30" t="s">
        <v>10</v>
      </c>
      <c r="D129" s="51">
        <v>3.12</v>
      </c>
      <c r="E129" s="35">
        <v>3.1560768479733317</v>
      </c>
      <c r="F129" s="81">
        <f t="shared" si="19"/>
        <v>-3.6076847973331549E-2</v>
      </c>
      <c r="G129" s="82">
        <f t="shared" si="20"/>
        <v>1.3015389596908768E-3</v>
      </c>
    </row>
    <row r="130" spans="2:8" s="60" customFormat="1" ht="14" customHeight="1">
      <c r="B130" s="3" t="s">
        <v>55</v>
      </c>
      <c r="C130" s="30" t="s">
        <v>10</v>
      </c>
      <c r="D130" s="51">
        <v>3.48</v>
      </c>
      <c r="E130" s="35">
        <v>3.4685619594872921</v>
      </c>
      <c r="F130" s="81">
        <f t="shared" si="19"/>
        <v>1.1438040512707914E-2</v>
      </c>
      <c r="G130" s="82">
        <f t="shared" si="20"/>
        <v>1.3082877077034752E-4</v>
      </c>
    </row>
    <row r="131" spans="2:8" s="60" customFormat="1" ht="14" customHeight="1">
      <c r="B131" s="3" t="s">
        <v>53</v>
      </c>
      <c r="C131" s="30" t="s">
        <v>10</v>
      </c>
      <c r="D131" s="51">
        <v>3.55</v>
      </c>
      <c r="E131" s="35">
        <v>3.0775503918054703</v>
      </c>
      <c r="F131" s="81">
        <f t="shared" si="19"/>
        <v>0.47244960819452952</v>
      </c>
      <c r="G131" s="82">
        <f t="shared" si="20"/>
        <v>0.22320863228316445</v>
      </c>
    </row>
    <row r="132" spans="2:8" s="60" customFormat="1" ht="14" customHeight="1">
      <c r="B132" s="3" t="s">
        <v>2</v>
      </c>
      <c r="C132" s="30" t="s">
        <v>9</v>
      </c>
      <c r="D132" s="51">
        <v>3.79</v>
      </c>
      <c r="E132" s="35">
        <v>4.3860466839656418</v>
      </c>
      <c r="F132" s="81">
        <f t="shared" si="19"/>
        <v>-0.59604668396564175</v>
      </c>
      <c r="G132" s="82">
        <f t="shared" si="20"/>
        <v>0.35527164946643763</v>
      </c>
    </row>
    <row r="133" spans="2:8" s="60" customFormat="1" ht="14" customHeight="1">
      <c r="B133" s="3" t="s">
        <v>5</v>
      </c>
      <c r="C133" s="30" t="s">
        <v>9</v>
      </c>
      <c r="D133" s="51">
        <v>4.24</v>
      </c>
      <c r="E133" s="35">
        <v>3.6669164414896103</v>
      </c>
      <c r="F133" s="81">
        <f t="shared" si="19"/>
        <v>0.57308355851038995</v>
      </c>
      <c r="G133" s="82">
        <f t="shared" si="20"/>
        <v>0.32842476503493151</v>
      </c>
    </row>
    <row r="134" spans="2:8" s="60" customFormat="1" ht="14" customHeight="1">
      <c r="B134" s="3" t="s">
        <v>40</v>
      </c>
      <c r="C134" s="30" t="s">
        <v>9</v>
      </c>
      <c r="D134" s="51">
        <v>4.96</v>
      </c>
      <c r="E134" s="35">
        <v>5.0023997842766947</v>
      </c>
      <c r="F134" s="81">
        <f t="shared" si="19"/>
        <v>-4.2399784276694774E-2</v>
      </c>
      <c r="G134" s="82">
        <f t="shared" si="20"/>
        <v>1.7977417067102533E-3</v>
      </c>
    </row>
    <row r="135" spans="2:8" s="60" customFormat="1" ht="14" customHeight="1">
      <c r="B135" s="3" t="s">
        <v>54</v>
      </c>
      <c r="C135" s="30" t="s">
        <v>10</v>
      </c>
      <c r="D135" s="51">
        <v>5.79</v>
      </c>
      <c r="E135" s="35">
        <v>5.2784807725901555</v>
      </c>
      <c r="F135" s="81">
        <f t="shared" si="19"/>
        <v>0.51151922740984457</v>
      </c>
      <c r="G135" s="82">
        <f t="shared" si="20"/>
        <v>0.26165192000996429</v>
      </c>
    </row>
    <row r="136" spans="2:8" s="60" customFormat="1" ht="14" customHeight="1">
      <c r="B136" s="3" t="s">
        <v>4</v>
      </c>
      <c r="C136" s="30" t="s">
        <v>9</v>
      </c>
      <c r="D136" s="51">
        <v>5.8</v>
      </c>
      <c r="E136" s="35">
        <v>5.7297067126690386</v>
      </c>
      <c r="F136" s="81">
        <f t="shared" si="19"/>
        <v>7.0293287330961185E-2</v>
      </c>
      <c r="G136" s="82">
        <f t="shared" si="20"/>
        <v>4.9411462437930686E-3</v>
      </c>
    </row>
    <row r="137" spans="2:8" s="63" customFormat="1" ht="15">
      <c r="B137" s="60"/>
      <c r="C137" s="60"/>
      <c r="D137" s="36"/>
      <c r="E137" s="2"/>
      <c r="F137" s="31"/>
      <c r="G137" s="32"/>
      <c r="H137" s="60"/>
    </row>
    <row r="138" spans="2:8" s="26" customFormat="1" ht="17">
      <c r="B138" s="39" t="s">
        <v>25</v>
      </c>
      <c r="C138" s="27" t="s">
        <v>57</v>
      </c>
      <c r="D138" s="39" t="s">
        <v>58</v>
      </c>
      <c r="E138" s="38"/>
      <c r="F138" s="39"/>
      <c r="G138" s="39"/>
      <c r="H138" s="39"/>
    </row>
    <row r="139" spans="2:8" s="5" customFormat="1" ht="17">
      <c r="B139" s="39" t="s">
        <v>26</v>
      </c>
      <c r="C139" s="27" t="s">
        <v>57</v>
      </c>
      <c r="D139" s="39" t="s">
        <v>59</v>
      </c>
    </row>
    <row r="140" spans="2:8" s="48" customFormat="1">
      <c r="B140" s="33"/>
      <c r="C140" s="33"/>
      <c r="D140" s="39"/>
      <c r="E140" s="38"/>
      <c r="F140" s="64"/>
      <c r="G140" s="33"/>
      <c r="H140" s="33"/>
    </row>
    <row r="141" spans="2:8" s="48" customFormat="1" ht="15">
      <c r="B141" s="65" t="s">
        <v>60</v>
      </c>
      <c r="C141" s="66">
        <f>SUM(F121:F136)</f>
        <v>0.5015815192797497</v>
      </c>
      <c r="D141" s="33"/>
      <c r="E141" s="66"/>
      <c r="F141" s="33"/>
      <c r="G141" s="33"/>
      <c r="H141" s="33"/>
    </row>
    <row r="142" spans="2:8" s="48" customFormat="1" ht="15">
      <c r="B142" s="65" t="s">
        <v>61</v>
      </c>
      <c r="C142" s="66">
        <f>POWER(C141,2)</f>
        <v>0.2515840204829819</v>
      </c>
      <c r="D142" s="33"/>
      <c r="E142" s="66"/>
      <c r="F142" s="33"/>
      <c r="G142" s="33"/>
      <c r="H142" s="33"/>
    </row>
    <row r="143" spans="2:8" s="48" customFormat="1" ht="15">
      <c r="B143" s="65" t="s">
        <v>62</v>
      </c>
      <c r="C143" s="66">
        <f>SUM(G121:G136)</f>
        <v>2.4740254252965448</v>
      </c>
      <c r="D143" s="33"/>
      <c r="E143" s="66"/>
      <c r="F143" s="33"/>
      <c r="G143" s="33"/>
      <c r="H143" s="33"/>
    </row>
    <row r="144" spans="2:8" s="48" customFormat="1">
      <c r="B144" s="37" t="s">
        <v>15</v>
      </c>
      <c r="C144" s="33">
        <v>16</v>
      </c>
      <c r="D144" s="33"/>
      <c r="E144" s="66"/>
      <c r="F144" s="33"/>
      <c r="G144" s="33"/>
      <c r="H144" s="33"/>
    </row>
    <row r="145" spans="2:12" s="48" customFormat="1" ht="15">
      <c r="B145" s="65" t="s">
        <v>63</v>
      </c>
      <c r="C145" s="66">
        <f>C141/C144</f>
        <v>3.1348844954984356E-2</v>
      </c>
      <c r="D145" s="33"/>
      <c r="E145" s="66"/>
      <c r="F145" s="33"/>
      <c r="G145" s="33"/>
      <c r="H145" s="33"/>
    </row>
    <row r="146" spans="2:12" s="48" customFormat="1" ht="15">
      <c r="B146" s="65" t="s">
        <v>93</v>
      </c>
      <c r="C146" s="66">
        <f>C143-(C142/16)</f>
        <v>2.4583014240163585</v>
      </c>
      <c r="E146" s="66"/>
      <c r="F146" s="33"/>
      <c r="G146" s="33"/>
      <c r="H146" s="33"/>
    </row>
    <row r="147" spans="2:12" s="48" customFormat="1">
      <c r="B147" s="37" t="s">
        <v>18</v>
      </c>
      <c r="C147" s="66">
        <f>C146/15</f>
        <v>0.16388676160109056</v>
      </c>
      <c r="D147" s="33"/>
      <c r="E147" s="66"/>
      <c r="F147" s="33"/>
      <c r="G147" s="33"/>
      <c r="H147" s="33"/>
    </row>
    <row r="148" spans="2:12" s="48" customFormat="1">
      <c r="B148" s="37" t="s">
        <v>19</v>
      </c>
      <c r="C148" s="66">
        <f>SQRT(C147)</f>
        <v>0.40482929933626416</v>
      </c>
      <c r="E148" s="67"/>
    </row>
    <row r="149" spans="2:12" s="48" customFormat="1">
      <c r="B149" s="37" t="s">
        <v>21</v>
      </c>
      <c r="C149" s="66">
        <f>C148/SQRT(C144)</f>
        <v>0.10120732483406604</v>
      </c>
      <c r="E149" s="67"/>
    </row>
    <row r="150" spans="2:12" s="48" customFormat="1">
      <c r="B150" s="91" t="s">
        <v>20</v>
      </c>
      <c r="C150" s="92">
        <f>C145/C149</f>
        <v>0.30974877565810771</v>
      </c>
      <c r="E150" s="67"/>
    </row>
    <row r="151" spans="2:12" s="48" customFormat="1" ht="17">
      <c r="B151" s="93" t="s">
        <v>108</v>
      </c>
      <c r="C151" s="92">
        <v>2.1315</v>
      </c>
      <c r="E151" s="67"/>
    </row>
    <row r="152" spans="2:12" s="48" customFormat="1">
      <c r="B152" s="91" t="s">
        <v>22</v>
      </c>
      <c r="C152" s="94">
        <v>0.76145399999999996</v>
      </c>
      <c r="D152" s="33"/>
      <c r="E152" s="66"/>
      <c r="F152" s="33"/>
      <c r="G152" s="33"/>
      <c r="H152" s="33"/>
    </row>
    <row r="153" spans="2:12" s="48" customFormat="1" ht="14" thickBot="1">
      <c r="B153" s="33"/>
      <c r="C153" s="33"/>
      <c r="D153" s="33"/>
      <c r="E153" s="66"/>
      <c r="F153" s="33"/>
      <c r="G153" s="33"/>
      <c r="H153" s="33"/>
    </row>
    <row r="154" spans="2:12" s="6" customFormat="1" ht="15" customHeight="1">
      <c r="B154" s="118" t="s">
        <v>120</v>
      </c>
      <c r="C154" s="119"/>
      <c r="D154" s="119"/>
      <c r="E154" s="119"/>
      <c r="F154" s="119"/>
      <c r="G154" s="119"/>
      <c r="H154" s="119"/>
      <c r="I154" s="119"/>
      <c r="J154" s="119"/>
      <c r="K154" s="120"/>
    </row>
    <row r="155" spans="2:12" s="6" customFormat="1" ht="32" customHeight="1" thickBot="1">
      <c r="B155" s="121"/>
      <c r="C155" s="122"/>
      <c r="D155" s="122"/>
      <c r="E155" s="122"/>
      <c r="F155" s="122"/>
      <c r="G155" s="122"/>
      <c r="H155" s="122"/>
      <c r="I155" s="122"/>
      <c r="J155" s="122"/>
      <c r="K155" s="123"/>
    </row>
    <row r="156" spans="2:12" s="6" customFormat="1" ht="15">
      <c r="B156" s="69"/>
      <c r="C156" s="70"/>
      <c r="D156" s="70"/>
      <c r="E156" s="70"/>
      <c r="F156" s="70"/>
      <c r="G156" s="70"/>
      <c r="H156" s="70"/>
      <c r="I156" s="70"/>
      <c r="J156" s="70"/>
      <c r="K156" s="70"/>
      <c r="L156" s="70"/>
    </row>
    <row r="157" spans="2:12" s="6" customFormat="1" ht="15">
      <c r="B157" s="71" t="s">
        <v>16</v>
      </c>
      <c r="C157" s="72"/>
      <c r="D157" s="72"/>
      <c r="E157" s="72"/>
      <c r="F157" s="72"/>
      <c r="G157" s="72"/>
      <c r="I157" s="69"/>
      <c r="J157" s="69"/>
      <c r="K157" s="69"/>
      <c r="L157" s="73"/>
    </row>
    <row r="158" spans="2:12" s="6" customFormat="1" ht="15">
      <c r="B158" s="74" t="s">
        <v>14</v>
      </c>
      <c r="C158" s="75" t="s">
        <v>94</v>
      </c>
      <c r="D158" s="75"/>
      <c r="E158" s="75"/>
      <c r="F158" s="75"/>
      <c r="G158" s="75"/>
      <c r="I158" s="69"/>
      <c r="J158" s="69"/>
      <c r="K158" s="69"/>
      <c r="L158" s="73"/>
    </row>
    <row r="159" spans="2:12" s="6" customFormat="1" ht="15">
      <c r="B159" s="74" t="s">
        <v>66</v>
      </c>
      <c r="C159" s="75" t="s">
        <v>95</v>
      </c>
      <c r="D159" s="75"/>
      <c r="E159" s="75"/>
      <c r="F159" s="75"/>
      <c r="G159" s="75"/>
      <c r="I159" s="69"/>
      <c r="J159" s="69"/>
      <c r="K159" s="69"/>
      <c r="L159" s="73"/>
    </row>
    <row r="160" spans="2:12" s="6" customFormat="1" ht="15">
      <c r="B160" s="76" t="s">
        <v>68</v>
      </c>
      <c r="C160" s="75" t="s">
        <v>96</v>
      </c>
      <c r="D160" s="75"/>
      <c r="E160" s="75"/>
      <c r="F160" s="75"/>
      <c r="G160" s="75"/>
      <c r="I160" s="69"/>
      <c r="J160" s="69"/>
      <c r="K160" s="69"/>
      <c r="L160" s="73"/>
    </row>
    <row r="161" spans="2:13" s="6" customFormat="1" ht="15">
      <c r="B161" s="74" t="s">
        <v>15</v>
      </c>
      <c r="C161" s="75" t="s">
        <v>17</v>
      </c>
      <c r="D161" s="75"/>
      <c r="E161" s="75"/>
      <c r="F161" s="75"/>
      <c r="G161" s="75"/>
      <c r="I161" s="69"/>
      <c r="J161" s="69"/>
      <c r="K161" s="69"/>
      <c r="L161" s="73"/>
    </row>
    <row r="162" spans="2:13" s="6" customFormat="1" ht="15">
      <c r="B162" s="74" t="s">
        <v>20</v>
      </c>
      <c r="C162" s="75" t="s">
        <v>23</v>
      </c>
      <c r="D162" s="75"/>
      <c r="E162" s="75"/>
      <c r="F162" s="75"/>
      <c r="G162" s="75"/>
      <c r="I162" s="69"/>
      <c r="J162" s="69"/>
      <c r="K162" s="69"/>
      <c r="L162" s="73"/>
    </row>
    <row r="163" spans="2:13" s="6" customFormat="1" ht="17">
      <c r="B163" s="68" t="s">
        <v>64</v>
      </c>
      <c r="C163" s="75" t="s">
        <v>24</v>
      </c>
      <c r="D163" s="75"/>
      <c r="E163" s="75"/>
      <c r="F163" s="75"/>
      <c r="G163" s="75"/>
      <c r="I163" s="69"/>
      <c r="J163" s="69"/>
      <c r="K163" s="69"/>
      <c r="L163" s="73"/>
    </row>
    <row r="164" spans="2:13" s="48" customFormat="1" ht="14" thickBot="1">
      <c r="B164" s="33"/>
      <c r="C164" s="33"/>
      <c r="D164" s="66"/>
      <c r="E164" s="33"/>
      <c r="F164" s="33"/>
      <c r="G164" s="33"/>
    </row>
    <row r="165" spans="2:13" s="27" customFormat="1" ht="24" customHeight="1" thickBot="1">
      <c r="B165" s="115" t="s">
        <v>118</v>
      </c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7"/>
    </row>
    <row r="167" spans="2:13" ht="30">
      <c r="B167" s="9" t="s">
        <v>7</v>
      </c>
      <c r="C167" s="13" t="s">
        <v>31</v>
      </c>
      <c r="D167" s="4" t="s">
        <v>90</v>
      </c>
      <c r="E167" s="4" t="s">
        <v>101</v>
      </c>
      <c r="F167" s="95" t="s">
        <v>116</v>
      </c>
      <c r="G167" s="9" t="s">
        <v>11</v>
      </c>
      <c r="H167" s="9" t="s">
        <v>117</v>
      </c>
      <c r="I167" s="95" t="s">
        <v>0</v>
      </c>
    </row>
    <row r="168" spans="2:13" ht="17">
      <c r="B168" s="3" t="s">
        <v>50</v>
      </c>
      <c r="C168" s="51">
        <v>0.78355569305951178</v>
      </c>
      <c r="D168" s="30">
        <v>2.42</v>
      </c>
      <c r="E168" s="35">
        <v>2.0809334139702731</v>
      </c>
      <c r="F168" s="98">
        <v>0.15753968253968301</v>
      </c>
      <c r="G168" s="35">
        <f>D168-E168</f>
        <v>0.33906658602972684</v>
      </c>
      <c r="H168" s="97">
        <f t="shared" ref="H168:H183" si="21">(G168-AVERAGE($G$168:$G$183))/(STDEV($G$168:$G$183))</f>
        <v>0.76011726814057079</v>
      </c>
      <c r="I168" s="96" t="s">
        <v>10</v>
      </c>
    </row>
    <row r="169" spans="2:13" ht="17">
      <c r="B169" s="3" t="s">
        <v>53</v>
      </c>
      <c r="C169" s="51">
        <v>0.13445215607314082</v>
      </c>
      <c r="D169" s="30">
        <v>3.55</v>
      </c>
      <c r="E169" s="35">
        <v>3.0775503918054703</v>
      </c>
      <c r="F169" s="98">
        <v>0.112400793650794</v>
      </c>
      <c r="G169" s="35">
        <f t="shared" ref="G169:G183" si="22">D169-E169</f>
        <v>0.47244960819452952</v>
      </c>
      <c r="H169" s="97">
        <f t="shared" si="21"/>
        <v>1.0895969337267577</v>
      </c>
      <c r="I169" s="96" t="s">
        <v>10</v>
      </c>
    </row>
    <row r="170" spans="2:13" ht="17">
      <c r="B170" s="3" t="s">
        <v>51</v>
      </c>
      <c r="C170" s="51">
        <v>0.66473579167907693</v>
      </c>
      <c r="D170" s="30">
        <v>2.06</v>
      </c>
      <c r="E170" s="35">
        <v>2.7620230949682432</v>
      </c>
      <c r="F170" s="98">
        <v>0.14435286935286901</v>
      </c>
      <c r="G170" s="35">
        <f t="shared" si="22"/>
        <v>-0.70202309496824311</v>
      </c>
      <c r="H170" s="97">
        <f t="shared" si="21"/>
        <v>-1.8115584547008423</v>
      </c>
      <c r="I170" s="96" t="s">
        <v>9</v>
      </c>
    </row>
    <row r="171" spans="2:13">
      <c r="B171" s="3" t="s">
        <v>5</v>
      </c>
      <c r="C171" s="51">
        <v>-0.74744833252441678</v>
      </c>
      <c r="D171" s="30">
        <v>4.24</v>
      </c>
      <c r="E171" s="35">
        <v>3.6669164414896103</v>
      </c>
      <c r="F171" s="98">
        <v>0.15403693528693499</v>
      </c>
      <c r="G171" s="35">
        <f t="shared" si="22"/>
        <v>0.57308355851038995</v>
      </c>
      <c r="H171" s="97">
        <f t="shared" si="21"/>
        <v>1.3381805972136998</v>
      </c>
      <c r="I171" s="96" t="s">
        <v>9</v>
      </c>
    </row>
    <row r="172" spans="2:13" ht="17">
      <c r="B172" s="3" t="s">
        <v>38</v>
      </c>
      <c r="C172" s="51">
        <v>0.3947116055358188</v>
      </c>
      <c r="D172" s="30">
        <v>2.4</v>
      </c>
      <c r="E172" s="35">
        <v>2.734497520230442</v>
      </c>
      <c r="F172" s="98">
        <v>0.122718253968254</v>
      </c>
      <c r="G172" s="35">
        <f t="shared" si="22"/>
        <v>-0.3344975202304421</v>
      </c>
      <c r="H172" s="97">
        <f t="shared" si="21"/>
        <v>-0.90370525499327259</v>
      </c>
      <c r="I172" s="96" t="s">
        <v>10</v>
      </c>
    </row>
    <row r="173" spans="2:13" ht="17">
      <c r="B173" s="3" t="s">
        <v>52</v>
      </c>
      <c r="C173" s="51">
        <v>0.61511153778042671</v>
      </c>
      <c r="D173" s="30">
        <v>2.83</v>
      </c>
      <c r="E173" s="35">
        <v>2.2288633579754711</v>
      </c>
      <c r="F173" s="98">
        <v>0.140445665445665</v>
      </c>
      <c r="G173" s="35">
        <f t="shared" si="22"/>
        <v>0.60113664202452899</v>
      </c>
      <c r="H173" s="97">
        <f t="shared" si="21"/>
        <v>1.4074766772161436</v>
      </c>
      <c r="I173" s="96" t="s">
        <v>9</v>
      </c>
    </row>
    <row r="174" spans="2:13" ht="17">
      <c r="B174" s="3" t="s">
        <v>40</v>
      </c>
      <c r="C174" s="51">
        <v>-1.4505177661668398</v>
      </c>
      <c r="D174" s="30">
        <v>4.96</v>
      </c>
      <c r="E174" s="35">
        <v>5.0023997842766947</v>
      </c>
      <c r="F174" s="98">
        <v>0.27155830280830301</v>
      </c>
      <c r="G174" s="35">
        <f t="shared" si="22"/>
        <v>-4.2399784276694774E-2</v>
      </c>
      <c r="H174" s="97">
        <f t="shared" si="21"/>
        <v>-0.18217216331079131</v>
      </c>
      <c r="I174" s="96" t="s">
        <v>9</v>
      </c>
    </row>
    <row r="175" spans="2:13">
      <c r="B175" s="3" t="s">
        <v>2</v>
      </c>
      <c r="C175" s="51">
        <v>-0.89006077610924783</v>
      </c>
      <c r="D175" s="30">
        <v>3.79</v>
      </c>
      <c r="E175" s="35">
        <v>4.3860466839656418</v>
      </c>
      <c r="F175" s="98">
        <v>0.171558302808303</v>
      </c>
      <c r="G175" s="35">
        <f t="shared" si="22"/>
        <v>-0.59604668396564175</v>
      </c>
      <c r="H175" s="97">
        <f t="shared" si="21"/>
        <v>-1.5497779680207666</v>
      </c>
      <c r="I175" s="96" t="s">
        <v>9</v>
      </c>
    </row>
    <row r="176" spans="2:13" ht="17">
      <c r="B176" s="3" t="s">
        <v>39</v>
      </c>
      <c r="C176" s="51">
        <v>7.4877513375440782E-2</v>
      </c>
      <c r="D176" s="30">
        <v>3.12</v>
      </c>
      <c r="E176" s="35">
        <v>3.1560768479733317</v>
      </c>
      <c r="F176" s="98">
        <v>0.11148504273504301</v>
      </c>
      <c r="G176" s="35">
        <f t="shared" si="22"/>
        <v>-3.6076847973331549E-2</v>
      </c>
      <c r="H176" s="97">
        <f t="shared" si="21"/>
        <v>-0.16655339185889798</v>
      </c>
      <c r="I176" s="96" t="s">
        <v>10</v>
      </c>
    </row>
    <row r="177" spans="2:13" ht="17">
      <c r="B177" s="3" t="s">
        <v>49</v>
      </c>
      <c r="C177" s="51">
        <v>2.3898608980392648</v>
      </c>
      <c r="D177" s="30">
        <v>2.54</v>
      </c>
      <c r="E177" s="35">
        <v>2.7046891424559445</v>
      </c>
      <c r="F177" s="98">
        <v>0.54701617826617799</v>
      </c>
      <c r="G177" s="35">
        <f t="shared" si="22"/>
        <v>-0.16468914245594446</v>
      </c>
      <c r="H177" s="97">
        <f t="shared" si="21"/>
        <v>-0.48424851593583251</v>
      </c>
      <c r="I177" s="96" t="s">
        <v>10</v>
      </c>
    </row>
    <row r="178" spans="2:13" ht="17">
      <c r="B178" s="3" t="s">
        <v>37</v>
      </c>
      <c r="C178" s="51">
        <v>1.9966595202965003</v>
      </c>
      <c r="D178" s="51">
        <v>2.5299999999999998</v>
      </c>
      <c r="E178" s="35">
        <v>2.2946552258001534</v>
      </c>
      <c r="F178" s="98">
        <v>0.41636141636141599</v>
      </c>
      <c r="G178" s="35">
        <f t="shared" si="22"/>
        <v>0.23534477419984645</v>
      </c>
      <c r="H178" s="97">
        <f t="shared" si="21"/>
        <v>0.50390604034669084</v>
      </c>
      <c r="I178" s="96" t="s">
        <v>9</v>
      </c>
    </row>
    <row r="179" spans="2:13" ht="17">
      <c r="B179" s="3" t="s">
        <v>36</v>
      </c>
      <c r="C179" s="51">
        <v>1.118822837582508</v>
      </c>
      <c r="D179" s="30">
        <v>2.14</v>
      </c>
      <c r="E179" s="35">
        <v>2.2202350847793282</v>
      </c>
      <c r="F179" s="98">
        <v>0.20683760683760699</v>
      </c>
      <c r="G179" s="35">
        <f t="shared" si="22"/>
        <v>-8.0235084779328059E-2</v>
      </c>
      <c r="H179" s="97">
        <f t="shared" si="21"/>
        <v>-0.2756320501437502</v>
      </c>
      <c r="I179" s="96" t="s">
        <v>9</v>
      </c>
    </row>
    <row r="180" spans="2:13" ht="17">
      <c r="B180" s="3" t="s">
        <v>55</v>
      </c>
      <c r="C180" s="51">
        <v>-0.16219149209452141</v>
      </c>
      <c r="D180" s="30">
        <v>3.48</v>
      </c>
      <c r="E180" s="35">
        <v>3.4685619594872921</v>
      </c>
      <c r="F180" s="98">
        <v>0.113064713064713</v>
      </c>
      <c r="G180" s="35">
        <f t="shared" si="22"/>
        <v>1.1438040512707914E-2</v>
      </c>
      <c r="H180" s="97">
        <f t="shared" si="21"/>
        <v>-4.9183209997204012E-2</v>
      </c>
      <c r="I180" s="96" t="s">
        <v>10</v>
      </c>
    </row>
    <row r="181" spans="2:13" ht="17">
      <c r="B181" s="3" t="s">
        <v>54</v>
      </c>
      <c r="C181" s="51">
        <v>-1.5903108335717608</v>
      </c>
      <c r="D181" s="30">
        <v>5.79</v>
      </c>
      <c r="E181" s="35">
        <v>5.2784807725901555</v>
      </c>
      <c r="F181" s="98">
        <v>0.30403693528693498</v>
      </c>
      <c r="G181" s="35">
        <f t="shared" si="22"/>
        <v>0.51151922740984457</v>
      </c>
      <c r="H181" s="97">
        <f t="shared" si="21"/>
        <v>1.1861058061808301</v>
      </c>
      <c r="I181" s="96" t="s">
        <v>10</v>
      </c>
    </row>
    <row r="182" spans="2:13">
      <c r="B182" s="3" t="s">
        <v>4</v>
      </c>
      <c r="C182" s="51">
        <v>-1.8192250374571111</v>
      </c>
      <c r="D182" s="30">
        <v>5.8</v>
      </c>
      <c r="E182" s="35">
        <v>5.7297067126690386</v>
      </c>
      <c r="F182" s="98">
        <v>0.36388888888888898</v>
      </c>
      <c r="G182" s="35">
        <f t="shared" si="22"/>
        <v>7.0293287330961185E-2</v>
      </c>
      <c r="H182" s="97">
        <f t="shared" si="21"/>
        <v>9.6199663512072847E-2</v>
      </c>
      <c r="I182" s="96" t="s">
        <v>9</v>
      </c>
    </row>
    <row r="183" spans="2:13" ht="17">
      <c r="B183" s="3" t="s">
        <v>48</v>
      </c>
      <c r="C183" s="51">
        <v>0.51192222491910266</v>
      </c>
      <c r="D183" s="30">
        <v>2.58</v>
      </c>
      <c r="E183" s="35">
        <v>2.93678204628316</v>
      </c>
      <c r="F183" s="98">
        <v>0.13096001221001199</v>
      </c>
      <c r="G183" s="35">
        <f t="shared" si="22"/>
        <v>-0.3567820462831599</v>
      </c>
      <c r="H183" s="97">
        <f t="shared" si="21"/>
        <v>-0.95875197737540818</v>
      </c>
      <c r="I183" s="96" t="s">
        <v>9</v>
      </c>
    </row>
    <row r="185" spans="2:13" ht="14" thickBot="1"/>
    <row r="186" spans="2:13" s="27" customFormat="1" ht="24" customHeight="1" thickBot="1">
      <c r="B186" s="115" t="s">
        <v>130</v>
      </c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  <c r="M186" s="117"/>
    </row>
    <row r="188" spans="2:13" ht="17">
      <c r="B188" s="9" t="s">
        <v>7</v>
      </c>
      <c r="C188" s="4" t="s">
        <v>8</v>
      </c>
      <c r="D188" s="9" t="s">
        <v>33</v>
      </c>
      <c r="E188" s="4" t="s">
        <v>135</v>
      </c>
      <c r="F188" s="9" t="s">
        <v>133</v>
      </c>
      <c r="G188" s="41" t="s">
        <v>131</v>
      </c>
      <c r="H188" s="41" t="s">
        <v>132</v>
      </c>
      <c r="I188" s="102" t="s">
        <v>129</v>
      </c>
      <c r="J188" s="9" t="s">
        <v>0</v>
      </c>
      <c r="K188" s="4" t="s">
        <v>124</v>
      </c>
    </row>
    <row r="189" spans="2:13" ht="17">
      <c r="B189" s="3" t="s">
        <v>51</v>
      </c>
      <c r="C189" s="30">
        <v>0.19850000000000001</v>
      </c>
      <c r="D189" s="34">
        <v>1268.7</v>
      </c>
      <c r="E189" s="30">
        <f>(ABS(C189-$C$205))/$C$206</f>
        <v>0.60075529901515068</v>
      </c>
      <c r="F189" s="30">
        <f>(ABS(D189-$D$205))/$D$206</f>
        <v>0.33932304796026652</v>
      </c>
      <c r="G189" s="7">
        <f>AVERAGE(E189:F189)</f>
        <v>0.47003917348770863</v>
      </c>
      <c r="H189" s="51">
        <f>STDEV(E189:F189)</f>
        <v>0.18486051754177241</v>
      </c>
      <c r="I189" s="51">
        <f t="shared" ref="I189:I204" si="23">G189+1.28*H189</f>
        <v>0.70666063594117734</v>
      </c>
      <c r="J189" s="3" t="s">
        <v>9</v>
      </c>
      <c r="K189" s="51" t="s">
        <v>125</v>
      </c>
    </row>
    <row r="190" spans="2:13" ht="17">
      <c r="B190" s="3" t="s">
        <v>36</v>
      </c>
      <c r="C190" s="30">
        <v>0.19486000000000001</v>
      </c>
      <c r="D190" s="30">
        <v>1575.73</v>
      </c>
      <c r="E190" s="30">
        <f t="shared" ref="E190:E204" si="24">(ABS(C190-$C$205))/$C$206</f>
        <v>0.48989660698711951</v>
      </c>
      <c r="F190" s="30">
        <f t="shared" ref="F190:F204" si="25">(ABS(D190-$D$205))/$D$206</f>
        <v>1.0923577817169743</v>
      </c>
      <c r="G190" s="7">
        <f t="shared" ref="G190:G204" si="26">AVERAGE(E190:F190)</f>
        <v>0.79112719435204693</v>
      </c>
      <c r="H190" s="51">
        <f t="shared" ref="H190:H204" si="27">STDEV(E190:F190)</f>
        <v>0.42600438205309388</v>
      </c>
      <c r="I190" s="51">
        <f t="shared" si="23"/>
        <v>1.3364128033800071</v>
      </c>
      <c r="J190" s="3" t="s">
        <v>9</v>
      </c>
      <c r="K190" s="51" t="s">
        <v>125</v>
      </c>
    </row>
    <row r="191" spans="2:13" ht="17">
      <c r="B191" s="3" t="s">
        <v>37</v>
      </c>
      <c r="C191" s="30">
        <v>0.22422</v>
      </c>
      <c r="D191" s="30">
        <v>1717.32</v>
      </c>
      <c r="E191" s="30">
        <f t="shared" si="24"/>
        <v>1.3840755075209077</v>
      </c>
      <c r="F191" s="30">
        <f t="shared" si="25"/>
        <v>1.4396273903956447</v>
      </c>
      <c r="G191" s="7">
        <f t="shared" si="26"/>
        <v>1.4118514489582763</v>
      </c>
      <c r="H191" s="51">
        <f t="shared" si="27"/>
        <v>3.9281113088407371E-2</v>
      </c>
      <c r="I191" s="51">
        <f t="shared" si="23"/>
        <v>1.4621312737114378</v>
      </c>
      <c r="J191" s="3" t="s">
        <v>9</v>
      </c>
      <c r="K191" s="51" t="s">
        <v>125</v>
      </c>
    </row>
    <row r="192" spans="2:13" ht="17">
      <c r="B192" s="3" t="s">
        <v>48</v>
      </c>
      <c r="C192" s="30">
        <v>0.18423999999999999</v>
      </c>
      <c r="D192" s="34">
        <v>1357.66</v>
      </c>
      <c r="E192" s="30">
        <f t="shared" si="24"/>
        <v>0.16645723628995168</v>
      </c>
      <c r="F192" s="30">
        <f t="shared" si="25"/>
        <v>0.55751009780880489</v>
      </c>
      <c r="G192" s="7">
        <f t="shared" si="26"/>
        <v>0.36198366704937829</v>
      </c>
      <c r="H192" s="51">
        <f t="shared" si="27"/>
        <v>0.27651613018238502</v>
      </c>
      <c r="I192" s="51">
        <f t="shared" si="23"/>
        <v>0.71592431368283105</v>
      </c>
      <c r="J192" s="3" t="s">
        <v>9</v>
      </c>
      <c r="K192" s="51" t="s">
        <v>125</v>
      </c>
    </row>
    <row r="193" spans="2:11" ht="17">
      <c r="B193" s="3" t="s">
        <v>52</v>
      </c>
      <c r="C193" s="30">
        <v>0.19600000000000001</v>
      </c>
      <c r="D193" s="34">
        <v>1271.1300000000001</v>
      </c>
      <c r="E193" s="30">
        <f t="shared" si="24"/>
        <v>0.52461608745743704</v>
      </c>
      <c r="F193" s="30">
        <f t="shared" si="25"/>
        <v>0.34528296849907003</v>
      </c>
      <c r="G193" s="7">
        <f t="shared" si="26"/>
        <v>0.43494952797825354</v>
      </c>
      <c r="H193" s="51">
        <f t="shared" si="27"/>
        <v>0.12680766450679509</v>
      </c>
      <c r="I193" s="51">
        <f t="shared" si="23"/>
        <v>0.59726333854695124</v>
      </c>
      <c r="J193" s="3" t="s">
        <v>9</v>
      </c>
      <c r="K193" s="51" t="s">
        <v>125</v>
      </c>
    </row>
    <row r="194" spans="2:11">
      <c r="B194" s="3" t="s">
        <v>2</v>
      </c>
      <c r="C194" s="30">
        <v>0.18042</v>
      </c>
      <c r="D194" s="34">
        <v>596.70000000000005</v>
      </c>
      <c r="E194" s="30">
        <f t="shared" si="24"/>
        <v>5.0116521029765639E-2</v>
      </c>
      <c r="F194" s="30">
        <f t="shared" si="25"/>
        <v>1.3088525084495555</v>
      </c>
      <c r="G194" s="7">
        <f t="shared" si="26"/>
        <v>0.67948451473966054</v>
      </c>
      <c r="H194" s="51">
        <f t="shared" si="27"/>
        <v>0.89006075242807825</v>
      </c>
      <c r="I194" s="51">
        <f t="shared" si="23"/>
        <v>1.8187622778476009</v>
      </c>
      <c r="J194" s="3" t="s">
        <v>9</v>
      </c>
      <c r="K194" s="51" t="s">
        <v>125</v>
      </c>
    </row>
    <row r="195" spans="2:11">
      <c r="B195" s="3" t="s">
        <v>5</v>
      </c>
      <c r="C195" s="30">
        <v>0.17821999999999999</v>
      </c>
      <c r="D195" s="34">
        <v>706.25</v>
      </c>
      <c r="E195" s="30">
        <f t="shared" si="24"/>
        <v>1.6885985141022544E-2</v>
      </c>
      <c r="F195" s="30">
        <f t="shared" si="25"/>
        <v>1.0401655557639959</v>
      </c>
      <c r="G195" s="7">
        <f t="shared" si="26"/>
        <v>0.52852577045250926</v>
      </c>
      <c r="H195" s="51">
        <f t="shared" si="27"/>
        <v>0.72356792343716325</v>
      </c>
      <c r="I195" s="51">
        <f t="shared" si="23"/>
        <v>1.4546927124520783</v>
      </c>
      <c r="J195" s="3" t="s">
        <v>9</v>
      </c>
      <c r="K195" s="51" t="s">
        <v>125</v>
      </c>
    </row>
    <row r="196" spans="2:11" ht="17">
      <c r="B196" s="3" t="s">
        <v>40</v>
      </c>
      <c r="C196" s="30">
        <v>0.12053</v>
      </c>
      <c r="D196" s="30">
        <v>1017.22</v>
      </c>
      <c r="E196" s="30">
        <f t="shared" si="24"/>
        <v>1.7738744310468209</v>
      </c>
      <c r="F196" s="30">
        <f t="shared" si="25"/>
        <v>0.27746741175095679</v>
      </c>
      <c r="G196" s="7">
        <f t="shared" si="26"/>
        <v>1.0256709213988888</v>
      </c>
      <c r="H196" s="51">
        <f t="shared" si="27"/>
        <v>1.0581195507592545</v>
      </c>
      <c r="I196" s="51">
        <f t="shared" si="23"/>
        <v>2.3800639463707345</v>
      </c>
      <c r="J196" s="3" t="s">
        <v>9</v>
      </c>
      <c r="K196" s="51" t="s">
        <v>125</v>
      </c>
    </row>
    <row r="197" spans="2:11">
      <c r="B197" s="3" t="s">
        <v>4</v>
      </c>
      <c r="C197" s="30">
        <v>0.13197999999999999</v>
      </c>
      <c r="D197" s="30">
        <v>662.44</v>
      </c>
      <c r="E197" s="30">
        <f t="shared" si="24"/>
        <v>1.4251568421124929</v>
      </c>
      <c r="F197" s="30">
        <f t="shared" si="25"/>
        <v>1.1476158104162493</v>
      </c>
      <c r="G197" s="7">
        <f t="shared" si="26"/>
        <v>1.2863863262643711</v>
      </c>
      <c r="H197" s="51">
        <f t="shared" si="27"/>
        <v>0.19625114556992443</v>
      </c>
      <c r="I197" s="51">
        <f t="shared" si="23"/>
        <v>1.5375877925938743</v>
      </c>
      <c r="J197" s="3" t="s">
        <v>9</v>
      </c>
      <c r="K197" s="51" t="s">
        <v>125</v>
      </c>
    </row>
    <row r="198" spans="2:11" ht="17">
      <c r="B198" s="3" t="s">
        <v>38</v>
      </c>
      <c r="C198" s="30">
        <v>0.17471999999999999</v>
      </c>
      <c r="D198" s="34">
        <v>1408.29</v>
      </c>
      <c r="E198" s="30">
        <f t="shared" si="24"/>
        <v>0.12348088132182165</v>
      </c>
      <c r="F198" s="30">
        <f t="shared" si="25"/>
        <v>0.68168737224486009</v>
      </c>
      <c r="G198" s="7">
        <f t="shared" si="26"/>
        <v>0.40258412678334088</v>
      </c>
      <c r="H198" s="51">
        <f t="shared" si="27"/>
        <v>0.39471159503402742</v>
      </c>
      <c r="I198" s="51">
        <f t="shared" si="23"/>
        <v>0.90781496842689602</v>
      </c>
      <c r="J198" s="3" t="s">
        <v>10</v>
      </c>
      <c r="K198" s="51" t="s">
        <v>126</v>
      </c>
    </row>
    <row r="199" spans="2:11" ht="17">
      <c r="B199" s="3" t="s">
        <v>50</v>
      </c>
      <c r="C199" s="30">
        <v>0.21052999999999999</v>
      </c>
      <c r="D199" s="34">
        <v>1187.83</v>
      </c>
      <c r="E199" s="30">
        <f t="shared" si="24"/>
        <v>0.96713718503086799</v>
      </c>
      <c r="F199" s="30">
        <f t="shared" si="25"/>
        <v>0.14097787348576873</v>
      </c>
      <c r="G199" s="7">
        <f t="shared" si="26"/>
        <v>0.5540575292583183</v>
      </c>
      <c r="H199" s="51">
        <f t="shared" si="27"/>
        <v>0.58418285153394933</v>
      </c>
      <c r="I199" s="51">
        <f t="shared" si="23"/>
        <v>1.3018115792217735</v>
      </c>
      <c r="J199" s="3" t="s">
        <v>10</v>
      </c>
      <c r="K199" s="51" t="s">
        <v>126</v>
      </c>
    </row>
    <row r="200" spans="2:11" ht="17">
      <c r="B200" s="3" t="s">
        <v>49</v>
      </c>
      <c r="C200" s="30">
        <v>0.24496999999999999</v>
      </c>
      <c r="D200" s="34">
        <v>1686.38</v>
      </c>
      <c r="E200" s="30">
        <f t="shared" si="24"/>
        <v>2.0160309634499303</v>
      </c>
      <c r="F200" s="30">
        <f t="shared" si="25"/>
        <v>1.3637426408192761</v>
      </c>
      <c r="G200" s="7">
        <f t="shared" si="26"/>
        <v>1.6898868021346032</v>
      </c>
      <c r="H200" s="51">
        <f t="shared" si="27"/>
        <v>0.46123749622093307</v>
      </c>
      <c r="I200" s="51">
        <f t="shared" si="23"/>
        <v>2.2802707972973977</v>
      </c>
      <c r="J200" s="3" t="s">
        <v>10</v>
      </c>
      <c r="K200" s="51" t="s">
        <v>126</v>
      </c>
    </row>
    <row r="201" spans="2:11" ht="17">
      <c r="B201" s="3" t="s">
        <v>39</v>
      </c>
      <c r="C201" s="30">
        <v>0.17398</v>
      </c>
      <c r="D201" s="30">
        <v>1233.06</v>
      </c>
      <c r="E201" s="30">
        <f t="shared" si="24"/>
        <v>0.14601808794290458</v>
      </c>
      <c r="F201" s="30">
        <f t="shared" si="25"/>
        <v>0.25191088005781676</v>
      </c>
      <c r="G201" s="7">
        <f t="shared" si="26"/>
        <v>0.19896448400036065</v>
      </c>
      <c r="H201" s="51">
        <f t="shared" si="27"/>
        <v>7.4877511383231787E-2</v>
      </c>
      <c r="I201" s="51">
        <f t="shared" si="23"/>
        <v>0.29480769857089734</v>
      </c>
      <c r="J201" s="3" t="s">
        <v>10</v>
      </c>
      <c r="K201" s="51" t="s">
        <v>126</v>
      </c>
    </row>
    <row r="202" spans="2:11" ht="17">
      <c r="B202" s="3" t="s">
        <v>55</v>
      </c>
      <c r="C202" s="30">
        <v>0.17387</v>
      </c>
      <c r="D202" s="34">
        <v>1097.73</v>
      </c>
      <c r="E202" s="30">
        <f t="shared" si="24"/>
        <v>0.14936821325144395</v>
      </c>
      <c r="F202" s="30">
        <f t="shared" si="25"/>
        <v>8.0005188467393171E-2</v>
      </c>
      <c r="G202" s="7">
        <f t="shared" si="26"/>
        <v>0.11468670085941857</v>
      </c>
      <c r="H202" s="51">
        <f t="shared" si="27"/>
        <v>4.9047065188412814E-2</v>
      </c>
      <c r="I202" s="51">
        <f t="shared" si="23"/>
        <v>0.17746694430058696</v>
      </c>
      <c r="J202" s="3" t="s">
        <v>10</v>
      </c>
      <c r="K202" s="51" t="s">
        <v>126</v>
      </c>
    </row>
    <row r="203" spans="2:11" ht="17">
      <c r="B203" s="3" t="s">
        <v>53</v>
      </c>
      <c r="C203" s="30">
        <v>0.18445</v>
      </c>
      <c r="D203" s="34">
        <v>1137.4000000000001</v>
      </c>
      <c r="E203" s="30">
        <f t="shared" si="24"/>
        <v>0.1728529300608001</v>
      </c>
      <c r="F203" s="30">
        <f t="shared" si="25"/>
        <v>1.7291127489121344E-2</v>
      </c>
      <c r="G203" s="7">
        <f t="shared" si="26"/>
        <v>9.5072028774960723E-2</v>
      </c>
      <c r="H203" s="51">
        <f t="shared" si="27"/>
        <v>0.10999880549203694</v>
      </c>
      <c r="I203" s="51">
        <f t="shared" si="23"/>
        <v>0.23587049980476804</v>
      </c>
      <c r="J203" s="3" t="s">
        <v>10</v>
      </c>
      <c r="K203" s="51" t="s">
        <v>126</v>
      </c>
    </row>
    <row r="204" spans="2:11" ht="15" customHeight="1">
      <c r="B204" s="3" t="s">
        <v>54</v>
      </c>
      <c r="C204" s="30">
        <v>0.12853999999999999</v>
      </c>
      <c r="D204" s="30">
        <v>837.15</v>
      </c>
      <c r="E204" s="30">
        <f t="shared" si="24"/>
        <v>1.5299243972159069</v>
      </c>
      <c r="F204" s="30">
        <f t="shared" si="25"/>
        <v>0.71911469217166613</v>
      </c>
      <c r="G204" s="7">
        <f t="shared" si="26"/>
        <v>1.1245195446937866</v>
      </c>
      <c r="H204" s="51">
        <f t="shared" si="27"/>
        <v>0.57332904068864698</v>
      </c>
      <c r="I204" s="51">
        <f t="shared" si="23"/>
        <v>1.8583807167752546</v>
      </c>
      <c r="J204" s="3" t="s">
        <v>10</v>
      </c>
      <c r="K204" s="51" t="s">
        <v>126</v>
      </c>
    </row>
    <row r="205" spans="2:11" s="98" customFormat="1" ht="17">
      <c r="B205" s="101" t="s">
        <v>127</v>
      </c>
      <c r="C205" s="101">
        <f>AVERAGE(C189:C197)</f>
        <v>0.17877444444444446</v>
      </c>
      <c r="D205" s="101">
        <f>AVERAGE(D189:D197)</f>
        <v>1130.3499999999999</v>
      </c>
    </row>
    <row r="206" spans="2:11" s="98" customFormat="1" ht="17">
      <c r="B206" s="101" t="s">
        <v>128</v>
      </c>
      <c r="C206" s="101">
        <f>STDEV(C189:C197)</f>
        <v>3.2834592700043894E-2</v>
      </c>
      <c r="D206" s="101">
        <f>STDEV(D189:D197)</f>
        <v>407.72355674525363</v>
      </c>
    </row>
  </sheetData>
  <sortState ref="J169:M184">
    <sortCondition ref="J189:J204"/>
  </sortState>
  <mergeCells count="10">
    <mergeCell ref="B186:M186"/>
    <mergeCell ref="B165:M165"/>
    <mergeCell ref="B118:M118"/>
    <mergeCell ref="B154:K155"/>
    <mergeCell ref="B2:M2"/>
    <mergeCell ref="B22:M22"/>
    <mergeCell ref="B44:M44"/>
    <mergeCell ref="D46:H47"/>
    <mergeCell ref="B67:M67"/>
    <mergeCell ref="B87:M87"/>
  </mergeCells>
  <pageMargins left="0.75" right="0.75" top="1" bottom="1" header="0.5" footer="0.5"/>
  <pageSetup paperSize="9" orientation="portrait" horizontalDpi="4294967292" verticalDpi="4294967292"/>
  <ignoredErrors>
    <ignoredError sqref="C41:D42 C205:D206" formulaRange="1"/>
    <ignoredError sqref="F72 F81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Title</vt:lpstr>
      <vt:lpstr>CaseStudy1</vt:lpstr>
      <vt:lpstr>CaseStudy2</vt:lpstr>
      <vt:lpstr>CaseStudy3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Agnieszka</cp:lastModifiedBy>
  <dcterms:created xsi:type="dcterms:W3CDTF">2016-12-01T00:31:59Z</dcterms:created>
  <dcterms:modified xsi:type="dcterms:W3CDTF">2017-03-26T05:32:05Z</dcterms:modified>
</cp:coreProperties>
</file>