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27795" windowHeight="12345" tabRatio="725" activeTab="9"/>
  </bookViews>
  <sheets>
    <sheet name="Literature data" sheetId="10" r:id="rId1"/>
    <sheet name="Identify problem" sheetId="7" r:id="rId2"/>
    <sheet name="Review" sheetId="12" r:id="rId3"/>
    <sheet name="Polarity" sheetId="9" r:id="rId4"/>
    <sheet name="Surface tension" sheetId="2" r:id="rId5"/>
    <sheet name="Preliminary shortlist" sheetId="11" r:id="rId6"/>
    <sheet name="Viscosity and density" sheetId="1" r:id="rId7"/>
    <sheet name="Shortlist" sheetId="4" r:id="rId8"/>
    <sheet name="Final decision" sheetId="5" r:id="rId9"/>
    <sheet name="Bio-based solvent summary" sheetId="6" r:id="rId10"/>
  </sheets>
  <definedNames>
    <definedName name="_xlnm.Print_Area" localSheetId="9">'Bio-based solvent summary'!$A$2:$O$74</definedName>
  </definedNames>
  <calcPr calcId="145621"/>
</workbook>
</file>

<file path=xl/calcChain.xml><?xml version="1.0" encoding="utf-8"?>
<calcChain xmlns="http://schemas.openxmlformats.org/spreadsheetml/2006/main">
  <c r="J23" i="1" l="1"/>
  <c r="J24" i="1"/>
  <c r="J25" i="1"/>
  <c r="J26" i="1"/>
  <c r="J27" i="1"/>
  <c r="J28" i="1"/>
  <c r="J29" i="1"/>
  <c r="J30" i="1"/>
  <c r="J31" i="1"/>
  <c r="J32" i="1"/>
  <c r="J33" i="1"/>
  <c r="J34" i="1"/>
  <c r="J35" i="1"/>
  <c r="J36" i="1"/>
  <c r="J37" i="1"/>
  <c r="J38" i="1"/>
  <c r="J39" i="1"/>
  <c r="J40" i="1"/>
  <c r="J41" i="1"/>
  <c r="J42" i="1"/>
  <c r="J43" i="1"/>
  <c r="J44" i="1"/>
  <c r="J45" i="1"/>
  <c r="J46" i="1"/>
  <c r="J47" i="1"/>
  <c r="J48" i="1"/>
  <c r="M20" i="1"/>
  <c r="M21" i="1"/>
  <c r="M22" i="1"/>
  <c r="M49" i="1"/>
  <c r="L26" i="1"/>
  <c r="L27" i="1" s="1"/>
  <c r="L28" i="1" s="1"/>
  <c r="L29" i="1" s="1"/>
  <c r="L30" i="1" s="1"/>
  <c r="L31" i="1" s="1"/>
  <c r="L32" i="1" s="1"/>
  <c r="L33" i="1" s="1"/>
  <c r="L34" i="1" s="1"/>
  <c r="L35" i="1" s="1"/>
  <c r="L36" i="1" s="1"/>
  <c r="L37" i="1" s="1"/>
  <c r="L38" i="1" s="1"/>
  <c r="L39" i="1" s="1"/>
  <c r="L40" i="1" s="1"/>
  <c r="L41" i="1" s="1"/>
  <c r="C36" i="12" l="1"/>
  <c r="E36" i="12"/>
  <c r="F36" i="12"/>
  <c r="G36" i="12"/>
  <c r="B36" i="12"/>
  <c r="Y35" i="4"/>
  <c r="Y34" i="4"/>
  <c r="Y33" i="4"/>
  <c r="Y32" i="4"/>
  <c r="Y31" i="4"/>
  <c r="Y30" i="4"/>
  <c r="Y29" i="4"/>
  <c r="Y28" i="4"/>
  <c r="Y27" i="4"/>
  <c r="Y26" i="4"/>
  <c r="Y25" i="4"/>
  <c r="Y24" i="4"/>
  <c r="Y23" i="4"/>
  <c r="Y22" i="4"/>
  <c r="Y21" i="4"/>
  <c r="Y20" i="4"/>
  <c r="Y19" i="4"/>
  <c r="Y18" i="4"/>
  <c r="Y17" i="4"/>
  <c r="Y16" i="4"/>
  <c r="Y15" i="4"/>
  <c r="Y14" i="4"/>
  <c r="AB14" i="4"/>
  <c r="Q17" i="1"/>
  <c r="AB15" i="4"/>
  <c r="AB24" i="4"/>
  <c r="AB18" i="4"/>
  <c r="AB30" i="4"/>
  <c r="AB19" i="4"/>
  <c r="AB34" i="4"/>
  <c r="AB25" i="4"/>
  <c r="AB27" i="4"/>
  <c r="AB26" i="4"/>
  <c r="AB17" i="4"/>
  <c r="AB21" i="4"/>
  <c r="AB23" i="4"/>
  <c r="AB32" i="4"/>
  <c r="AB33" i="4"/>
  <c r="AB31" i="4"/>
  <c r="AB16" i="4"/>
  <c r="AB29" i="4"/>
  <c r="AB20" i="4"/>
  <c r="AB35" i="4"/>
  <c r="AB22" i="4"/>
  <c r="AB28" i="4"/>
  <c r="V39" i="11"/>
  <c r="V12" i="11"/>
  <c r="V13" i="11"/>
  <c r="V14" i="11"/>
  <c r="V15" i="11"/>
  <c r="V16" i="11"/>
  <c r="V17" i="11"/>
  <c r="V18" i="11"/>
  <c r="V19" i="11"/>
  <c r="V20" i="11"/>
  <c r="V21" i="11"/>
  <c r="V22" i="11"/>
  <c r="V23" i="11"/>
  <c r="V24" i="11"/>
  <c r="V25" i="11"/>
  <c r="V26" i="11"/>
  <c r="V27" i="11"/>
  <c r="V28" i="11"/>
  <c r="V29" i="11"/>
  <c r="V30" i="11"/>
  <c r="V31" i="11"/>
  <c r="V32" i="11"/>
  <c r="V33" i="11"/>
  <c r="V34" i="11"/>
  <c r="V35" i="11"/>
  <c r="V36" i="11"/>
  <c r="V37" i="11"/>
  <c r="V38" i="11"/>
  <c r="V11" i="11"/>
  <c r="U39" i="11"/>
  <c r="T39" i="11"/>
  <c r="U38" i="11"/>
  <c r="U37" i="11"/>
  <c r="U36" i="11"/>
  <c r="U35" i="11"/>
  <c r="U34" i="11"/>
  <c r="U33" i="11"/>
  <c r="U32" i="11"/>
  <c r="U31" i="11"/>
  <c r="U30" i="11"/>
  <c r="U29" i="11"/>
  <c r="U28" i="11"/>
  <c r="U27" i="11"/>
  <c r="U26" i="11"/>
  <c r="U25" i="11"/>
  <c r="U24" i="11"/>
  <c r="U23" i="11"/>
  <c r="U22" i="11"/>
  <c r="U21" i="11"/>
  <c r="U20" i="11"/>
  <c r="U19" i="11"/>
  <c r="U18" i="11"/>
  <c r="U17" i="11"/>
  <c r="U16" i="11"/>
  <c r="U15" i="11"/>
  <c r="U14" i="11"/>
  <c r="U13" i="11"/>
  <c r="U12" i="11"/>
  <c r="U11" i="11"/>
  <c r="T12" i="11"/>
  <c r="T13" i="11"/>
  <c r="T14" i="11"/>
  <c r="T15" i="11"/>
  <c r="T16" i="11"/>
  <c r="T17" i="11"/>
  <c r="T18" i="11"/>
  <c r="T19" i="11"/>
  <c r="T20" i="11"/>
  <c r="T21" i="11"/>
  <c r="T22" i="11"/>
  <c r="T23" i="11"/>
  <c r="T24" i="11"/>
  <c r="T25" i="11"/>
  <c r="T26" i="11"/>
  <c r="T27" i="11"/>
  <c r="T28" i="11"/>
  <c r="T29" i="11"/>
  <c r="T30" i="11"/>
  <c r="T31" i="11"/>
  <c r="T32" i="11"/>
  <c r="T33" i="11"/>
  <c r="T34" i="11"/>
  <c r="T35" i="11"/>
  <c r="T36" i="11"/>
  <c r="T37" i="11"/>
  <c r="T38" i="11"/>
  <c r="T11" i="11"/>
  <c r="K10" i="2"/>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M123" i="11"/>
  <c r="M124" i="11"/>
  <c r="M125" i="11"/>
  <c r="M126" i="11"/>
  <c r="M127" i="11"/>
  <c r="M128" i="11"/>
  <c r="M129" i="11"/>
  <c r="M130" i="11"/>
  <c r="M131" i="11"/>
  <c r="M132" i="11"/>
  <c r="M133" i="11"/>
  <c r="M134" i="11"/>
  <c r="M135" i="11"/>
  <c r="M136" i="11"/>
  <c r="M137" i="11"/>
  <c r="M138" i="11"/>
  <c r="M139" i="11"/>
  <c r="M140" i="11"/>
  <c r="M141" i="11"/>
  <c r="M142" i="11"/>
  <c r="M143" i="11"/>
  <c r="M144" i="11"/>
  <c r="M145" i="11"/>
  <c r="M146" i="11"/>
  <c r="M147" i="11"/>
  <c r="M148" i="11"/>
  <c r="M149" i="11"/>
  <c r="M150" i="11"/>
  <c r="M151" i="11"/>
  <c r="M152" i="11"/>
  <c r="M153" i="11"/>
  <c r="M154" i="11"/>
  <c r="M155" i="11"/>
  <c r="M156" i="11"/>
  <c r="M157" i="11"/>
  <c r="M158" i="11"/>
  <c r="M159" i="11"/>
  <c r="M160" i="11"/>
  <c r="M161" i="11"/>
  <c r="M162" i="11"/>
  <c r="M163" i="11"/>
  <c r="M164" i="11"/>
  <c r="M165" i="11"/>
  <c r="M166" i="11"/>
  <c r="M167" i="11"/>
  <c r="M168" i="11"/>
  <c r="M169" i="11"/>
  <c r="M170" i="11"/>
  <c r="M171" i="11"/>
  <c r="M172" i="11"/>
  <c r="M173" i="11"/>
  <c r="M174" i="11"/>
  <c r="M175" i="11"/>
  <c r="M176" i="11"/>
  <c r="M177" i="11"/>
  <c r="M178" i="11"/>
  <c r="M179" i="11"/>
  <c r="M180" i="11"/>
  <c r="M181" i="11"/>
  <c r="M182" i="11"/>
  <c r="M183" i="11"/>
  <c r="M184" i="11"/>
  <c r="M185" i="11"/>
  <c r="M186" i="11"/>
  <c r="M187" i="11"/>
  <c r="M188" i="11"/>
  <c r="M189" i="11"/>
  <c r="M190" i="11"/>
  <c r="M191" i="11"/>
  <c r="M192" i="11"/>
  <c r="M193" i="11"/>
  <c r="M194" i="11"/>
  <c r="M195" i="11"/>
  <c r="M196" i="11"/>
  <c r="M197" i="11"/>
  <c r="M198" i="11"/>
  <c r="M199" i="11"/>
  <c r="M200" i="11"/>
  <c r="M201" i="11"/>
  <c r="M202" i="11"/>
  <c r="M203" i="11"/>
  <c r="M204" i="11"/>
  <c r="M205" i="11"/>
  <c r="M206" i="11"/>
  <c r="M207" i="11"/>
  <c r="M208" i="11"/>
  <c r="M209" i="11"/>
  <c r="M210" i="11"/>
  <c r="M211" i="11"/>
  <c r="M212" i="11"/>
  <c r="M213" i="11"/>
  <c r="M214" i="11"/>
  <c r="M215" i="11"/>
  <c r="M216" i="11"/>
  <c r="M217" i="11"/>
  <c r="M218" i="11"/>
  <c r="M219" i="11"/>
  <c r="M220" i="11"/>
  <c r="M221" i="11"/>
  <c r="M222" i="11"/>
  <c r="M223" i="11"/>
  <c r="M7" i="1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H225" i="11"/>
  <c r="J8" i="11"/>
  <c r="K8" i="11" s="1"/>
  <c r="L8" i="11" s="1"/>
  <c r="J9" i="11"/>
  <c r="K9" i="11" s="1"/>
  <c r="L9" i="11" s="1"/>
  <c r="J10" i="11"/>
  <c r="K10" i="11" s="1"/>
  <c r="L10" i="11" s="1"/>
  <c r="J11" i="11"/>
  <c r="K11" i="11" s="1"/>
  <c r="L11" i="11" s="1"/>
  <c r="J12" i="11"/>
  <c r="K12" i="11" s="1"/>
  <c r="J13" i="11"/>
  <c r="K13" i="11" s="1"/>
  <c r="J14" i="11"/>
  <c r="K14" i="11" s="1"/>
  <c r="L14" i="11" s="1"/>
  <c r="J15" i="11"/>
  <c r="K15" i="11" s="1"/>
  <c r="L15" i="11" s="1"/>
  <c r="J16" i="11"/>
  <c r="K16" i="11" s="1"/>
  <c r="L16" i="11" s="1"/>
  <c r="J17" i="11"/>
  <c r="K17" i="11" s="1"/>
  <c r="L17" i="11" s="1"/>
  <c r="J18" i="11"/>
  <c r="J19" i="11"/>
  <c r="K19" i="11" s="1"/>
  <c r="L19" i="11" s="1"/>
  <c r="J20" i="11"/>
  <c r="K20" i="11" s="1"/>
  <c r="L20" i="11" s="1"/>
  <c r="J21" i="11"/>
  <c r="K21" i="11" s="1"/>
  <c r="L21" i="11" s="1"/>
  <c r="J22" i="11"/>
  <c r="K22" i="11" s="1"/>
  <c r="L22" i="11" s="1"/>
  <c r="J23" i="11"/>
  <c r="K23" i="11" s="1"/>
  <c r="J24" i="11"/>
  <c r="J25" i="11"/>
  <c r="K25" i="11" s="1"/>
  <c r="L25" i="11" s="1"/>
  <c r="J26" i="11"/>
  <c r="K26" i="11" s="1"/>
  <c r="L26" i="11" s="1"/>
  <c r="J27" i="11"/>
  <c r="K27" i="11" s="1"/>
  <c r="L27" i="11" s="1"/>
  <c r="J28" i="11"/>
  <c r="K28" i="11" s="1"/>
  <c r="L28" i="11" s="1"/>
  <c r="J29" i="11"/>
  <c r="K29" i="11" s="1"/>
  <c r="L29" i="11" s="1"/>
  <c r="J30" i="11"/>
  <c r="K30" i="11" s="1"/>
  <c r="L30" i="11" s="1"/>
  <c r="J31" i="11"/>
  <c r="K31" i="11" s="1"/>
  <c r="L31" i="11" s="1"/>
  <c r="J32" i="11"/>
  <c r="K32" i="11" s="1"/>
  <c r="L32" i="11" s="1"/>
  <c r="J33" i="11"/>
  <c r="K33" i="11" s="1"/>
  <c r="L33" i="11" s="1"/>
  <c r="J34" i="11"/>
  <c r="K34" i="11" s="1"/>
  <c r="L34" i="11" s="1"/>
  <c r="J35" i="11"/>
  <c r="K35" i="11" s="1"/>
  <c r="J36" i="11"/>
  <c r="K36" i="11" s="1"/>
  <c r="L36" i="11" s="1"/>
  <c r="J37" i="11"/>
  <c r="K37" i="11" s="1"/>
  <c r="L37" i="11" s="1"/>
  <c r="J38" i="11"/>
  <c r="K38" i="11" s="1"/>
  <c r="L38" i="11" s="1"/>
  <c r="J39" i="11"/>
  <c r="K39" i="11" s="1"/>
  <c r="L39" i="11" s="1"/>
  <c r="J40" i="11"/>
  <c r="K40" i="11" s="1"/>
  <c r="L40" i="11" s="1"/>
  <c r="J41" i="11"/>
  <c r="J42" i="11"/>
  <c r="K42" i="11" s="1"/>
  <c r="L42" i="11" s="1"/>
  <c r="J43" i="11"/>
  <c r="K43" i="11" s="1"/>
  <c r="L43" i="11" s="1"/>
  <c r="J44" i="11"/>
  <c r="K44" i="11" s="1"/>
  <c r="L44" i="11" s="1"/>
  <c r="J45" i="11"/>
  <c r="K45" i="11" s="1"/>
  <c r="L45" i="11" s="1"/>
  <c r="J46" i="11"/>
  <c r="K46" i="11" s="1"/>
  <c r="L46" i="11" s="1"/>
  <c r="J47" i="11"/>
  <c r="K47" i="11" s="1"/>
  <c r="L47" i="11" s="1"/>
  <c r="J48" i="11"/>
  <c r="J49" i="11"/>
  <c r="K49" i="11" s="1"/>
  <c r="L49" i="11" s="1"/>
  <c r="J50" i="11"/>
  <c r="K50" i="11" s="1"/>
  <c r="L50" i="11" s="1"/>
  <c r="J51" i="11"/>
  <c r="K51" i="11" s="1"/>
  <c r="L51" i="11" s="1"/>
  <c r="J52" i="11"/>
  <c r="K52" i="11" s="1"/>
  <c r="L52" i="11" s="1"/>
  <c r="J53" i="11"/>
  <c r="K53" i="11" s="1"/>
  <c r="L53" i="11" s="1"/>
  <c r="J54" i="11"/>
  <c r="K54" i="11" s="1"/>
  <c r="L54" i="11" s="1"/>
  <c r="J55" i="11"/>
  <c r="K55" i="11" s="1"/>
  <c r="L55" i="11" s="1"/>
  <c r="J56" i="11"/>
  <c r="K56" i="11" s="1"/>
  <c r="L56" i="11" s="1"/>
  <c r="J57" i="11"/>
  <c r="K57" i="11" s="1"/>
  <c r="L57" i="11" s="1"/>
  <c r="J58" i="11"/>
  <c r="K58" i="11" s="1"/>
  <c r="J59" i="11"/>
  <c r="K59" i="11" s="1"/>
  <c r="L59" i="11" s="1"/>
  <c r="J60" i="11"/>
  <c r="K60" i="11" s="1"/>
  <c r="L60" i="11" s="1"/>
  <c r="J61" i="11"/>
  <c r="K61" i="11" s="1"/>
  <c r="L61" i="11" s="1"/>
  <c r="J62" i="11"/>
  <c r="K62" i="11" s="1"/>
  <c r="L62" i="11" s="1"/>
  <c r="J63" i="11"/>
  <c r="K63" i="11" s="1"/>
  <c r="J64" i="11"/>
  <c r="K64" i="11" s="1"/>
  <c r="J65" i="11"/>
  <c r="J66" i="11"/>
  <c r="K66" i="11" s="1"/>
  <c r="J67" i="11"/>
  <c r="K67" i="11" s="1"/>
  <c r="L67" i="11" s="1"/>
  <c r="J68" i="11"/>
  <c r="K68" i="11" s="1"/>
  <c r="L68" i="11" s="1"/>
  <c r="J69" i="11"/>
  <c r="K69" i="11" s="1"/>
  <c r="L69" i="11" s="1"/>
  <c r="J70" i="11"/>
  <c r="K70" i="11" s="1"/>
  <c r="L70" i="11" s="1"/>
  <c r="J71" i="11"/>
  <c r="K71" i="11" s="1"/>
  <c r="L71" i="11" s="1"/>
  <c r="J72" i="11"/>
  <c r="K72" i="11" s="1"/>
  <c r="J73" i="11"/>
  <c r="J74" i="11"/>
  <c r="K74" i="11" s="1"/>
  <c r="L74" i="11" s="1"/>
  <c r="J75" i="11"/>
  <c r="K75" i="11" s="1"/>
  <c r="L75" i="11" s="1"/>
  <c r="J76" i="11"/>
  <c r="K76" i="11" s="1"/>
  <c r="L76" i="11" s="1"/>
  <c r="J77" i="11"/>
  <c r="K77" i="11" s="1"/>
  <c r="L77" i="11" s="1"/>
  <c r="J78" i="11"/>
  <c r="K78" i="11" s="1"/>
  <c r="L78" i="11" s="1"/>
  <c r="J79" i="11"/>
  <c r="K79" i="11" s="1"/>
  <c r="L79" i="11" s="1"/>
  <c r="J80" i="11"/>
  <c r="J81" i="11"/>
  <c r="K81" i="11" s="1"/>
  <c r="L81" i="11" s="1"/>
  <c r="J82" i="11"/>
  <c r="K82" i="11" s="1"/>
  <c r="L82" i="11" s="1"/>
  <c r="J83" i="11"/>
  <c r="K83" i="11" s="1"/>
  <c r="L83" i="11" s="1"/>
  <c r="J84" i="11"/>
  <c r="K84" i="11" s="1"/>
  <c r="L84" i="11" s="1"/>
  <c r="J85" i="11"/>
  <c r="K85" i="11" s="1"/>
  <c r="J86" i="11"/>
  <c r="K86" i="11" s="1"/>
  <c r="L86" i="11" s="1"/>
  <c r="J87" i="11"/>
  <c r="K87" i="11" s="1"/>
  <c r="L87" i="11" s="1"/>
  <c r="J88" i="11"/>
  <c r="K88" i="11" s="1"/>
  <c r="J89" i="11"/>
  <c r="K89" i="11" s="1"/>
  <c r="J90" i="11"/>
  <c r="K90" i="11" s="1"/>
  <c r="L90" i="11" s="1"/>
  <c r="J91" i="11"/>
  <c r="K91" i="11" s="1"/>
  <c r="L91" i="11" s="1"/>
  <c r="J92" i="11"/>
  <c r="K92" i="11" s="1"/>
  <c r="L92" i="11" s="1"/>
  <c r="J93" i="11"/>
  <c r="K93" i="11" s="1"/>
  <c r="L93" i="11" s="1"/>
  <c r="J94" i="11"/>
  <c r="K94" i="11" s="1"/>
  <c r="L94" i="11" s="1"/>
  <c r="J95" i="11"/>
  <c r="K95" i="11" s="1"/>
  <c r="J96" i="11"/>
  <c r="K96" i="11" s="1"/>
  <c r="J97" i="11"/>
  <c r="K97" i="11" s="1"/>
  <c r="J98" i="11"/>
  <c r="K98" i="11" s="1"/>
  <c r="J99" i="11"/>
  <c r="K99" i="11" s="1"/>
  <c r="L99" i="11" s="1"/>
  <c r="J100" i="11"/>
  <c r="K100" i="11" s="1"/>
  <c r="L100" i="11" s="1"/>
  <c r="J101" i="11"/>
  <c r="K101" i="11" s="1"/>
  <c r="L101" i="11" s="1"/>
  <c r="J102" i="11"/>
  <c r="K102" i="11" s="1"/>
  <c r="L102" i="11" s="1"/>
  <c r="J103" i="11"/>
  <c r="K103" i="11" s="1"/>
  <c r="L103" i="11" s="1"/>
  <c r="J104" i="11"/>
  <c r="K104" i="11" s="1"/>
  <c r="L104" i="11" s="1"/>
  <c r="J105" i="11"/>
  <c r="K105" i="11" s="1"/>
  <c r="L105" i="11" s="1"/>
  <c r="J106" i="11"/>
  <c r="K106" i="11" s="1"/>
  <c r="L106" i="11" s="1"/>
  <c r="J107" i="11"/>
  <c r="K107" i="11" s="1"/>
  <c r="L107" i="11" s="1"/>
  <c r="J108" i="11"/>
  <c r="K108" i="11" s="1"/>
  <c r="L108" i="11" s="1"/>
  <c r="J109" i="11"/>
  <c r="K109" i="11" s="1"/>
  <c r="J110" i="11"/>
  <c r="K110" i="11" s="1"/>
  <c r="L110" i="11" s="1"/>
  <c r="J111" i="11"/>
  <c r="K111" i="11" s="1"/>
  <c r="L111" i="11" s="1"/>
  <c r="J112" i="11"/>
  <c r="J113" i="11"/>
  <c r="K113" i="11" s="1"/>
  <c r="L113" i="11" s="1"/>
  <c r="J114" i="11"/>
  <c r="K114" i="11" s="1"/>
  <c r="L114" i="11" s="1"/>
  <c r="J115" i="11"/>
  <c r="K115" i="11" s="1"/>
  <c r="L115" i="11" s="1"/>
  <c r="J116" i="11"/>
  <c r="K116" i="11" s="1"/>
  <c r="L116" i="11" s="1"/>
  <c r="J117" i="11"/>
  <c r="K117" i="11" s="1"/>
  <c r="L117" i="11" s="1"/>
  <c r="J118" i="11"/>
  <c r="K118" i="11" s="1"/>
  <c r="L118" i="11" s="1"/>
  <c r="J119" i="11"/>
  <c r="K119" i="11" s="1"/>
  <c r="L119" i="11" s="1"/>
  <c r="J120" i="11"/>
  <c r="K120" i="11" s="1"/>
  <c r="L120" i="11" s="1"/>
  <c r="J121" i="11"/>
  <c r="K121" i="11" s="1"/>
  <c r="L121" i="11" s="1"/>
  <c r="J122" i="11"/>
  <c r="K122" i="11" s="1"/>
  <c r="L122" i="11" s="1"/>
  <c r="J123" i="11"/>
  <c r="K123" i="11" s="1"/>
  <c r="L123" i="11" s="1"/>
  <c r="J124" i="11"/>
  <c r="K124" i="11" s="1"/>
  <c r="L124" i="11" s="1"/>
  <c r="J125" i="11"/>
  <c r="K125" i="11" s="1"/>
  <c r="L125" i="11" s="1"/>
  <c r="J126" i="11"/>
  <c r="K126" i="11" s="1"/>
  <c r="L126" i="11" s="1"/>
  <c r="J127" i="11"/>
  <c r="K127" i="11" s="1"/>
  <c r="L127" i="11" s="1"/>
  <c r="J128" i="11"/>
  <c r="K128" i="11" s="1"/>
  <c r="L128" i="11" s="1"/>
  <c r="J129" i="11"/>
  <c r="K129" i="11" s="1"/>
  <c r="L129" i="11" s="1"/>
  <c r="J130" i="11"/>
  <c r="K130" i="11" s="1"/>
  <c r="L130" i="11" s="1"/>
  <c r="J131" i="11"/>
  <c r="K131" i="11" s="1"/>
  <c r="L131" i="11" s="1"/>
  <c r="J132" i="11"/>
  <c r="K132" i="11" s="1"/>
  <c r="L132" i="11" s="1"/>
  <c r="J133" i="11"/>
  <c r="K133" i="11" s="1"/>
  <c r="L133" i="11" s="1"/>
  <c r="J134" i="11"/>
  <c r="K134" i="11" s="1"/>
  <c r="L134" i="11" s="1"/>
  <c r="J135" i="11"/>
  <c r="K135" i="11" s="1"/>
  <c r="L135" i="11" s="1"/>
  <c r="J136" i="11"/>
  <c r="J137" i="11"/>
  <c r="J138" i="11"/>
  <c r="K138" i="11" s="1"/>
  <c r="L138" i="11" s="1"/>
  <c r="J139" i="11"/>
  <c r="K139" i="11" s="1"/>
  <c r="L139" i="11" s="1"/>
  <c r="J140" i="11"/>
  <c r="K140" i="11" s="1"/>
  <c r="L140" i="11" s="1"/>
  <c r="J141" i="11"/>
  <c r="K141" i="11" s="1"/>
  <c r="L141" i="11" s="1"/>
  <c r="J142" i="11"/>
  <c r="K142" i="11" s="1"/>
  <c r="L142" i="11" s="1"/>
  <c r="J143" i="11"/>
  <c r="K143" i="11" s="1"/>
  <c r="L143" i="11" s="1"/>
  <c r="J144" i="11"/>
  <c r="K144" i="11" s="1"/>
  <c r="L144" i="11" s="1"/>
  <c r="J145" i="11"/>
  <c r="K145" i="11" s="1"/>
  <c r="L145" i="11" s="1"/>
  <c r="J146" i="11"/>
  <c r="K146" i="11" s="1"/>
  <c r="L146" i="11" s="1"/>
  <c r="J147" i="11"/>
  <c r="K147" i="11" s="1"/>
  <c r="L147" i="11" s="1"/>
  <c r="J148" i="11"/>
  <c r="K148" i="11" s="1"/>
  <c r="L148" i="11" s="1"/>
  <c r="J149" i="11"/>
  <c r="K149" i="11" s="1"/>
  <c r="L149" i="11" s="1"/>
  <c r="J150" i="11"/>
  <c r="K150" i="11" s="1"/>
  <c r="L150" i="11" s="1"/>
  <c r="J151" i="11"/>
  <c r="K151" i="11" s="1"/>
  <c r="L151" i="11" s="1"/>
  <c r="J152" i="11"/>
  <c r="K152" i="11" s="1"/>
  <c r="L152" i="11" s="1"/>
  <c r="J153" i="11"/>
  <c r="K153" i="11" s="1"/>
  <c r="L153" i="11" s="1"/>
  <c r="J154" i="11"/>
  <c r="K154" i="11" s="1"/>
  <c r="L154" i="11" s="1"/>
  <c r="J155" i="11"/>
  <c r="K155" i="11" s="1"/>
  <c r="L155" i="11" s="1"/>
  <c r="J156" i="11"/>
  <c r="K156" i="11" s="1"/>
  <c r="L156" i="11" s="1"/>
  <c r="J157" i="11"/>
  <c r="K157" i="11" s="1"/>
  <c r="L157" i="11" s="1"/>
  <c r="J158" i="11"/>
  <c r="K158" i="11" s="1"/>
  <c r="L158" i="11" s="1"/>
  <c r="J159" i="11"/>
  <c r="K159" i="11" s="1"/>
  <c r="L159" i="11" s="1"/>
  <c r="J160" i="11"/>
  <c r="K160" i="11" s="1"/>
  <c r="L160" i="11" s="1"/>
  <c r="J161" i="11"/>
  <c r="K161" i="11" s="1"/>
  <c r="L161" i="11" s="1"/>
  <c r="J162" i="11"/>
  <c r="K162" i="11" s="1"/>
  <c r="L162" i="11" s="1"/>
  <c r="J163" i="11"/>
  <c r="K163" i="11" s="1"/>
  <c r="L163" i="11" s="1"/>
  <c r="J164" i="11"/>
  <c r="K164" i="11" s="1"/>
  <c r="L164" i="11" s="1"/>
  <c r="J165" i="11"/>
  <c r="K165" i="11" s="1"/>
  <c r="J166" i="11"/>
  <c r="K166" i="11" s="1"/>
  <c r="L166" i="11" s="1"/>
  <c r="J167" i="11"/>
  <c r="K167" i="11" s="1"/>
  <c r="J168" i="11"/>
  <c r="J169" i="11"/>
  <c r="K169" i="11" s="1"/>
  <c r="L169" i="11" s="1"/>
  <c r="J170" i="11"/>
  <c r="J171" i="11"/>
  <c r="K171" i="11" s="1"/>
  <c r="L171" i="11" s="1"/>
  <c r="J172" i="11"/>
  <c r="K172" i="11" s="1"/>
  <c r="L172" i="11" s="1"/>
  <c r="J173" i="11"/>
  <c r="K173" i="11" s="1"/>
  <c r="L173" i="11" s="1"/>
  <c r="J174" i="11"/>
  <c r="K174" i="11" s="1"/>
  <c r="L174" i="11" s="1"/>
  <c r="J175" i="11"/>
  <c r="K175" i="11" s="1"/>
  <c r="L175" i="11" s="1"/>
  <c r="J176" i="11"/>
  <c r="J177" i="11"/>
  <c r="K177" i="11" s="1"/>
  <c r="L177" i="11" s="1"/>
  <c r="J178" i="11"/>
  <c r="K178" i="11" s="1"/>
  <c r="J179" i="11"/>
  <c r="K179" i="11" s="1"/>
  <c r="L179" i="11" s="1"/>
  <c r="J180" i="11"/>
  <c r="K180" i="11" s="1"/>
  <c r="L180" i="11" s="1"/>
  <c r="J181" i="11"/>
  <c r="K181" i="11" s="1"/>
  <c r="L181" i="11" s="1"/>
  <c r="J182" i="11"/>
  <c r="K182" i="11" s="1"/>
  <c r="L182" i="11" s="1"/>
  <c r="J183" i="11"/>
  <c r="K183" i="11" s="1"/>
  <c r="L183" i="11" s="1"/>
  <c r="J184" i="11"/>
  <c r="K184" i="11" s="1"/>
  <c r="L184" i="11" s="1"/>
  <c r="J185" i="11"/>
  <c r="K185" i="11" s="1"/>
  <c r="L185" i="11" s="1"/>
  <c r="J186" i="11"/>
  <c r="K186" i="11" s="1"/>
  <c r="L186" i="11" s="1"/>
  <c r="J187" i="11"/>
  <c r="K187" i="11" s="1"/>
  <c r="L187" i="11" s="1"/>
  <c r="J188" i="11"/>
  <c r="K188" i="11" s="1"/>
  <c r="L188" i="11" s="1"/>
  <c r="J189" i="11"/>
  <c r="K189" i="11" s="1"/>
  <c r="L189" i="11" s="1"/>
  <c r="J190" i="11"/>
  <c r="K190" i="11" s="1"/>
  <c r="L190" i="11" s="1"/>
  <c r="J191" i="11"/>
  <c r="K191" i="11" s="1"/>
  <c r="L191" i="11" s="1"/>
  <c r="J192" i="11"/>
  <c r="K192" i="11" s="1"/>
  <c r="L192" i="11" s="1"/>
  <c r="J193" i="11"/>
  <c r="K193" i="11" s="1"/>
  <c r="L193" i="11" s="1"/>
  <c r="J194" i="11"/>
  <c r="K194" i="11" s="1"/>
  <c r="L194" i="11" s="1"/>
  <c r="J195" i="11"/>
  <c r="K195" i="11" s="1"/>
  <c r="J196" i="11"/>
  <c r="K196" i="11" s="1"/>
  <c r="L196" i="11" s="1"/>
  <c r="J197" i="11"/>
  <c r="K197" i="11" s="1"/>
  <c r="L197" i="11" s="1"/>
  <c r="J198" i="11"/>
  <c r="K198" i="11" s="1"/>
  <c r="L198" i="11" s="1"/>
  <c r="J199" i="11"/>
  <c r="K199" i="11" s="1"/>
  <c r="L199" i="11" s="1"/>
  <c r="J200" i="11"/>
  <c r="K200" i="11" s="1"/>
  <c r="L200" i="11" s="1"/>
  <c r="J201" i="11"/>
  <c r="K201" i="11" s="1"/>
  <c r="L201" i="11" s="1"/>
  <c r="J202" i="11"/>
  <c r="K202" i="11" s="1"/>
  <c r="L202" i="11" s="1"/>
  <c r="J203" i="11"/>
  <c r="K203" i="11" s="1"/>
  <c r="L203" i="11" s="1"/>
  <c r="J204" i="11"/>
  <c r="K204" i="11" s="1"/>
  <c r="L204" i="11" s="1"/>
  <c r="J205" i="11"/>
  <c r="K205" i="11" s="1"/>
  <c r="L205" i="11" s="1"/>
  <c r="J206" i="11"/>
  <c r="K206" i="11" s="1"/>
  <c r="L206" i="11" s="1"/>
  <c r="J207" i="11"/>
  <c r="K207" i="11" s="1"/>
  <c r="L207" i="11" s="1"/>
  <c r="J208" i="11"/>
  <c r="K208" i="11" s="1"/>
  <c r="J209" i="11"/>
  <c r="K209" i="11" s="1"/>
  <c r="L209" i="11" s="1"/>
  <c r="J210" i="11"/>
  <c r="J211" i="11"/>
  <c r="K211" i="11" s="1"/>
  <c r="L211" i="11" s="1"/>
  <c r="J212" i="11"/>
  <c r="K212" i="11" s="1"/>
  <c r="L212" i="11" s="1"/>
  <c r="J213" i="11"/>
  <c r="K213" i="11" s="1"/>
  <c r="L213" i="11" s="1"/>
  <c r="J214" i="11"/>
  <c r="K214" i="11" s="1"/>
  <c r="L214" i="11" s="1"/>
  <c r="J215" i="11"/>
  <c r="K215" i="11" s="1"/>
  <c r="L215" i="11" s="1"/>
  <c r="J216" i="11"/>
  <c r="K216" i="11" s="1"/>
  <c r="J217" i="11"/>
  <c r="J218" i="11"/>
  <c r="K218" i="11" s="1"/>
  <c r="L218" i="11" s="1"/>
  <c r="J219" i="11"/>
  <c r="K219" i="11" s="1"/>
  <c r="L219" i="11" s="1"/>
  <c r="J220" i="11"/>
  <c r="K220" i="11" s="1"/>
  <c r="L220" i="11" s="1"/>
  <c r="J221" i="11"/>
  <c r="K221" i="11" s="1"/>
  <c r="L221" i="11" s="1"/>
  <c r="J222" i="11"/>
  <c r="K222" i="11" s="1"/>
  <c r="L222" i="11" s="1"/>
  <c r="J223" i="11"/>
  <c r="K223" i="11" s="1"/>
  <c r="L223" i="11" s="1"/>
  <c r="J7" i="11"/>
  <c r="K7" i="11" s="1"/>
  <c r="G225" i="11"/>
  <c r="K217" i="11"/>
  <c r="L217" i="11" s="1"/>
  <c r="K210" i="11"/>
  <c r="L210" i="11" s="1"/>
  <c r="K176" i="11"/>
  <c r="L176" i="11" s="1"/>
  <c r="K170" i="11"/>
  <c r="L170" i="11" s="1"/>
  <c r="K168" i="11"/>
  <c r="L168" i="11" s="1"/>
  <c r="K137" i="11"/>
  <c r="L137" i="11" s="1"/>
  <c r="K136" i="11"/>
  <c r="L136" i="11" s="1"/>
  <c r="K112" i="11"/>
  <c r="L112" i="11" s="1"/>
  <c r="F109" i="11"/>
  <c r="F97" i="11"/>
  <c r="F96" i="11"/>
  <c r="F95" i="11"/>
  <c r="K80" i="11"/>
  <c r="L80" i="11" s="1"/>
  <c r="K73" i="11"/>
  <c r="L73" i="11" s="1"/>
  <c r="K65" i="11"/>
  <c r="L65" i="11" s="1"/>
  <c r="K48" i="11"/>
  <c r="L48" i="11" s="1"/>
  <c r="K41" i="11"/>
  <c r="L41" i="11" s="1"/>
  <c r="F35" i="11"/>
  <c r="K24" i="11"/>
  <c r="L24" i="11" s="1"/>
  <c r="F23" i="11"/>
  <c r="K18" i="11"/>
  <c r="L18" i="11" s="1"/>
  <c r="F6" i="9"/>
  <c r="F5" i="9"/>
  <c r="F4" i="9"/>
  <c r="C225" i="4" l="1"/>
  <c r="L167" i="11"/>
  <c r="C225" i="11"/>
  <c r="L225" i="11"/>
  <c r="L97" i="11"/>
  <c r="L35" i="11"/>
  <c r="L96" i="11"/>
  <c r="L208" i="11"/>
  <c r="L109" i="11"/>
  <c r="L7" i="11"/>
  <c r="L72" i="11"/>
  <c r="L12" i="11"/>
  <c r="L23" i="11"/>
  <c r="L95" i="11"/>
  <c r="L66" i="11"/>
  <c r="P149" i="4" l="1"/>
  <c r="P150" i="4"/>
  <c r="P151" i="4"/>
  <c r="P152" i="4"/>
  <c r="P153" i="4"/>
  <c r="P154" i="4"/>
  <c r="P155" i="4"/>
  <c r="P156" i="4"/>
  <c r="L56" i="6"/>
  <c r="K151" i="4"/>
  <c r="L151" i="4" s="1"/>
  <c r="M151" i="4" s="1"/>
  <c r="H19" i="2"/>
  <c r="H20" i="2"/>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H53" i="2" s="1"/>
  <c r="H54" i="2" s="1"/>
  <c r="H55" i="2" s="1"/>
  <c r="H56" i="2" s="1"/>
  <c r="H57" i="2" s="1"/>
  <c r="H58" i="2" s="1"/>
  <c r="H59" i="2" s="1"/>
  <c r="H60" i="2" s="1"/>
  <c r="H61" i="2" s="1"/>
  <c r="H62" i="2" s="1"/>
  <c r="H63" i="2" s="1"/>
  <c r="H64" i="2" s="1"/>
  <c r="H65" i="2" s="1"/>
  <c r="H66" i="2" s="1"/>
  <c r="H67" i="2" s="1"/>
  <c r="H68" i="2" s="1"/>
  <c r="H69" i="2" s="1"/>
  <c r="H70" i="2" s="1"/>
  <c r="H71" i="2" s="1"/>
  <c r="H72" i="2" s="1"/>
  <c r="H73" i="2" s="1"/>
  <c r="H74" i="2" s="1"/>
  <c r="H75" i="2" s="1"/>
  <c r="H76" i="2" s="1"/>
  <c r="H77" i="2" s="1"/>
  <c r="H78" i="2" s="1"/>
  <c r="H79" i="2" s="1"/>
  <c r="H80" i="2" s="1"/>
  <c r="H81" i="2" s="1"/>
  <c r="H82" i="2" s="1"/>
  <c r="H83" i="2" s="1"/>
  <c r="H84" i="2" s="1"/>
  <c r="H85" i="2" s="1"/>
  <c r="H86" i="2" s="1"/>
  <c r="H87" i="2" s="1"/>
  <c r="H88" i="2" s="1"/>
  <c r="H89" i="2" s="1"/>
  <c r="H90" i="2" s="1"/>
  <c r="H91" i="2" s="1"/>
  <c r="H92" i="2" s="1"/>
  <c r="H93" i="2" s="1"/>
  <c r="H94" i="2" s="1"/>
  <c r="H95" i="2" s="1"/>
  <c r="H96" i="2" s="1"/>
  <c r="H97" i="2" s="1"/>
  <c r="H98" i="2" s="1"/>
  <c r="H99" i="2" s="1"/>
  <c r="H100" i="2" s="1"/>
  <c r="H101" i="2" s="1"/>
  <c r="H102" i="2" s="1"/>
  <c r="H103" i="2" s="1"/>
  <c r="H104" i="2" s="1"/>
  <c r="H105" i="2" s="1"/>
  <c r="H106" i="2" s="1"/>
  <c r="H107" i="2" s="1"/>
  <c r="H108" i="2" s="1"/>
  <c r="H109" i="2" s="1"/>
  <c r="H110" i="2" s="1"/>
  <c r="H111" i="2" s="1"/>
  <c r="H112" i="2" s="1"/>
  <c r="H113" i="2" s="1"/>
  <c r="H114" i="2" s="1"/>
  <c r="H115" i="2" s="1"/>
  <c r="H116" i="2" s="1"/>
  <c r="H117" i="2" s="1"/>
  <c r="H118" i="2" s="1"/>
  <c r="H119" i="2" s="1"/>
  <c r="H120" i="2" s="1"/>
  <c r="H121" i="2" s="1"/>
  <c r="H122" i="2" s="1"/>
  <c r="H123" i="2" s="1"/>
  <c r="H124" i="2" s="1"/>
  <c r="H125" i="2" s="1"/>
  <c r="H126" i="2" s="1"/>
  <c r="H127" i="2" s="1"/>
  <c r="H128" i="2" s="1"/>
  <c r="H129" i="2" s="1"/>
  <c r="H130" i="2" s="1"/>
  <c r="H131" i="2" s="1"/>
  <c r="H132" i="2" s="1"/>
  <c r="H133" i="2" s="1"/>
  <c r="H134" i="2" s="1"/>
  <c r="H135" i="2" s="1"/>
  <c r="H136" i="2" s="1"/>
  <c r="H137" i="2" s="1"/>
  <c r="H138" i="2" s="1"/>
  <c r="H139" i="2" s="1"/>
  <c r="H140" i="2" s="1"/>
  <c r="H141" i="2" s="1"/>
  <c r="H142" i="2" s="1"/>
  <c r="H143" i="2" s="1"/>
  <c r="H144" i="2" s="1"/>
  <c r="H145" i="2" s="1"/>
  <c r="H146" i="2" s="1"/>
  <c r="H147" i="2" s="1"/>
  <c r="H148" i="2" s="1"/>
  <c r="H149" i="2" s="1"/>
  <c r="H150" i="2" s="1"/>
  <c r="H151" i="2" s="1"/>
  <c r="H152" i="2" s="1"/>
  <c r="H153" i="2" s="1"/>
  <c r="H154" i="2" s="1"/>
  <c r="H155" i="2" s="1"/>
  <c r="H156" i="2" s="1"/>
  <c r="H157" i="2" s="1"/>
  <c r="H158" i="2" s="1"/>
  <c r="H159" i="2" s="1"/>
  <c r="H160" i="2" s="1"/>
  <c r="H161" i="2" s="1"/>
  <c r="H162" i="2" s="1"/>
  <c r="H163" i="2" s="1"/>
  <c r="H164" i="2" s="1"/>
  <c r="H165" i="2" s="1"/>
  <c r="H166" i="2" s="1"/>
  <c r="H167" i="2" s="1"/>
  <c r="H168" i="2" s="1"/>
  <c r="H169" i="2" s="1"/>
  <c r="H170" i="2" s="1"/>
  <c r="H171" i="2" s="1"/>
  <c r="H172" i="2" s="1"/>
  <c r="H173" i="2" s="1"/>
  <c r="H174" i="2" s="1"/>
  <c r="H175" i="2" s="1"/>
  <c r="H176" i="2" s="1"/>
  <c r="H177" i="2" s="1"/>
  <c r="H178" i="2" s="1"/>
  <c r="H179" i="2" s="1"/>
  <c r="H180" i="2" s="1"/>
  <c r="H181" i="2" s="1"/>
  <c r="H182" i="2" s="1"/>
  <c r="H183" i="2" s="1"/>
  <c r="H184" i="2" s="1"/>
  <c r="H185" i="2" s="1"/>
  <c r="H186" i="2" s="1"/>
  <c r="H187" i="2" s="1"/>
  <c r="H188" i="2" s="1"/>
  <c r="H189" i="2" s="1"/>
  <c r="H190" i="2" s="1"/>
  <c r="H191" i="2" s="1"/>
  <c r="H192" i="2" s="1"/>
  <c r="H193" i="2" s="1"/>
  <c r="H194" i="2" s="1"/>
  <c r="H195" i="2" s="1"/>
  <c r="G19" i="2"/>
  <c r="F19" i="2"/>
  <c r="I19" i="2"/>
  <c r="F8" i="2"/>
  <c r="C56" i="6"/>
  <c r="S10" i="5" l="1"/>
  <c r="S9" i="5"/>
  <c r="S8" i="5"/>
  <c r="S25" i="5"/>
  <c r="S13" i="5"/>
  <c r="S12" i="5"/>
  <c r="S11" i="5"/>
  <c r="H34" i="5"/>
  <c r="H33" i="5"/>
  <c r="H32" i="5"/>
  <c r="H31" i="5"/>
  <c r="H30" i="5"/>
  <c r="H29" i="5"/>
  <c r="Q12" i="4" l="1"/>
  <c r="Q208" i="4" l="1"/>
  <c r="J6" i="1" l="1"/>
  <c r="K8" i="4" l="1"/>
  <c r="L8" i="4" s="1"/>
  <c r="K7" i="4"/>
  <c r="L7" i="4" s="1"/>
  <c r="D47" i="10" l="1"/>
  <c r="I225" i="4" l="1"/>
  <c r="I30" i="5" l="1"/>
  <c r="I31" i="5"/>
  <c r="I32" i="5"/>
  <c r="I33" i="5"/>
  <c r="I34" i="5"/>
  <c r="I35" i="5"/>
  <c r="I36" i="5"/>
  <c r="I29" i="5"/>
  <c r="H35" i="5"/>
  <c r="H36" i="5"/>
  <c r="S22" i="5"/>
  <c r="S14" i="5"/>
  <c r="S15" i="5"/>
  <c r="P25" i="5"/>
  <c r="P17" i="5" l="1"/>
  <c r="P16" i="5"/>
  <c r="AC15" i="5"/>
  <c r="V15" i="5"/>
  <c r="AF15" i="5"/>
  <c r="P15" i="5"/>
  <c r="I15" i="5"/>
  <c r="J20" i="1"/>
  <c r="F20" i="1"/>
  <c r="M15" i="5"/>
  <c r="D15" i="5"/>
  <c r="K56" i="6"/>
  <c r="M56" i="6"/>
  <c r="Q195" i="4"/>
  <c r="D16" i="10"/>
  <c r="D10" i="10"/>
  <c r="Q85" i="4" s="1"/>
  <c r="D11" i="10"/>
  <c r="D12" i="10"/>
  <c r="D13" i="10"/>
  <c r="D14" i="10"/>
  <c r="D15" i="10"/>
  <c r="Q66" i="4" s="1"/>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8" i="10"/>
  <c r="D9" i="10"/>
  <c r="Q88" i="4" s="1"/>
  <c r="P18" i="5" l="1"/>
  <c r="P211" i="4"/>
  <c r="P212" i="4"/>
  <c r="P213" i="4"/>
  <c r="P214" i="4"/>
  <c r="P215" i="4"/>
  <c r="P216" i="4"/>
  <c r="P217" i="4"/>
  <c r="P218" i="4"/>
  <c r="P219" i="4"/>
  <c r="K213" i="4"/>
  <c r="L213" i="4" s="1"/>
  <c r="M213" i="4" s="1"/>
  <c r="K214" i="4"/>
  <c r="L214" i="4" s="1"/>
  <c r="M214" i="4" s="1"/>
  <c r="K215" i="4"/>
  <c r="L215" i="4" s="1"/>
  <c r="M215" i="4" s="1"/>
  <c r="K216" i="4"/>
  <c r="L216" i="4" s="1"/>
  <c r="M216" i="4" s="1"/>
  <c r="K217" i="4"/>
  <c r="L217" i="4" s="1"/>
  <c r="M217" i="4" s="1"/>
  <c r="K218" i="4"/>
  <c r="L218" i="4" s="1"/>
  <c r="M218" i="4" s="1"/>
  <c r="P69" i="4" l="1"/>
  <c r="P70" i="4"/>
  <c r="P71" i="4"/>
  <c r="P73" i="4"/>
  <c r="P74" i="4"/>
  <c r="P75" i="4"/>
  <c r="H225" i="4" l="1"/>
  <c r="G225" i="4"/>
  <c r="P8" i="4"/>
  <c r="P9" i="4"/>
  <c r="P10" i="4"/>
  <c r="P11"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7" i="4"/>
  <c r="P68" i="4"/>
  <c r="P76" i="4"/>
  <c r="P77" i="4"/>
  <c r="P78" i="4"/>
  <c r="P79" i="4"/>
  <c r="P80" i="4"/>
  <c r="P81" i="4"/>
  <c r="P82" i="4"/>
  <c r="P83" i="4"/>
  <c r="P84" i="4"/>
  <c r="P86" i="4"/>
  <c r="P87"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6" i="4"/>
  <c r="P197" i="4"/>
  <c r="P198" i="4"/>
  <c r="P199" i="4"/>
  <c r="P200" i="4"/>
  <c r="P201" i="4"/>
  <c r="P202" i="4"/>
  <c r="P203" i="4"/>
  <c r="P204" i="4"/>
  <c r="P205" i="4"/>
  <c r="P206" i="4"/>
  <c r="P207" i="4"/>
  <c r="P209" i="4"/>
  <c r="P210" i="4"/>
  <c r="P220" i="4"/>
  <c r="P221" i="4"/>
  <c r="P222" i="4"/>
  <c r="P223" i="4"/>
  <c r="P7" i="4"/>
  <c r="K9" i="4"/>
  <c r="L9" i="4" s="1"/>
  <c r="M9" i="4" s="1"/>
  <c r="K10" i="4"/>
  <c r="L10" i="4" s="1"/>
  <c r="M10" i="4" s="1"/>
  <c r="K11" i="4"/>
  <c r="L11" i="4" s="1"/>
  <c r="M11" i="4" s="1"/>
  <c r="K12" i="4"/>
  <c r="L12" i="4" s="1"/>
  <c r="K13" i="4"/>
  <c r="L13" i="4" s="1"/>
  <c r="M13" i="4" s="1"/>
  <c r="K14" i="4"/>
  <c r="L14" i="4" s="1"/>
  <c r="M14" i="4" s="1"/>
  <c r="K15" i="4"/>
  <c r="L15" i="4" s="1"/>
  <c r="M15" i="4" s="1"/>
  <c r="K16" i="4"/>
  <c r="L16" i="4" s="1"/>
  <c r="M16" i="4" s="1"/>
  <c r="K17" i="4"/>
  <c r="L17" i="4" s="1"/>
  <c r="M17" i="4" s="1"/>
  <c r="K18" i="4"/>
  <c r="L18" i="4" s="1"/>
  <c r="M18" i="4" s="1"/>
  <c r="K19" i="4"/>
  <c r="L19" i="4" s="1"/>
  <c r="M19" i="4" s="1"/>
  <c r="K20" i="4"/>
  <c r="L20" i="4" s="1"/>
  <c r="M20" i="4" s="1"/>
  <c r="K21" i="4"/>
  <c r="L21" i="4" s="1"/>
  <c r="M21" i="4" s="1"/>
  <c r="K22" i="4"/>
  <c r="L22" i="4" s="1"/>
  <c r="M22" i="4" s="1"/>
  <c r="K23" i="4"/>
  <c r="L23" i="4" s="1"/>
  <c r="K24" i="4"/>
  <c r="L24" i="4" s="1"/>
  <c r="M24" i="4" s="1"/>
  <c r="K25" i="4"/>
  <c r="L25" i="4" s="1"/>
  <c r="M25" i="4" s="1"/>
  <c r="K26" i="4"/>
  <c r="L26" i="4" s="1"/>
  <c r="M26" i="4" s="1"/>
  <c r="K27" i="4"/>
  <c r="L27" i="4" s="1"/>
  <c r="M27" i="4" s="1"/>
  <c r="K28" i="4"/>
  <c r="L28" i="4" s="1"/>
  <c r="M28" i="4" s="1"/>
  <c r="K29" i="4"/>
  <c r="L29" i="4" s="1"/>
  <c r="M29" i="4" s="1"/>
  <c r="K30" i="4"/>
  <c r="L30" i="4" s="1"/>
  <c r="M30" i="4" s="1"/>
  <c r="K31" i="4"/>
  <c r="L31" i="4" s="1"/>
  <c r="M31" i="4" s="1"/>
  <c r="K32" i="4"/>
  <c r="L32" i="4" s="1"/>
  <c r="M32" i="4" s="1"/>
  <c r="K33" i="4"/>
  <c r="L33" i="4" s="1"/>
  <c r="M33" i="4" s="1"/>
  <c r="K34" i="4"/>
  <c r="L34" i="4" s="1"/>
  <c r="M34" i="4" s="1"/>
  <c r="K35" i="4"/>
  <c r="L35" i="4" s="1"/>
  <c r="K36" i="4"/>
  <c r="L36" i="4" s="1"/>
  <c r="M36" i="4" s="1"/>
  <c r="K37" i="4"/>
  <c r="L37" i="4" s="1"/>
  <c r="M37" i="4" s="1"/>
  <c r="K38" i="4"/>
  <c r="L38" i="4" s="1"/>
  <c r="M38" i="4" s="1"/>
  <c r="K39" i="4"/>
  <c r="L39" i="4" s="1"/>
  <c r="M39" i="4" s="1"/>
  <c r="K40" i="4"/>
  <c r="L40" i="4" s="1"/>
  <c r="M40" i="4" s="1"/>
  <c r="K41" i="4"/>
  <c r="L41" i="4" s="1"/>
  <c r="M41" i="4" s="1"/>
  <c r="K42" i="4"/>
  <c r="L42" i="4" s="1"/>
  <c r="M42" i="4" s="1"/>
  <c r="K43" i="4"/>
  <c r="L43" i="4" s="1"/>
  <c r="M43" i="4" s="1"/>
  <c r="K44" i="4"/>
  <c r="L44" i="4" s="1"/>
  <c r="M44" i="4" s="1"/>
  <c r="K45" i="4"/>
  <c r="L45" i="4" s="1"/>
  <c r="M45" i="4" s="1"/>
  <c r="K46" i="4"/>
  <c r="L46" i="4" s="1"/>
  <c r="M46" i="4" s="1"/>
  <c r="K47" i="4"/>
  <c r="L47" i="4" s="1"/>
  <c r="M47" i="4" s="1"/>
  <c r="K48" i="4"/>
  <c r="L48" i="4" s="1"/>
  <c r="M48" i="4" s="1"/>
  <c r="K49" i="4"/>
  <c r="L49" i="4" s="1"/>
  <c r="M49" i="4" s="1"/>
  <c r="K50" i="4"/>
  <c r="L50" i="4" s="1"/>
  <c r="M50" i="4" s="1"/>
  <c r="K51" i="4"/>
  <c r="L51" i="4" s="1"/>
  <c r="M51" i="4" s="1"/>
  <c r="K52" i="4"/>
  <c r="L52" i="4" s="1"/>
  <c r="M52" i="4" s="1"/>
  <c r="K53" i="4"/>
  <c r="L53" i="4" s="1"/>
  <c r="M53" i="4" s="1"/>
  <c r="K54" i="4"/>
  <c r="L54" i="4" s="1"/>
  <c r="M54" i="4" s="1"/>
  <c r="K55" i="4"/>
  <c r="L55" i="4" s="1"/>
  <c r="M55" i="4" s="1"/>
  <c r="K56" i="4"/>
  <c r="L56" i="4" s="1"/>
  <c r="M56" i="4" s="1"/>
  <c r="K57" i="4"/>
  <c r="L57" i="4" s="1"/>
  <c r="M57" i="4" s="1"/>
  <c r="K58" i="4"/>
  <c r="L58" i="4" s="1"/>
  <c r="K59" i="4"/>
  <c r="L59" i="4" s="1"/>
  <c r="M59" i="4" s="1"/>
  <c r="K60" i="4"/>
  <c r="L60" i="4" s="1"/>
  <c r="M60" i="4" s="1"/>
  <c r="K61" i="4"/>
  <c r="L61" i="4" s="1"/>
  <c r="M61" i="4" s="1"/>
  <c r="K62" i="4"/>
  <c r="L62" i="4" s="1"/>
  <c r="M62" i="4" s="1"/>
  <c r="K63" i="4"/>
  <c r="L63" i="4" s="1"/>
  <c r="M63" i="4" s="1"/>
  <c r="K64" i="4"/>
  <c r="L64" i="4" s="1"/>
  <c r="M64" i="4" s="1"/>
  <c r="K65" i="4"/>
  <c r="L65" i="4" s="1"/>
  <c r="M65" i="4" s="1"/>
  <c r="K66" i="4"/>
  <c r="L66" i="4" s="1"/>
  <c r="K67" i="4"/>
  <c r="L67" i="4" s="1"/>
  <c r="M67" i="4" s="1"/>
  <c r="K68" i="4"/>
  <c r="L68" i="4" s="1"/>
  <c r="M68" i="4" s="1"/>
  <c r="K69" i="4"/>
  <c r="L69" i="4" s="1"/>
  <c r="M69" i="4" s="1"/>
  <c r="K70" i="4"/>
  <c r="L70" i="4" s="1"/>
  <c r="M70" i="4" s="1"/>
  <c r="K71" i="4"/>
  <c r="L71" i="4" s="1"/>
  <c r="M71" i="4" s="1"/>
  <c r="K72" i="4"/>
  <c r="L72" i="4" s="1"/>
  <c r="P72" i="4" s="1"/>
  <c r="K73" i="4"/>
  <c r="L73" i="4" s="1"/>
  <c r="K74" i="4"/>
  <c r="L74" i="4" s="1"/>
  <c r="M74" i="4" s="1"/>
  <c r="K75" i="4"/>
  <c r="L75" i="4" s="1"/>
  <c r="M75" i="4" s="1"/>
  <c r="K76" i="4"/>
  <c r="L76" i="4" s="1"/>
  <c r="M76" i="4" s="1"/>
  <c r="K77" i="4"/>
  <c r="L77" i="4" s="1"/>
  <c r="M77" i="4" s="1"/>
  <c r="K78" i="4"/>
  <c r="L78" i="4" s="1"/>
  <c r="M78" i="4" s="1"/>
  <c r="K79" i="4"/>
  <c r="L79" i="4" s="1"/>
  <c r="M79" i="4" s="1"/>
  <c r="K80" i="4"/>
  <c r="L80" i="4" s="1"/>
  <c r="M80" i="4" s="1"/>
  <c r="K81" i="4"/>
  <c r="L81" i="4" s="1"/>
  <c r="M81" i="4" s="1"/>
  <c r="K82" i="4"/>
  <c r="L82" i="4" s="1"/>
  <c r="M82" i="4" s="1"/>
  <c r="K83" i="4"/>
  <c r="L83" i="4" s="1"/>
  <c r="M83" i="4" s="1"/>
  <c r="K84" i="4"/>
  <c r="L84" i="4" s="1"/>
  <c r="M84" i="4" s="1"/>
  <c r="K85" i="4"/>
  <c r="L85" i="4" s="1"/>
  <c r="K86" i="4"/>
  <c r="L86" i="4" s="1"/>
  <c r="M86" i="4" s="1"/>
  <c r="K87" i="4"/>
  <c r="L87" i="4" s="1"/>
  <c r="M87" i="4" s="1"/>
  <c r="K88" i="4"/>
  <c r="L88" i="4" s="1"/>
  <c r="K89" i="4"/>
  <c r="L89" i="4" s="1"/>
  <c r="K90" i="4"/>
  <c r="L90" i="4" s="1"/>
  <c r="M90" i="4" s="1"/>
  <c r="K91" i="4"/>
  <c r="L91" i="4" s="1"/>
  <c r="M91" i="4" s="1"/>
  <c r="K92" i="4"/>
  <c r="L92" i="4" s="1"/>
  <c r="M92" i="4" s="1"/>
  <c r="K93" i="4"/>
  <c r="L93" i="4" s="1"/>
  <c r="M93" i="4" s="1"/>
  <c r="K94" i="4"/>
  <c r="L94" i="4" s="1"/>
  <c r="M94" i="4" s="1"/>
  <c r="K95" i="4"/>
  <c r="L95" i="4" s="1"/>
  <c r="K96" i="4"/>
  <c r="L96" i="4" s="1"/>
  <c r="K97" i="4"/>
  <c r="L97" i="4" s="1"/>
  <c r="K98" i="4"/>
  <c r="L98" i="4" s="1"/>
  <c r="K99" i="4"/>
  <c r="L99" i="4" s="1"/>
  <c r="M99" i="4" s="1"/>
  <c r="K100" i="4"/>
  <c r="L100" i="4" s="1"/>
  <c r="M100" i="4" s="1"/>
  <c r="K101" i="4"/>
  <c r="L101" i="4" s="1"/>
  <c r="M101" i="4" s="1"/>
  <c r="K102" i="4"/>
  <c r="L102" i="4" s="1"/>
  <c r="M102" i="4" s="1"/>
  <c r="K103" i="4"/>
  <c r="L103" i="4" s="1"/>
  <c r="M103" i="4" s="1"/>
  <c r="K104" i="4"/>
  <c r="L104" i="4" s="1"/>
  <c r="M104" i="4" s="1"/>
  <c r="K105" i="4"/>
  <c r="L105" i="4" s="1"/>
  <c r="M105" i="4" s="1"/>
  <c r="K106" i="4"/>
  <c r="L106" i="4" s="1"/>
  <c r="M106" i="4" s="1"/>
  <c r="K107" i="4"/>
  <c r="L107" i="4" s="1"/>
  <c r="M107" i="4" s="1"/>
  <c r="K108" i="4"/>
  <c r="L108" i="4" s="1"/>
  <c r="M108" i="4" s="1"/>
  <c r="K109" i="4"/>
  <c r="L109" i="4" s="1"/>
  <c r="K110" i="4"/>
  <c r="L110" i="4" s="1"/>
  <c r="M110" i="4" s="1"/>
  <c r="K111" i="4"/>
  <c r="L111" i="4" s="1"/>
  <c r="M111" i="4" s="1"/>
  <c r="K112" i="4"/>
  <c r="L112" i="4" s="1"/>
  <c r="M112" i="4" s="1"/>
  <c r="K113" i="4"/>
  <c r="L113" i="4" s="1"/>
  <c r="M113" i="4" s="1"/>
  <c r="K114" i="4"/>
  <c r="L114" i="4" s="1"/>
  <c r="M114" i="4" s="1"/>
  <c r="K115" i="4"/>
  <c r="L115" i="4" s="1"/>
  <c r="M115" i="4" s="1"/>
  <c r="K116" i="4"/>
  <c r="L116" i="4" s="1"/>
  <c r="M116" i="4" s="1"/>
  <c r="K117" i="4"/>
  <c r="L117" i="4" s="1"/>
  <c r="M117" i="4" s="1"/>
  <c r="K118" i="4"/>
  <c r="L118" i="4" s="1"/>
  <c r="M118" i="4" s="1"/>
  <c r="K119" i="4"/>
  <c r="L119" i="4" s="1"/>
  <c r="M119" i="4" s="1"/>
  <c r="K120" i="4"/>
  <c r="L120" i="4" s="1"/>
  <c r="M120" i="4" s="1"/>
  <c r="K121" i="4"/>
  <c r="L121" i="4" s="1"/>
  <c r="M121" i="4" s="1"/>
  <c r="K122" i="4"/>
  <c r="L122" i="4" s="1"/>
  <c r="M122" i="4" s="1"/>
  <c r="K123" i="4"/>
  <c r="L123" i="4" s="1"/>
  <c r="M123" i="4" s="1"/>
  <c r="K124" i="4"/>
  <c r="L124" i="4" s="1"/>
  <c r="M124" i="4" s="1"/>
  <c r="K125" i="4"/>
  <c r="L125" i="4" s="1"/>
  <c r="M125" i="4" s="1"/>
  <c r="K126" i="4"/>
  <c r="L126" i="4" s="1"/>
  <c r="M126" i="4" s="1"/>
  <c r="K127" i="4"/>
  <c r="L127" i="4" s="1"/>
  <c r="M127" i="4" s="1"/>
  <c r="K128" i="4"/>
  <c r="L128" i="4" s="1"/>
  <c r="M128" i="4" s="1"/>
  <c r="K129" i="4"/>
  <c r="L129" i="4" s="1"/>
  <c r="M129" i="4" s="1"/>
  <c r="K130" i="4"/>
  <c r="L130" i="4" s="1"/>
  <c r="M130" i="4" s="1"/>
  <c r="K131" i="4"/>
  <c r="L131" i="4" s="1"/>
  <c r="M131" i="4" s="1"/>
  <c r="K132" i="4"/>
  <c r="L132" i="4" s="1"/>
  <c r="M132" i="4" s="1"/>
  <c r="K133" i="4"/>
  <c r="L133" i="4" s="1"/>
  <c r="M133" i="4" s="1"/>
  <c r="K134" i="4"/>
  <c r="L134" i="4" s="1"/>
  <c r="M134" i="4" s="1"/>
  <c r="K135" i="4"/>
  <c r="L135" i="4" s="1"/>
  <c r="M135" i="4" s="1"/>
  <c r="K136" i="4"/>
  <c r="L136" i="4" s="1"/>
  <c r="M136" i="4" s="1"/>
  <c r="K137" i="4"/>
  <c r="L137" i="4" s="1"/>
  <c r="M137" i="4" s="1"/>
  <c r="K138" i="4"/>
  <c r="L138" i="4" s="1"/>
  <c r="M138" i="4" s="1"/>
  <c r="K139" i="4"/>
  <c r="L139" i="4" s="1"/>
  <c r="M139" i="4" s="1"/>
  <c r="K140" i="4"/>
  <c r="L140" i="4" s="1"/>
  <c r="M140" i="4" s="1"/>
  <c r="K141" i="4"/>
  <c r="L141" i="4" s="1"/>
  <c r="M141" i="4" s="1"/>
  <c r="K142" i="4"/>
  <c r="L142" i="4" s="1"/>
  <c r="M142" i="4" s="1"/>
  <c r="K143" i="4"/>
  <c r="L143" i="4" s="1"/>
  <c r="M143" i="4" s="1"/>
  <c r="K144" i="4"/>
  <c r="L144" i="4" s="1"/>
  <c r="M144" i="4" s="1"/>
  <c r="K145" i="4"/>
  <c r="L145" i="4" s="1"/>
  <c r="M145" i="4" s="1"/>
  <c r="K146" i="4"/>
  <c r="L146" i="4" s="1"/>
  <c r="M146" i="4" s="1"/>
  <c r="K147" i="4"/>
  <c r="L147" i="4" s="1"/>
  <c r="M147" i="4" s="1"/>
  <c r="K148" i="4"/>
  <c r="L148" i="4" s="1"/>
  <c r="M148" i="4" s="1"/>
  <c r="K149" i="4"/>
  <c r="L149" i="4" s="1"/>
  <c r="M149" i="4" s="1"/>
  <c r="K150" i="4"/>
  <c r="L150" i="4" s="1"/>
  <c r="M150" i="4" s="1"/>
  <c r="K152" i="4"/>
  <c r="L152" i="4" s="1"/>
  <c r="M152" i="4" s="1"/>
  <c r="K153" i="4"/>
  <c r="L153" i="4" s="1"/>
  <c r="M153" i="4" s="1"/>
  <c r="K154" i="4"/>
  <c r="L154" i="4" s="1"/>
  <c r="M154" i="4" s="1"/>
  <c r="K155" i="4"/>
  <c r="L155" i="4" s="1"/>
  <c r="M155" i="4" s="1"/>
  <c r="K156" i="4"/>
  <c r="L156" i="4" s="1"/>
  <c r="M156" i="4" s="1"/>
  <c r="K157" i="4"/>
  <c r="L157" i="4" s="1"/>
  <c r="M157" i="4" s="1"/>
  <c r="K158" i="4"/>
  <c r="L158" i="4" s="1"/>
  <c r="M158" i="4" s="1"/>
  <c r="K159" i="4"/>
  <c r="L159" i="4" s="1"/>
  <c r="M159" i="4" s="1"/>
  <c r="K160" i="4"/>
  <c r="L160" i="4" s="1"/>
  <c r="M160" i="4" s="1"/>
  <c r="K161" i="4"/>
  <c r="L161" i="4" s="1"/>
  <c r="M161" i="4" s="1"/>
  <c r="K162" i="4"/>
  <c r="L162" i="4" s="1"/>
  <c r="M162" i="4" s="1"/>
  <c r="K163" i="4"/>
  <c r="L163" i="4" s="1"/>
  <c r="M163" i="4" s="1"/>
  <c r="K164" i="4"/>
  <c r="L164" i="4" s="1"/>
  <c r="M164" i="4" s="1"/>
  <c r="K165" i="4"/>
  <c r="L165" i="4" s="1"/>
  <c r="K166" i="4"/>
  <c r="L166" i="4" s="1"/>
  <c r="M166" i="4" s="1"/>
  <c r="K167" i="4"/>
  <c r="L167" i="4" s="1"/>
  <c r="M167" i="4" s="1"/>
  <c r="K168" i="4"/>
  <c r="L168" i="4" s="1"/>
  <c r="M168" i="4" s="1"/>
  <c r="K169" i="4"/>
  <c r="L169" i="4" s="1"/>
  <c r="M169" i="4" s="1"/>
  <c r="K170" i="4"/>
  <c r="L170" i="4" s="1"/>
  <c r="M170" i="4" s="1"/>
  <c r="K171" i="4"/>
  <c r="L171" i="4" s="1"/>
  <c r="M171" i="4" s="1"/>
  <c r="K172" i="4"/>
  <c r="L172" i="4" s="1"/>
  <c r="M172" i="4" s="1"/>
  <c r="K173" i="4"/>
  <c r="L173" i="4" s="1"/>
  <c r="M173" i="4" s="1"/>
  <c r="K174" i="4"/>
  <c r="L174" i="4" s="1"/>
  <c r="M174" i="4" s="1"/>
  <c r="K175" i="4"/>
  <c r="L175" i="4" s="1"/>
  <c r="M175" i="4" s="1"/>
  <c r="K176" i="4"/>
  <c r="L176" i="4" s="1"/>
  <c r="M176" i="4" s="1"/>
  <c r="K177" i="4"/>
  <c r="L177" i="4" s="1"/>
  <c r="M177" i="4" s="1"/>
  <c r="K178" i="4"/>
  <c r="L178" i="4" s="1"/>
  <c r="K179" i="4"/>
  <c r="L179" i="4" s="1"/>
  <c r="M179" i="4" s="1"/>
  <c r="K180" i="4"/>
  <c r="L180" i="4" s="1"/>
  <c r="M180" i="4" s="1"/>
  <c r="K181" i="4"/>
  <c r="L181" i="4" s="1"/>
  <c r="M181" i="4" s="1"/>
  <c r="K182" i="4"/>
  <c r="L182" i="4" s="1"/>
  <c r="M182" i="4" s="1"/>
  <c r="K183" i="4"/>
  <c r="L183" i="4" s="1"/>
  <c r="M183" i="4" s="1"/>
  <c r="K184" i="4"/>
  <c r="L184" i="4" s="1"/>
  <c r="M184" i="4" s="1"/>
  <c r="K185" i="4"/>
  <c r="L185" i="4" s="1"/>
  <c r="M185" i="4" s="1"/>
  <c r="K186" i="4"/>
  <c r="L186" i="4" s="1"/>
  <c r="M186" i="4" s="1"/>
  <c r="K187" i="4"/>
  <c r="L187" i="4" s="1"/>
  <c r="M187" i="4" s="1"/>
  <c r="K188" i="4"/>
  <c r="L188" i="4" s="1"/>
  <c r="M188" i="4" s="1"/>
  <c r="K189" i="4"/>
  <c r="L189" i="4" s="1"/>
  <c r="M189" i="4" s="1"/>
  <c r="K190" i="4"/>
  <c r="L190" i="4" s="1"/>
  <c r="M190" i="4" s="1"/>
  <c r="K191" i="4"/>
  <c r="L191" i="4" s="1"/>
  <c r="M191" i="4" s="1"/>
  <c r="K192" i="4"/>
  <c r="L192" i="4" s="1"/>
  <c r="M192" i="4" s="1"/>
  <c r="K193" i="4"/>
  <c r="L193" i="4" s="1"/>
  <c r="M193" i="4" s="1"/>
  <c r="K194" i="4"/>
  <c r="L194" i="4" s="1"/>
  <c r="M194" i="4" s="1"/>
  <c r="K195" i="4"/>
  <c r="L195" i="4" s="1"/>
  <c r="K196" i="4"/>
  <c r="L196" i="4" s="1"/>
  <c r="M196" i="4" s="1"/>
  <c r="K197" i="4"/>
  <c r="L197" i="4" s="1"/>
  <c r="M197" i="4" s="1"/>
  <c r="K198" i="4"/>
  <c r="L198" i="4" s="1"/>
  <c r="M198" i="4" s="1"/>
  <c r="K199" i="4"/>
  <c r="L199" i="4" s="1"/>
  <c r="M199" i="4" s="1"/>
  <c r="K200" i="4"/>
  <c r="L200" i="4" s="1"/>
  <c r="M200" i="4" s="1"/>
  <c r="K201" i="4"/>
  <c r="L201" i="4" s="1"/>
  <c r="M201" i="4" s="1"/>
  <c r="K202" i="4"/>
  <c r="L202" i="4" s="1"/>
  <c r="M202" i="4" s="1"/>
  <c r="K203" i="4"/>
  <c r="L203" i="4" s="1"/>
  <c r="M203" i="4" s="1"/>
  <c r="K204" i="4"/>
  <c r="L204" i="4" s="1"/>
  <c r="M204" i="4" s="1"/>
  <c r="K205" i="4"/>
  <c r="L205" i="4" s="1"/>
  <c r="M205" i="4" s="1"/>
  <c r="K206" i="4"/>
  <c r="L206" i="4" s="1"/>
  <c r="M206" i="4" s="1"/>
  <c r="K207" i="4"/>
  <c r="L207" i="4" s="1"/>
  <c r="M207" i="4" s="1"/>
  <c r="K208" i="4"/>
  <c r="L208" i="4" s="1"/>
  <c r="K209" i="4"/>
  <c r="L209" i="4" s="1"/>
  <c r="M209" i="4" s="1"/>
  <c r="K210" i="4"/>
  <c r="L210" i="4" s="1"/>
  <c r="M210" i="4" s="1"/>
  <c r="K211" i="4"/>
  <c r="L211" i="4" s="1"/>
  <c r="M211" i="4" s="1"/>
  <c r="K212" i="4"/>
  <c r="L212" i="4" s="1"/>
  <c r="M212" i="4" s="1"/>
  <c r="K219" i="4"/>
  <c r="L219" i="4" s="1"/>
  <c r="M219" i="4" s="1"/>
  <c r="K220" i="4"/>
  <c r="L220" i="4" s="1"/>
  <c r="M220" i="4" s="1"/>
  <c r="K221" i="4"/>
  <c r="L221" i="4" s="1"/>
  <c r="M221" i="4" s="1"/>
  <c r="K222" i="4"/>
  <c r="L222" i="4" s="1"/>
  <c r="M222" i="4" s="1"/>
  <c r="K223" i="4"/>
  <c r="L223" i="4" s="1"/>
  <c r="M223" i="4" s="1"/>
  <c r="F109" i="4"/>
  <c r="F97" i="4"/>
  <c r="F96" i="4"/>
  <c r="F95" i="4"/>
  <c r="F35" i="4"/>
  <c r="F23" i="4"/>
  <c r="M7" i="4" l="1"/>
  <c r="M95" i="4"/>
  <c r="M23" i="4"/>
  <c r="M96" i="4"/>
  <c r="M35" i="4"/>
  <c r="P88" i="4"/>
  <c r="M72" i="4"/>
  <c r="P195" i="4"/>
  <c r="P66" i="4"/>
  <c r="M66" i="4"/>
  <c r="M97" i="4"/>
  <c r="M109" i="4"/>
  <c r="P89" i="4"/>
  <c r="M73" i="4"/>
  <c r="P85" i="4"/>
  <c r="M12" i="4"/>
  <c r="P12" i="4"/>
  <c r="M208" i="4"/>
  <c r="P208" i="4"/>
  <c r="M8" i="4"/>
  <c r="L5" i="1"/>
  <c r="L6" i="1" s="1"/>
  <c r="L7" i="1" s="1"/>
  <c r="L8" i="1" s="1"/>
  <c r="L9" i="1" s="1"/>
  <c r="L10" i="1" s="1"/>
  <c r="L11" i="1" s="1"/>
  <c r="L12" i="1" s="1"/>
  <c r="L13" i="1" s="1"/>
  <c r="L14" i="1" s="1"/>
  <c r="Y7" i="7"/>
  <c r="W7" i="7"/>
  <c r="R225" i="4" l="1"/>
  <c r="L15" i="1"/>
  <c r="L16" i="1" s="1"/>
  <c r="L17" i="1" s="1"/>
  <c r="L18" i="1" s="1"/>
  <c r="L19" i="1" s="1"/>
  <c r="L20" i="1" s="1"/>
  <c r="L21" i="1" s="1"/>
  <c r="L22" i="1" s="1"/>
  <c r="L23" i="1" s="1"/>
  <c r="L24" i="1" s="1"/>
  <c r="L25" i="1" s="1"/>
  <c r="L42" i="1" s="1"/>
  <c r="L43" i="1" s="1"/>
  <c r="L44" i="1" s="1"/>
  <c r="L45" i="1" s="1"/>
  <c r="L46" i="1" s="1"/>
  <c r="L47" i="1" s="1"/>
  <c r="L48" i="1" s="1"/>
  <c r="L49" i="1" s="1"/>
  <c r="L50" i="1" s="1"/>
  <c r="L51" i="1" s="1"/>
  <c r="L52" i="1" s="1"/>
  <c r="L53" i="1" s="1"/>
  <c r="L54" i="1" s="1"/>
  <c r="L55" i="1" s="1"/>
  <c r="L56" i="1" s="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144" i="1" s="1"/>
  <c r="L145" i="1" s="1"/>
  <c r="L146" i="1" s="1"/>
  <c r="L147" i="1" s="1"/>
  <c r="L148" i="1" s="1"/>
  <c r="L149" i="1" s="1"/>
  <c r="L150" i="1" s="1"/>
  <c r="L151" i="1" s="1"/>
  <c r="L152" i="1" s="1"/>
  <c r="L153" i="1" s="1"/>
  <c r="L154" i="1" s="1"/>
  <c r="L155" i="1" s="1"/>
  <c r="L156" i="1" s="1"/>
  <c r="L157" i="1" s="1"/>
  <c r="L158" i="1" s="1"/>
  <c r="L159" i="1" s="1"/>
  <c r="L160" i="1" s="1"/>
  <c r="L161" i="1" s="1"/>
  <c r="L162" i="1" s="1"/>
  <c r="L163" i="1" s="1"/>
  <c r="L164" i="1" s="1"/>
  <c r="L165" i="1" s="1"/>
  <c r="L166" i="1" s="1"/>
  <c r="L167" i="1" s="1"/>
  <c r="L168" i="1" s="1"/>
  <c r="L169" i="1" s="1"/>
  <c r="L170" i="1" s="1"/>
  <c r="L171" i="1" s="1"/>
  <c r="L172" i="1" s="1"/>
  <c r="L173" i="1" s="1"/>
  <c r="L174" i="1" s="1"/>
  <c r="L175" i="1" s="1"/>
  <c r="L176" i="1" s="1"/>
  <c r="L177" i="1" s="1"/>
  <c r="L178" i="1" s="1"/>
  <c r="L179" i="1" s="1"/>
  <c r="L180" i="1" s="1"/>
  <c r="L181" i="1" s="1"/>
  <c r="L182" i="1" s="1"/>
  <c r="L183" i="1" s="1"/>
  <c r="L184" i="1" s="1"/>
  <c r="L185" i="1" s="1"/>
  <c r="L186" i="1" s="1"/>
  <c r="L187" i="1" s="1"/>
  <c r="L188" i="1" s="1"/>
  <c r="L189" i="1" s="1"/>
  <c r="L190" i="1" s="1"/>
  <c r="L191" i="1" s="1"/>
  <c r="L192" i="1" s="1"/>
  <c r="L193" i="1" s="1"/>
  <c r="L194" i="1" s="1"/>
  <c r="L195" i="1" s="1"/>
  <c r="L196" i="1" s="1"/>
  <c r="L197" i="1" s="1"/>
  <c r="L198" i="1" s="1"/>
  <c r="L199" i="1" s="1"/>
  <c r="L200" i="1" s="1"/>
  <c r="L201" i="1" s="1"/>
  <c r="L202" i="1" s="1"/>
  <c r="M225" i="4"/>
  <c r="F22" i="2"/>
  <c r="G22" i="2" s="1"/>
  <c r="I22" i="2" s="1"/>
  <c r="F23" i="2"/>
  <c r="G23" i="2"/>
  <c r="I23" i="2" s="1"/>
  <c r="F24" i="2"/>
  <c r="G24" i="2" s="1"/>
  <c r="I24" i="2" s="1"/>
  <c r="F25" i="2"/>
  <c r="G25" i="2"/>
  <c r="I25" i="2" s="1"/>
  <c r="F26" i="2"/>
  <c r="G26" i="2" s="1"/>
  <c r="I26" i="2" s="1"/>
  <c r="F27" i="2"/>
  <c r="G27" i="2" s="1"/>
  <c r="I27" i="2" s="1"/>
  <c r="F28" i="2"/>
  <c r="G28" i="2" s="1"/>
  <c r="I28" i="2" s="1"/>
  <c r="F29" i="2"/>
  <c r="G29" i="2" s="1"/>
  <c r="I29" i="2" s="1"/>
  <c r="F30" i="2"/>
  <c r="G30" i="2" s="1"/>
  <c r="I30" i="2" s="1"/>
  <c r="F31" i="2"/>
  <c r="G31" i="2" s="1"/>
  <c r="I31" i="2" s="1"/>
  <c r="F32" i="2"/>
  <c r="G32" i="2"/>
  <c r="I32" i="2" s="1"/>
  <c r="F33" i="2"/>
  <c r="G33" i="2"/>
  <c r="I33" i="2" s="1"/>
  <c r="F34" i="2"/>
  <c r="G34" i="2"/>
  <c r="I34" i="2" s="1"/>
  <c r="F35" i="2"/>
  <c r="G35" i="2"/>
  <c r="I35" i="2" s="1"/>
  <c r="F36" i="2"/>
  <c r="G36" i="2"/>
  <c r="I36" i="2" s="1"/>
  <c r="F37" i="2"/>
  <c r="G37" i="2"/>
  <c r="I37" i="2" s="1"/>
  <c r="F38" i="2"/>
  <c r="G38" i="2"/>
  <c r="I38" i="2"/>
  <c r="F39" i="2"/>
  <c r="G39" i="2"/>
  <c r="I39" i="2" s="1"/>
  <c r="J7" i="1" l="1"/>
  <c r="K20" i="1" l="1"/>
  <c r="P13" i="7" l="1"/>
  <c r="K7" i="1"/>
  <c r="M7" i="1" s="1"/>
  <c r="AC25" i="5" l="1"/>
  <c r="AC13" i="5"/>
  <c r="AF25" i="5"/>
  <c r="V25" i="5"/>
  <c r="M25" i="5"/>
  <c r="I12" i="5"/>
  <c r="P12" i="5"/>
  <c r="AC12" i="5"/>
  <c r="AF12" i="5"/>
  <c r="M12" i="5"/>
  <c r="V12" i="5"/>
  <c r="T33" i="2" l="1"/>
  <c r="T32" i="2"/>
  <c r="K6" i="2"/>
  <c r="F12" i="2"/>
  <c r="F14" i="2"/>
  <c r="F13" i="2"/>
  <c r="AC22" i="5" l="1"/>
  <c r="P22" i="5"/>
  <c r="AF22" i="5"/>
  <c r="V22" i="5"/>
  <c r="M22" i="5"/>
  <c r="I22" i="5"/>
  <c r="K11" i="2" l="1"/>
  <c r="F50" i="1" l="1"/>
  <c r="J50" i="1"/>
  <c r="K50" i="1" s="1"/>
  <c r="M50" i="1" s="1"/>
  <c r="J81" i="1"/>
  <c r="K81" i="1" s="1"/>
  <c r="M81" i="1" s="1"/>
  <c r="F81" i="1"/>
  <c r="J131" i="1" l="1"/>
  <c r="K131" i="1" s="1"/>
  <c r="M131" i="1" s="1"/>
  <c r="C22" i="6" l="1"/>
  <c r="C33" i="6" l="1"/>
  <c r="C20" i="6"/>
  <c r="C16" i="6"/>
  <c r="C46" i="6"/>
  <c r="C42" i="6"/>
  <c r="AC9" i="5" l="1"/>
  <c r="AC10" i="5"/>
  <c r="AC11" i="5"/>
  <c r="AC14" i="5"/>
  <c r="AC8" i="5"/>
  <c r="AA19" i="5"/>
  <c r="AA18" i="5"/>
  <c r="V17" i="5" l="1"/>
  <c r="V16" i="5"/>
  <c r="I10" i="5"/>
  <c r="I9" i="5"/>
  <c r="D10" i="5"/>
  <c r="Y15" i="5" l="1"/>
  <c r="Y25" i="5"/>
  <c r="Y12" i="5"/>
  <c r="Y22" i="5"/>
  <c r="V19" i="5"/>
  <c r="V18" i="5"/>
  <c r="G12" i="2"/>
  <c r="F17" i="2"/>
  <c r="G17" i="2" s="1"/>
  <c r="F9" i="2"/>
  <c r="G9" i="2" s="1"/>
  <c r="G8" i="2"/>
  <c r="F18" i="2"/>
  <c r="G18" i="2" s="1"/>
  <c r="F7" i="2"/>
  <c r="G7" i="2" s="1"/>
  <c r="F5" i="2"/>
  <c r="G5" i="2" s="1"/>
  <c r="F6" i="2"/>
  <c r="G6" i="2" s="1"/>
  <c r="F4" i="2"/>
  <c r="G4" i="2" s="1"/>
  <c r="F20" i="2"/>
  <c r="G20" i="2" s="1"/>
  <c r="F10" i="2"/>
  <c r="G10" i="2" s="1"/>
  <c r="F11" i="2"/>
  <c r="G11" i="2" s="1"/>
  <c r="F15" i="2"/>
  <c r="G15" i="2" s="1"/>
  <c r="F16" i="2"/>
  <c r="G16" i="2" s="1"/>
  <c r="F21" i="2"/>
  <c r="G21" i="2" s="1"/>
  <c r="F40" i="2"/>
  <c r="G40" i="2" s="1"/>
  <c r="F41" i="2"/>
  <c r="G41" i="2" s="1"/>
  <c r="F42" i="2"/>
  <c r="G42" i="2" s="1"/>
  <c r="F43" i="2"/>
  <c r="G43" i="2" s="1"/>
  <c r="F45" i="2"/>
  <c r="G45" i="2" s="1"/>
  <c r="F47" i="2"/>
  <c r="G47" i="2" s="1"/>
  <c r="F49" i="2"/>
  <c r="G49" i="2" s="1"/>
  <c r="F50" i="2"/>
  <c r="G50" i="2" s="1"/>
  <c r="F51" i="2"/>
  <c r="G51" i="2" s="1"/>
  <c r="F52" i="2"/>
  <c r="G52" i="2" s="1"/>
  <c r="F53" i="2"/>
  <c r="G53" i="2" s="1"/>
  <c r="F54" i="2"/>
  <c r="G54" i="2" s="1"/>
  <c r="I51" i="2" s="1"/>
  <c r="F56" i="2"/>
  <c r="G56" i="2" s="1"/>
  <c r="F57" i="2"/>
  <c r="G57" i="2" s="1"/>
  <c r="F58" i="2"/>
  <c r="G58" i="2" s="1"/>
  <c r="F59" i="2"/>
  <c r="G59" i="2" s="1"/>
  <c r="F44" i="2"/>
  <c r="G44" i="2" s="1"/>
  <c r="F62" i="2"/>
  <c r="G62" i="2" s="1"/>
  <c r="F63" i="2"/>
  <c r="G63" i="2" s="1"/>
  <c r="F46" i="2"/>
  <c r="G46" i="2" s="1"/>
  <c r="F65" i="2"/>
  <c r="G65" i="2" s="1"/>
  <c r="F48" i="2"/>
  <c r="G48" i="2" s="1"/>
  <c r="F66" i="2"/>
  <c r="G66" i="2" s="1"/>
  <c r="F67" i="2"/>
  <c r="G67" i="2" s="1"/>
  <c r="F69" i="2"/>
  <c r="G69" i="2" s="1"/>
  <c r="F70" i="2"/>
  <c r="G70" i="2" s="1"/>
  <c r="F71" i="2"/>
  <c r="G71" i="2" s="1"/>
  <c r="F72" i="2"/>
  <c r="G72" i="2" s="1"/>
  <c r="F55" i="2"/>
  <c r="G55" i="2" s="1"/>
  <c r="F73" i="2"/>
  <c r="G73" i="2" s="1"/>
  <c r="F60" i="2"/>
  <c r="G60" i="2" s="1"/>
  <c r="F61" i="2"/>
  <c r="G61" i="2" s="1"/>
  <c r="F74" i="2"/>
  <c r="G74" i="2" s="1"/>
  <c r="F75" i="2"/>
  <c r="G75" i="2" s="1"/>
  <c r="F64" i="2"/>
  <c r="G64" i="2" s="1"/>
  <c r="F68" i="2"/>
  <c r="G68" i="2" s="1"/>
  <c r="F76" i="2"/>
  <c r="G76" i="2" s="1"/>
  <c r="I76" i="2" s="1"/>
  <c r="F77" i="2"/>
  <c r="G77" i="2" s="1"/>
  <c r="I77" i="2" s="1"/>
  <c r="F78" i="2"/>
  <c r="G78" i="2" s="1"/>
  <c r="I78" i="2" s="1"/>
  <c r="F79" i="2"/>
  <c r="G79" i="2" s="1"/>
  <c r="I79" i="2" s="1"/>
  <c r="F80" i="2"/>
  <c r="G80" i="2" s="1"/>
  <c r="I80" i="2" s="1"/>
  <c r="F81" i="2"/>
  <c r="G81" i="2" s="1"/>
  <c r="I81" i="2" s="1"/>
  <c r="F82" i="2"/>
  <c r="G82" i="2" s="1"/>
  <c r="I82" i="2" s="1"/>
  <c r="F83" i="2"/>
  <c r="G83" i="2" s="1"/>
  <c r="I83" i="2" s="1"/>
  <c r="F84" i="2"/>
  <c r="G84" i="2" s="1"/>
  <c r="I84" i="2" s="1"/>
  <c r="F85" i="2"/>
  <c r="G85" i="2" s="1"/>
  <c r="I85" i="2" s="1"/>
  <c r="F86" i="2"/>
  <c r="G86" i="2" s="1"/>
  <c r="I86" i="2" s="1"/>
  <c r="F87" i="2"/>
  <c r="G87" i="2" s="1"/>
  <c r="I87" i="2" s="1"/>
  <c r="F88" i="2"/>
  <c r="G88" i="2" s="1"/>
  <c r="I88" i="2" s="1"/>
  <c r="F89" i="2"/>
  <c r="G89" i="2" s="1"/>
  <c r="I89" i="2" s="1"/>
  <c r="F90" i="2"/>
  <c r="G90" i="2" s="1"/>
  <c r="I90" i="2" s="1"/>
  <c r="F91" i="2"/>
  <c r="G91" i="2" s="1"/>
  <c r="I91" i="2" s="1"/>
  <c r="F92" i="2"/>
  <c r="G92" i="2" s="1"/>
  <c r="I92" i="2" s="1"/>
  <c r="F93" i="2"/>
  <c r="G93" i="2" s="1"/>
  <c r="I93" i="2" s="1"/>
  <c r="F94" i="2"/>
  <c r="G94" i="2" s="1"/>
  <c r="I94"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11" i="2"/>
  <c r="G111" i="2" s="1"/>
  <c r="F112" i="2"/>
  <c r="G112" i="2" s="1"/>
  <c r="F113" i="2"/>
  <c r="G113" i="2" s="1"/>
  <c r="F114" i="2"/>
  <c r="G114" i="2" s="1"/>
  <c r="F115" i="2"/>
  <c r="G115" i="2" s="1"/>
  <c r="F116" i="2"/>
  <c r="G116" i="2" s="1"/>
  <c r="F117" i="2"/>
  <c r="G117" i="2" s="1"/>
  <c r="F118" i="2"/>
  <c r="G118" i="2" s="1"/>
  <c r="F119" i="2"/>
  <c r="G119" i="2" s="1"/>
  <c r="F95" i="2"/>
  <c r="G95" i="2" s="1"/>
  <c r="F120" i="2"/>
  <c r="G120" i="2" s="1"/>
  <c r="F96" i="2"/>
  <c r="G96" i="2" s="1"/>
  <c r="F121" i="2"/>
  <c r="G121" i="2" s="1"/>
  <c r="I121" i="2" s="1"/>
  <c r="F122" i="2"/>
  <c r="G122" i="2" s="1"/>
  <c r="I122" i="2" s="1"/>
  <c r="F123" i="2"/>
  <c r="G123" i="2" s="1"/>
  <c r="I123" i="2" s="1"/>
  <c r="F124" i="2"/>
  <c r="G124" i="2" s="1"/>
  <c r="I124" i="2" s="1"/>
  <c r="F125" i="2"/>
  <c r="G125" i="2" s="1"/>
  <c r="I125" i="2" s="1"/>
  <c r="F126" i="2"/>
  <c r="G126" i="2" s="1"/>
  <c r="I126" i="2" s="1"/>
  <c r="F127" i="2"/>
  <c r="G127" i="2" s="1"/>
  <c r="I127" i="2" s="1"/>
  <c r="F128" i="2"/>
  <c r="G128" i="2" s="1"/>
  <c r="I128" i="2" s="1"/>
  <c r="F129" i="2"/>
  <c r="G129" i="2" s="1"/>
  <c r="I129" i="2" s="1"/>
  <c r="F130" i="2"/>
  <c r="G130" i="2" s="1"/>
  <c r="I130" i="2" s="1"/>
  <c r="F131" i="2"/>
  <c r="G131" i="2" s="1"/>
  <c r="I131" i="2" s="1"/>
  <c r="F132" i="2"/>
  <c r="G132" i="2" s="1"/>
  <c r="I132" i="2" s="1"/>
  <c r="F133" i="2"/>
  <c r="G133" i="2" s="1"/>
  <c r="I133" i="2" s="1"/>
  <c r="F134" i="2"/>
  <c r="G134" i="2" s="1"/>
  <c r="I134" i="2" s="1"/>
  <c r="F135" i="2"/>
  <c r="G135" i="2" s="1"/>
  <c r="I135" i="2" s="1"/>
  <c r="F136" i="2"/>
  <c r="G136" i="2" s="1"/>
  <c r="I136" i="2" s="1"/>
  <c r="F137" i="2"/>
  <c r="G137" i="2" s="1"/>
  <c r="I137" i="2" s="1"/>
  <c r="F138" i="2"/>
  <c r="G138" i="2" s="1"/>
  <c r="I138" i="2" s="1"/>
  <c r="F139" i="2"/>
  <c r="G139" i="2" s="1"/>
  <c r="I139" i="2" s="1"/>
  <c r="F140" i="2"/>
  <c r="G140" i="2" s="1"/>
  <c r="I140" i="2" s="1"/>
  <c r="F141" i="2"/>
  <c r="G141" i="2" s="1"/>
  <c r="I141" i="2" s="1"/>
  <c r="F142" i="2"/>
  <c r="G142" i="2" s="1"/>
  <c r="I142" i="2" s="1"/>
  <c r="F143" i="2"/>
  <c r="G143" i="2" s="1"/>
  <c r="I143" i="2" s="1"/>
  <c r="F144" i="2"/>
  <c r="G144" i="2" s="1"/>
  <c r="I144" i="2" s="1"/>
  <c r="F145" i="2"/>
  <c r="G145" i="2" s="1"/>
  <c r="I145" i="2" s="1"/>
  <c r="F146" i="2"/>
  <c r="G146" i="2" s="1"/>
  <c r="I146" i="2" s="1"/>
  <c r="F147" i="2"/>
  <c r="G147" i="2" s="1"/>
  <c r="I147" i="2" s="1"/>
  <c r="F148" i="2"/>
  <c r="G148" i="2" s="1"/>
  <c r="I148" i="2" s="1"/>
  <c r="F149" i="2"/>
  <c r="G149" i="2" s="1"/>
  <c r="I149" i="2" s="1"/>
  <c r="F150" i="2"/>
  <c r="G150" i="2" s="1"/>
  <c r="I150" i="2" s="1"/>
  <c r="F151" i="2"/>
  <c r="G151" i="2" s="1"/>
  <c r="I151" i="2" s="1"/>
  <c r="F152" i="2"/>
  <c r="G152" i="2" s="1"/>
  <c r="I152" i="2" s="1"/>
  <c r="F153" i="2"/>
  <c r="G153" i="2" s="1"/>
  <c r="I153" i="2" s="1"/>
  <c r="F154" i="2"/>
  <c r="G154" i="2" s="1"/>
  <c r="I154" i="2" s="1"/>
  <c r="F155" i="2"/>
  <c r="G155" i="2" s="1"/>
  <c r="I155" i="2" s="1"/>
  <c r="F156" i="2"/>
  <c r="G156" i="2" s="1"/>
  <c r="I156" i="2" s="1"/>
  <c r="F157" i="2"/>
  <c r="G157" i="2" s="1"/>
  <c r="I157" i="2" s="1"/>
  <c r="F158" i="2"/>
  <c r="G158" i="2" s="1"/>
  <c r="I158" i="2" s="1"/>
  <c r="F159" i="2"/>
  <c r="G159" i="2" s="1"/>
  <c r="I159" i="2" s="1"/>
  <c r="F160" i="2"/>
  <c r="G160" i="2" s="1"/>
  <c r="I160" i="2" s="1"/>
  <c r="F161" i="2"/>
  <c r="G161" i="2" s="1"/>
  <c r="I161" i="2" s="1"/>
  <c r="F162" i="2"/>
  <c r="G162" i="2" s="1"/>
  <c r="I162" i="2" s="1"/>
  <c r="F163" i="2"/>
  <c r="G163" i="2" s="1"/>
  <c r="I163" i="2" s="1"/>
  <c r="F164" i="2"/>
  <c r="G164" i="2" s="1"/>
  <c r="I164" i="2" s="1"/>
  <c r="F165" i="2"/>
  <c r="G165" i="2" s="1"/>
  <c r="I165" i="2" s="1"/>
  <c r="F166" i="2"/>
  <c r="G166" i="2" s="1"/>
  <c r="I166" i="2" s="1"/>
  <c r="F167" i="2"/>
  <c r="G167" i="2" s="1"/>
  <c r="I167" i="2" s="1"/>
  <c r="F168" i="2"/>
  <c r="G168" i="2" s="1"/>
  <c r="I168" i="2" s="1"/>
  <c r="F169" i="2"/>
  <c r="G169" i="2" s="1"/>
  <c r="I169" i="2" s="1"/>
  <c r="F170" i="2"/>
  <c r="G170" i="2" s="1"/>
  <c r="I170" i="2" s="1"/>
  <c r="F171" i="2"/>
  <c r="G171" i="2" s="1"/>
  <c r="I171" i="2" s="1"/>
  <c r="F172" i="2"/>
  <c r="G172" i="2" s="1"/>
  <c r="I172" i="2" s="1"/>
  <c r="F173" i="2"/>
  <c r="G173" i="2" s="1"/>
  <c r="I173" i="2" s="1"/>
  <c r="F174" i="2"/>
  <c r="G174" i="2" s="1"/>
  <c r="I174" i="2" s="1"/>
  <c r="F175" i="2"/>
  <c r="G175" i="2" s="1"/>
  <c r="I175" i="2" s="1"/>
  <c r="F176" i="2"/>
  <c r="G176" i="2" s="1"/>
  <c r="I176" i="2" s="1"/>
  <c r="F177" i="2"/>
  <c r="G177" i="2" s="1"/>
  <c r="I177" i="2" s="1"/>
  <c r="F178" i="2"/>
  <c r="G178" i="2" s="1"/>
  <c r="I178" i="2" s="1"/>
  <c r="F179" i="2"/>
  <c r="G179" i="2" s="1"/>
  <c r="I179" i="2" s="1"/>
  <c r="F180" i="2"/>
  <c r="G180" i="2" s="1"/>
  <c r="I180" i="2" s="1"/>
  <c r="F182" i="2"/>
  <c r="G182" i="2" s="1"/>
  <c r="F183" i="2"/>
  <c r="G183" i="2" s="1"/>
  <c r="F184" i="2"/>
  <c r="G184" i="2" s="1"/>
  <c r="F185" i="2"/>
  <c r="G185" i="2" s="1"/>
  <c r="F186" i="2"/>
  <c r="G186" i="2" s="1"/>
  <c r="I185" i="2" s="1"/>
  <c r="F181" i="2"/>
  <c r="G181" i="2" s="1"/>
  <c r="F187" i="2"/>
  <c r="G187" i="2" s="1"/>
  <c r="I187" i="2" s="1"/>
  <c r="F188" i="2"/>
  <c r="G188" i="2" s="1"/>
  <c r="I188" i="2" s="1"/>
  <c r="F189" i="2"/>
  <c r="G189" i="2" s="1"/>
  <c r="I189" i="2" s="1"/>
  <c r="F190" i="2"/>
  <c r="G190" i="2" s="1"/>
  <c r="I190" i="2" s="1"/>
  <c r="F191" i="2"/>
  <c r="G191" i="2" s="1"/>
  <c r="I191" i="2" s="1"/>
  <c r="F192" i="2"/>
  <c r="G192" i="2" s="1"/>
  <c r="I192" i="2" s="1"/>
  <c r="F193" i="2"/>
  <c r="G193" i="2" s="1"/>
  <c r="I193" i="2" s="1"/>
  <c r="F194" i="2"/>
  <c r="G194" i="2" s="1"/>
  <c r="I194" i="2" s="1"/>
  <c r="F195" i="2"/>
  <c r="G195" i="2" s="1"/>
  <c r="I195" i="2" s="1"/>
  <c r="H5" i="2"/>
  <c r="H6" i="2" s="1"/>
  <c r="H7" i="2" s="1"/>
  <c r="H8" i="2" s="1"/>
  <c r="H9" i="2" s="1"/>
  <c r="H10" i="2" s="1"/>
  <c r="H11" i="2" s="1"/>
  <c r="H12" i="2" s="1"/>
  <c r="H13" i="2" s="1"/>
  <c r="H14" i="2" s="1"/>
  <c r="H15" i="2" s="1"/>
  <c r="H16" i="2" s="1"/>
  <c r="H17" i="2" s="1"/>
  <c r="H18" i="2" s="1"/>
  <c r="I50" i="2" l="1"/>
  <c r="I59" i="2"/>
  <c r="I113" i="2"/>
  <c r="I67" i="2"/>
  <c r="I115" i="2"/>
  <c r="I107" i="2"/>
  <c r="I99" i="2"/>
  <c r="I75" i="2"/>
  <c r="I43" i="2"/>
  <c r="I66" i="2"/>
  <c r="I58" i="2"/>
  <c r="I42" i="2"/>
  <c r="I48" i="2"/>
  <c r="I183" i="2"/>
  <c r="I9" i="2"/>
  <c r="I16" i="2"/>
  <c r="I184" i="2"/>
  <c r="I112" i="2"/>
  <c r="I104" i="2"/>
  <c r="I40" i="2"/>
  <c r="I6" i="2"/>
  <c r="I108" i="2"/>
  <c r="I100" i="2"/>
  <c r="I68" i="2"/>
  <c r="I60" i="2"/>
  <c r="I52" i="2"/>
  <c r="I44" i="2"/>
  <c r="I10" i="2"/>
  <c r="I181" i="2"/>
  <c r="I20" i="2"/>
  <c r="I96" i="2"/>
  <c r="I64" i="2"/>
  <c r="I119" i="2"/>
  <c r="I111" i="2"/>
  <c r="I103" i="2"/>
  <c r="I47" i="2"/>
  <c r="I18" i="2"/>
  <c r="I118" i="2"/>
  <c r="I70" i="2"/>
  <c r="I62" i="2"/>
  <c r="I21" i="2"/>
  <c r="I114" i="2"/>
  <c r="I186" i="2"/>
  <c r="I116" i="2"/>
  <c r="I109" i="2"/>
  <c r="I101" i="2"/>
  <c r="I69" i="2"/>
  <c r="I61" i="2"/>
  <c r="I53" i="2"/>
  <c r="I45" i="2"/>
  <c r="I11" i="2"/>
  <c r="I106" i="2"/>
  <c r="I98" i="2"/>
  <c r="I74" i="2"/>
  <c r="I8" i="2"/>
  <c r="I182" i="2"/>
  <c r="I120" i="2"/>
  <c r="I105" i="2"/>
  <c r="I97" i="2"/>
  <c r="I73" i="2"/>
  <c r="I65" i="2"/>
  <c r="I57" i="2"/>
  <c r="I49" i="2"/>
  <c r="I41" i="2"/>
  <c r="I15" i="2"/>
  <c r="I7" i="2"/>
  <c r="I17" i="2"/>
  <c r="I72" i="2"/>
  <c r="I56" i="2"/>
  <c r="I95" i="2"/>
  <c r="I71" i="2"/>
  <c r="I63" i="2"/>
  <c r="I55" i="2"/>
  <c r="I117" i="2"/>
  <c r="I110" i="2"/>
  <c r="I102" i="2"/>
  <c r="I54" i="2"/>
  <c r="I46" i="2"/>
  <c r="I12" i="2"/>
  <c r="G13" i="2"/>
  <c r="I4" i="2" s="1"/>
  <c r="G14" i="2"/>
  <c r="I5" i="2" s="1"/>
  <c r="K5" i="2"/>
  <c r="K4" i="2"/>
  <c r="C198" i="2"/>
  <c r="C197" i="2"/>
  <c r="I14" i="2" l="1"/>
  <c r="I13" i="2"/>
  <c r="C205" i="1"/>
  <c r="C204" i="1"/>
  <c r="K19" i="5" l="1"/>
  <c r="K18" i="5"/>
  <c r="G19" i="5"/>
  <c r="G18" i="5"/>
  <c r="AF17" i="5"/>
  <c r="AF16" i="5"/>
  <c r="M9" i="5"/>
  <c r="M10" i="5"/>
  <c r="M11" i="5"/>
  <c r="M13" i="5"/>
  <c r="M14" i="5"/>
  <c r="M8" i="5"/>
  <c r="I11" i="5"/>
  <c r="I13" i="5"/>
  <c r="AI12" i="5" l="1"/>
  <c r="AI15" i="5"/>
  <c r="AI25" i="5"/>
  <c r="AI22" i="5"/>
  <c r="AF19" i="5"/>
  <c r="P19" i="5"/>
  <c r="AF18" i="5"/>
  <c r="AF14" i="5"/>
  <c r="AI14" i="5" s="1"/>
  <c r="AF9" i="5"/>
  <c r="AI9" i="5" s="1"/>
  <c r="AF10" i="5"/>
  <c r="AI10" i="5" s="1"/>
  <c r="AF11" i="5"/>
  <c r="AI11" i="5" s="1"/>
  <c r="AF13" i="5"/>
  <c r="AI13" i="5" s="1"/>
  <c r="AE8" i="5"/>
  <c r="AF8" i="5" s="1"/>
  <c r="AI8" i="5" s="1"/>
  <c r="P9" i="5"/>
  <c r="P10" i="5"/>
  <c r="P11" i="5"/>
  <c r="P13" i="5"/>
  <c r="P14" i="5"/>
  <c r="P8" i="5"/>
  <c r="G14" i="5"/>
  <c r="I14" i="5" s="1"/>
  <c r="G8" i="5"/>
  <c r="I8" i="5" s="1"/>
  <c r="V9" i="5"/>
  <c r="Y9" i="5" s="1"/>
  <c r="V10" i="5"/>
  <c r="Y10" i="5" s="1"/>
  <c r="V11" i="5"/>
  <c r="Y11" i="5" s="1"/>
  <c r="V13" i="5"/>
  <c r="Y13" i="5" s="1"/>
  <c r="V14" i="5"/>
  <c r="Y14" i="5" s="1"/>
  <c r="V8" i="5"/>
  <c r="Y8" i="5" s="1"/>
  <c r="J104" i="1" l="1"/>
  <c r="K104" i="1" s="1"/>
  <c r="M104" i="1" s="1"/>
  <c r="F104" i="1"/>
  <c r="F5" i="1" l="1"/>
  <c r="F6" i="1"/>
  <c r="F7" i="1"/>
  <c r="F8" i="1"/>
  <c r="F9" i="1"/>
  <c r="F10" i="1"/>
  <c r="F11" i="1"/>
  <c r="F12" i="1"/>
  <c r="F13" i="1"/>
  <c r="F14" i="1"/>
  <c r="F15" i="1"/>
  <c r="F16" i="1"/>
  <c r="F27" i="1"/>
  <c r="F17" i="1"/>
  <c r="F18" i="1"/>
  <c r="F19" i="1"/>
  <c r="F21" i="1"/>
  <c r="F22" i="1"/>
  <c r="F23" i="1"/>
  <c r="F24" i="1"/>
  <c r="F25" i="1"/>
  <c r="F26" i="1"/>
  <c r="F28" i="1"/>
  <c r="F31" i="1"/>
  <c r="F29" i="1"/>
  <c r="F30" i="1"/>
  <c r="F32" i="1"/>
  <c r="F33" i="1"/>
  <c r="F34" i="1"/>
  <c r="F35" i="1"/>
  <c r="F36" i="1"/>
  <c r="F37" i="1"/>
  <c r="F38" i="1"/>
  <c r="F39" i="1"/>
  <c r="F40" i="1"/>
  <c r="F41" i="1"/>
  <c r="F42" i="1"/>
  <c r="F43" i="1"/>
  <c r="F44" i="1"/>
  <c r="F45"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7" i="1"/>
  <c r="F78" i="1"/>
  <c r="F79" i="1"/>
  <c r="F80" i="1"/>
  <c r="F82" i="1"/>
  <c r="F83" i="1"/>
  <c r="F84" i="1"/>
  <c r="F86" i="1"/>
  <c r="F87" i="1"/>
  <c r="F88" i="1"/>
  <c r="F89" i="1"/>
  <c r="F90" i="1"/>
  <c r="F92" i="1"/>
  <c r="F93" i="1"/>
  <c r="F94" i="1"/>
  <c r="F95" i="1"/>
  <c r="F96" i="1"/>
  <c r="F97" i="1"/>
  <c r="F98" i="1"/>
  <c r="F99" i="1"/>
  <c r="F100" i="1"/>
  <c r="F101" i="1"/>
  <c r="F102" i="1"/>
  <c r="F103" i="1"/>
  <c r="F105" i="1"/>
  <c r="F106" i="1"/>
  <c r="F107" i="1"/>
  <c r="F108" i="1"/>
  <c r="F109" i="1"/>
  <c r="F110" i="1"/>
  <c r="F111" i="1"/>
  <c r="F112" i="1"/>
  <c r="F113"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2" i="1"/>
  <c r="F183" i="1"/>
  <c r="F184" i="1"/>
  <c r="F185" i="1"/>
  <c r="F186" i="1"/>
  <c r="F187" i="1"/>
  <c r="F188" i="1"/>
  <c r="F189" i="1"/>
  <c r="F190" i="1"/>
  <c r="F191" i="1"/>
  <c r="F192" i="1"/>
  <c r="F193" i="1"/>
  <c r="F194" i="1"/>
  <c r="F195" i="1"/>
  <c r="F196" i="1"/>
  <c r="F197" i="1"/>
  <c r="F198" i="1"/>
  <c r="F199" i="1"/>
  <c r="F200" i="1"/>
  <c r="F201" i="1"/>
  <c r="F202" i="1"/>
  <c r="F46" i="1"/>
  <c r="F91" i="1"/>
  <c r="F4" i="1"/>
  <c r="J5" i="1" l="1"/>
  <c r="J8" i="1"/>
  <c r="J9" i="1"/>
  <c r="J10" i="1"/>
  <c r="J11" i="1"/>
  <c r="J12" i="1"/>
  <c r="J13" i="1"/>
  <c r="J14" i="1"/>
  <c r="J15" i="1"/>
  <c r="J16" i="1"/>
  <c r="J17" i="1"/>
  <c r="J18" i="1"/>
  <c r="J19" i="1"/>
  <c r="J21" i="1"/>
  <c r="J22" i="1"/>
  <c r="J49" i="1"/>
  <c r="J51" i="1"/>
  <c r="J52" i="1"/>
  <c r="J53" i="1"/>
  <c r="J54" i="1"/>
  <c r="J55" i="1"/>
  <c r="J56" i="1"/>
  <c r="J57" i="1"/>
  <c r="J58" i="1"/>
  <c r="J59" i="1"/>
  <c r="J60" i="1"/>
  <c r="J61" i="1"/>
  <c r="J62" i="1"/>
  <c r="J63" i="1"/>
  <c r="J64" i="1"/>
  <c r="J65" i="1"/>
  <c r="J66" i="1"/>
  <c r="J67" i="1"/>
  <c r="J68" i="1"/>
  <c r="J69" i="1"/>
  <c r="J70" i="1"/>
  <c r="J71" i="1"/>
  <c r="J72" i="1"/>
  <c r="J73" i="1"/>
  <c r="J74" i="1"/>
  <c r="J75" i="1"/>
  <c r="J77" i="1"/>
  <c r="J78" i="1"/>
  <c r="J79" i="1"/>
  <c r="J80" i="1"/>
  <c r="J82" i="1"/>
  <c r="J83" i="1"/>
  <c r="J84" i="1"/>
  <c r="J86" i="1"/>
  <c r="J87" i="1"/>
  <c r="J88" i="1"/>
  <c r="J89" i="1"/>
  <c r="J90" i="1"/>
  <c r="J92" i="1"/>
  <c r="J93" i="1"/>
  <c r="J94" i="1"/>
  <c r="J95" i="1"/>
  <c r="J96" i="1"/>
  <c r="J97" i="1"/>
  <c r="J98" i="1"/>
  <c r="J99" i="1"/>
  <c r="J100" i="1"/>
  <c r="J101" i="1"/>
  <c r="J102" i="1"/>
  <c r="J103" i="1"/>
  <c r="J105" i="1"/>
  <c r="J106" i="1"/>
  <c r="J107" i="1"/>
  <c r="J108" i="1"/>
  <c r="J109" i="1"/>
  <c r="J110" i="1"/>
  <c r="J111" i="1"/>
  <c r="J112" i="1"/>
  <c r="J113" i="1"/>
  <c r="J115" i="1"/>
  <c r="J116" i="1"/>
  <c r="J117" i="1"/>
  <c r="J118" i="1"/>
  <c r="J119" i="1"/>
  <c r="J120" i="1"/>
  <c r="J121" i="1"/>
  <c r="J122" i="1"/>
  <c r="J123" i="1"/>
  <c r="J124" i="1"/>
  <c r="J125" i="1"/>
  <c r="J126" i="1"/>
  <c r="J127" i="1"/>
  <c r="J128" i="1"/>
  <c r="J129" i="1"/>
  <c r="J130" i="1"/>
  <c r="J132" i="1"/>
  <c r="J133" i="1"/>
  <c r="J134" i="1"/>
  <c r="K134" i="1" s="1"/>
  <c r="M134" i="1" s="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2" i="1"/>
  <c r="J183" i="1"/>
  <c r="J184" i="1"/>
  <c r="J185" i="1"/>
  <c r="J186" i="1"/>
  <c r="J187" i="1"/>
  <c r="J188" i="1"/>
  <c r="J189" i="1"/>
  <c r="J190" i="1"/>
  <c r="J191" i="1"/>
  <c r="J192" i="1"/>
  <c r="J193" i="1"/>
  <c r="J194" i="1"/>
  <c r="J195" i="1"/>
  <c r="J196" i="1"/>
  <c r="J197" i="1"/>
  <c r="J198" i="1"/>
  <c r="J199" i="1"/>
  <c r="J200" i="1"/>
  <c r="J201" i="1"/>
  <c r="J202" i="1"/>
  <c r="J91" i="1"/>
  <c r="J4" i="1"/>
  <c r="E114" i="1"/>
  <c r="F114" i="1" s="1"/>
  <c r="E181" i="1"/>
  <c r="F181" i="1" s="1"/>
  <c r="E76" i="1"/>
  <c r="E85" i="1"/>
  <c r="F85" i="1" s="1"/>
  <c r="K199" i="1" l="1"/>
  <c r="M199" i="1" s="1"/>
  <c r="K183" i="1"/>
  <c r="M183" i="1" s="1"/>
  <c r="K158" i="1"/>
  <c r="M158" i="1" s="1"/>
  <c r="K125" i="1"/>
  <c r="M125" i="1" s="1"/>
  <c r="K99" i="1"/>
  <c r="M99" i="1" s="1"/>
  <c r="K71" i="1"/>
  <c r="M71" i="1" s="1"/>
  <c r="K45" i="1"/>
  <c r="M45" i="1" s="1"/>
  <c r="K31" i="1"/>
  <c r="M31" i="1" s="1"/>
  <c r="K165" i="1"/>
  <c r="M165" i="1" s="1"/>
  <c r="K124" i="1"/>
  <c r="M124" i="1" s="1"/>
  <c r="K89" i="1"/>
  <c r="M89" i="1" s="1"/>
  <c r="K11" i="1"/>
  <c r="M11" i="1" s="1"/>
  <c r="K4" i="1"/>
  <c r="M4" i="1" s="1"/>
  <c r="K197" i="1"/>
  <c r="M197" i="1" s="1"/>
  <c r="K189" i="1"/>
  <c r="M189" i="1" s="1"/>
  <c r="K180" i="1"/>
  <c r="M180" i="1" s="1"/>
  <c r="K172" i="1"/>
  <c r="M172" i="1" s="1"/>
  <c r="K164" i="1"/>
  <c r="M164" i="1" s="1"/>
  <c r="K156" i="1"/>
  <c r="M156" i="1" s="1"/>
  <c r="K148" i="1"/>
  <c r="M148" i="1" s="1"/>
  <c r="K140" i="1"/>
  <c r="M140" i="1" s="1"/>
  <c r="K132" i="1"/>
  <c r="M132" i="1" s="1"/>
  <c r="K123" i="1"/>
  <c r="M123" i="1" s="1"/>
  <c r="K115" i="1"/>
  <c r="M115" i="1" s="1"/>
  <c r="K106" i="1"/>
  <c r="M106" i="1" s="1"/>
  <c r="K97" i="1"/>
  <c r="M97" i="1" s="1"/>
  <c r="K88" i="1"/>
  <c r="M88" i="1" s="1"/>
  <c r="K78" i="1"/>
  <c r="M78" i="1" s="1"/>
  <c r="K69" i="1"/>
  <c r="M69" i="1" s="1"/>
  <c r="K61" i="1"/>
  <c r="M61" i="1" s="1"/>
  <c r="K53" i="1"/>
  <c r="M53" i="1" s="1"/>
  <c r="K43" i="1"/>
  <c r="M43" i="1" s="1"/>
  <c r="K35" i="1"/>
  <c r="M35" i="1" s="1"/>
  <c r="K26" i="1"/>
  <c r="M26" i="1" s="1"/>
  <c r="K17" i="1"/>
  <c r="M17" i="1" s="1"/>
  <c r="K10" i="1"/>
  <c r="M10" i="1" s="1"/>
  <c r="K191" i="1"/>
  <c r="M191" i="1" s="1"/>
  <c r="K166" i="1"/>
  <c r="M166" i="1" s="1"/>
  <c r="K150" i="1"/>
  <c r="M150" i="1" s="1"/>
  <c r="K108" i="1"/>
  <c r="M108" i="1" s="1"/>
  <c r="K80" i="1"/>
  <c r="M80" i="1" s="1"/>
  <c r="K55" i="1"/>
  <c r="M55" i="1" s="1"/>
  <c r="K12" i="1"/>
  <c r="M12" i="1" s="1"/>
  <c r="K198" i="1"/>
  <c r="M198" i="1" s="1"/>
  <c r="K173" i="1"/>
  <c r="M173" i="1" s="1"/>
  <c r="K149" i="1"/>
  <c r="M149" i="1" s="1"/>
  <c r="K116" i="1"/>
  <c r="M116" i="1" s="1"/>
  <c r="K79" i="1"/>
  <c r="M79" i="1" s="1"/>
  <c r="K54" i="1"/>
  <c r="M54" i="1" s="1"/>
  <c r="K44" i="1"/>
  <c r="M44" i="1" s="1"/>
  <c r="K18" i="1"/>
  <c r="M18" i="1" s="1"/>
  <c r="K196" i="1"/>
  <c r="M196" i="1" s="1"/>
  <c r="K179" i="1"/>
  <c r="M179" i="1" s="1"/>
  <c r="K171" i="1"/>
  <c r="M171" i="1" s="1"/>
  <c r="K155" i="1"/>
  <c r="M155" i="1" s="1"/>
  <c r="K147" i="1"/>
  <c r="M147" i="1" s="1"/>
  <c r="K139" i="1"/>
  <c r="M139" i="1" s="1"/>
  <c r="K130" i="1"/>
  <c r="M130" i="1" s="1"/>
  <c r="K122" i="1"/>
  <c r="M122" i="1" s="1"/>
  <c r="K113" i="1"/>
  <c r="M113" i="1" s="1"/>
  <c r="K105" i="1"/>
  <c r="M105" i="1" s="1"/>
  <c r="K96" i="1"/>
  <c r="M96" i="1" s="1"/>
  <c r="K87" i="1"/>
  <c r="M87" i="1" s="1"/>
  <c r="K77" i="1"/>
  <c r="M77" i="1" s="1"/>
  <c r="K68" i="1"/>
  <c r="M68" i="1" s="1"/>
  <c r="K60" i="1"/>
  <c r="M60" i="1" s="1"/>
  <c r="K52" i="1"/>
  <c r="M52" i="1" s="1"/>
  <c r="K42" i="1"/>
  <c r="M42" i="1" s="1"/>
  <c r="K34" i="1"/>
  <c r="M34" i="1" s="1"/>
  <c r="K25" i="1"/>
  <c r="M25" i="1" s="1"/>
  <c r="K27" i="1"/>
  <c r="M27" i="1" s="1"/>
  <c r="K9" i="1"/>
  <c r="M9" i="1" s="1"/>
  <c r="K46" i="1"/>
  <c r="M46" i="1" s="1"/>
  <c r="K195" i="1"/>
  <c r="M195" i="1" s="1"/>
  <c r="K187" i="1"/>
  <c r="M187" i="1" s="1"/>
  <c r="K178" i="1"/>
  <c r="M178" i="1" s="1"/>
  <c r="K170" i="1"/>
  <c r="M170" i="1" s="1"/>
  <c r="K162" i="1"/>
  <c r="M162" i="1" s="1"/>
  <c r="K154" i="1"/>
  <c r="M154" i="1" s="1"/>
  <c r="K146" i="1"/>
  <c r="M146" i="1" s="1"/>
  <c r="K138" i="1"/>
  <c r="M138" i="1" s="1"/>
  <c r="K129" i="1"/>
  <c r="M129" i="1" s="1"/>
  <c r="K121" i="1"/>
  <c r="M121" i="1" s="1"/>
  <c r="K112" i="1"/>
  <c r="M112" i="1" s="1"/>
  <c r="K103" i="1"/>
  <c r="M103" i="1" s="1"/>
  <c r="K95" i="1"/>
  <c r="M95" i="1" s="1"/>
  <c r="K86" i="1"/>
  <c r="M86" i="1" s="1"/>
  <c r="K75" i="1"/>
  <c r="M75" i="1" s="1"/>
  <c r="K67" i="1"/>
  <c r="M67" i="1" s="1"/>
  <c r="K59" i="1"/>
  <c r="M59" i="1" s="1"/>
  <c r="K51" i="1"/>
  <c r="M51" i="1" s="1"/>
  <c r="K41" i="1"/>
  <c r="M41" i="1" s="1"/>
  <c r="K33" i="1"/>
  <c r="M33" i="1" s="1"/>
  <c r="K24" i="1"/>
  <c r="M24" i="1" s="1"/>
  <c r="K16" i="1"/>
  <c r="M16" i="1" s="1"/>
  <c r="K8" i="1"/>
  <c r="M8" i="1" s="1"/>
  <c r="K174" i="1"/>
  <c r="M174" i="1" s="1"/>
  <c r="K142" i="1"/>
  <c r="M142" i="1" s="1"/>
  <c r="K117" i="1"/>
  <c r="M117" i="1" s="1"/>
  <c r="K90" i="1"/>
  <c r="M90" i="1" s="1"/>
  <c r="K63" i="1"/>
  <c r="M63" i="1" s="1"/>
  <c r="K37" i="1"/>
  <c r="M37" i="1" s="1"/>
  <c r="K19" i="1"/>
  <c r="M19" i="1" s="1"/>
  <c r="K190" i="1"/>
  <c r="M190" i="1" s="1"/>
  <c r="K157" i="1"/>
  <c r="M157" i="1" s="1"/>
  <c r="K133" i="1"/>
  <c r="M133" i="1" s="1"/>
  <c r="K107" i="1"/>
  <c r="M107" i="1" s="1"/>
  <c r="K70" i="1"/>
  <c r="M70" i="1" s="1"/>
  <c r="K28" i="1"/>
  <c r="M28" i="1" s="1"/>
  <c r="K188" i="1"/>
  <c r="M188" i="1" s="1"/>
  <c r="K163" i="1"/>
  <c r="M163" i="1" s="1"/>
  <c r="K202" i="1"/>
  <c r="M202" i="1" s="1"/>
  <c r="K186" i="1"/>
  <c r="M186" i="1" s="1"/>
  <c r="K169" i="1"/>
  <c r="M169" i="1" s="1"/>
  <c r="K153" i="1"/>
  <c r="M153" i="1" s="1"/>
  <c r="K137" i="1"/>
  <c r="M137" i="1" s="1"/>
  <c r="K120" i="1"/>
  <c r="M120" i="1" s="1"/>
  <c r="K94" i="1"/>
  <c r="M94" i="1" s="1"/>
  <c r="K74" i="1"/>
  <c r="M74" i="1" s="1"/>
  <c r="K66" i="1"/>
  <c r="M66" i="1" s="1"/>
  <c r="K49" i="1"/>
  <c r="K40" i="1"/>
  <c r="M40" i="1" s="1"/>
  <c r="K32" i="1"/>
  <c r="M32" i="1" s="1"/>
  <c r="K23" i="1"/>
  <c r="M23" i="1" s="1"/>
  <c r="K15" i="1"/>
  <c r="M15" i="1" s="1"/>
  <c r="K201" i="1"/>
  <c r="M201" i="1" s="1"/>
  <c r="K185" i="1"/>
  <c r="M185" i="1" s="1"/>
  <c r="K176" i="1"/>
  <c r="M176" i="1" s="1"/>
  <c r="K168" i="1"/>
  <c r="M168" i="1" s="1"/>
  <c r="K160" i="1"/>
  <c r="M160" i="1" s="1"/>
  <c r="K152" i="1"/>
  <c r="M152" i="1" s="1"/>
  <c r="K144" i="1"/>
  <c r="M144" i="1" s="1"/>
  <c r="K136" i="1"/>
  <c r="M136" i="1" s="1"/>
  <c r="K127" i="1"/>
  <c r="M127" i="1" s="1"/>
  <c r="K119" i="1"/>
  <c r="M119" i="1" s="1"/>
  <c r="K110" i="1"/>
  <c r="M110" i="1" s="1"/>
  <c r="K101" i="1"/>
  <c r="M101" i="1" s="1"/>
  <c r="K93" i="1"/>
  <c r="M93" i="1" s="1"/>
  <c r="K83" i="1"/>
  <c r="M83" i="1" s="1"/>
  <c r="K73" i="1"/>
  <c r="M73" i="1" s="1"/>
  <c r="K65" i="1"/>
  <c r="M65" i="1" s="1"/>
  <c r="K57" i="1"/>
  <c r="M57" i="1" s="1"/>
  <c r="K48" i="1"/>
  <c r="M48" i="1" s="1"/>
  <c r="K39" i="1"/>
  <c r="M39" i="1" s="1"/>
  <c r="K30" i="1"/>
  <c r="M30" i="1" s="1"/>
  <c r="K22" i="1"/>
  <c r="K14" i="1"/>
  <c r="M14" i="1" s="1"/>
  <c r="K6" i="1"/>
  <c r="M6" i="1" s="1"/>
  <c r="K182" i="1"/>
  <c r="M182" i="1" s="1"/>
  <c r="K141" i="1"/>
  <c r="M141" i="1" s="1"/>
  <c r="K98" i="1"/>
  <c r="M98" i="1" s="1"/>
  <c r="K62" i="1"/>
  <c r="M62" i="1" s="1"/>
  <c r="K36" i="1"/>
  <c r="M36" i="1" s="1"/>
  <c r="K91" i="1"/>
  <c r="M91" i="1" s="1"/>
  <c r="K194" i="1"/>
  <c r="M194" i="1" s="1"/>
  <c r="K177" i="1"/>
  <c r="M177" i="1" s="1"/>
  <c r="K161" i="1"/>
  <c r="M161" i="1" s="1"/>
  <c r="K145" i="1"/>
  <c r="M145" i="1" s="1"/>
  <c r="K128" i="1"/>
  <c r="M128" i="1" s="1"/>
  <c r="K111" i="1"/>
  <c r="M111" i="1" s="1"/>
  <c r="K102" i="1"/>
  <c r="M102" i="1" s="1"/>
  <c r="K84" i="1"/>
  <c r="M84" i="1" s="1"/>
  <c r="K58" i="1"/>
  <c r="M58" i="1" s="1"/>
  <c r="K193" i="1"/>
  <c r="M193" i="1" s="1"/>
  <c r="K200" i="1"/>
  <c r="M200" i="1" s="1"/>
  <c r="K192" i="1"/>
  <c r="M192" i="1" s="1"/>
  <c r="K184" i="1"/>
  <c r="M184" i="1" s="1"/>
  <c r="K175" i="1"/>
  <c r="M175" i="1" s="1"/>
  <c r="K167" i="1"/>
  <c r="M167" i="1" s="1"/>
  <c r="K159" i="1"/>
  <c r="M159" i="1" s="1"/>
  <c r="K151" i="1"/>
  <c r="M151" i="1" s="1"/>
  <c r="K143" i="1"/>
  <c r="M143" i="1" s="1"/>
  <c r="K135" i="1"/>
  <c r="M135" i="1" s="1"/>
  <c r="K126" i="1"/>
  <c r="M126" i="1" s="1"/>
  <c r="K118" i="1"/>
  <c r="M118" i="1" s="1"/>
  <c r="K109" i="1"/>
  <c r="M109" i="1" s="1"/>
  <c r="K100" i="1"/>
  <c r="M100" i="1" s="1"/>
  <c r="K92" i="1"/>
  <c r="M92" i="1" s="1"/>
  <c r="K82" i="1"/>
  <c r="M82" i="1" s="1"/>
  <c r="K72" i="1"/>
  <c r="M72" i="1" s="1"/>
  <c r="K64" i="1"/>
  <c r="M64" i="1" s="1"/>
  <c r="K56" i="1"/>
  <c r="M56" i="1" s="1"/>
  <c r="K47" i="1"/>
  <c r="M47" i="1" s="1"/>
  <c r="K38" i="1"/>
  <c r="M38" i="1" s="1"/>
  <c r="K29" i="1"/>
  <c r="M29" i="1" s="1"/>
  <c r="K21" i="1"/>
  <c r="K13" i="1"/>
  <c r="M13" i="1" s="1"/>
  <c r="K5" i="1"/>
  <c r="M5" i="1" s="1"/>
  <c r="F76" i="1"/>
  <c r="E205" i="1"/>
  <c r="E204" i="1"/>
  <c r="J181" i="1"/>
  <c r="J114" i="1"/>
  <c r="J85" i="1"/>
  <c r="J76" i="1"/>
  <c r="K76" i="1" s="1"/>
  <c r="M76" i="1" s="1"/>
  <c r="K85" i="1" l="1"/>
  <c r="M85" i="1" s="1"/>
  <c r="K114" i="1"/>
  <c r="M114" i="1" s="1"/>
  <c r="K181" i="1"/>
  <c r="M181" i="1" s="1"/>
</calcChain>
</file>

<file path=xl/sharedStrings.xml><?xml version="1.0" encoding="utf-8"?>
<sst xmlns="http://schemas.openxmlformats.org/spreadsheetml/2006/main" count="3575" uniqueCount="639">
  <si>
    <t>Solvent name</t>
  </si>
  <si>
    <t>Acetic acid</t>
  </si>
  <si>
    <t>Butyric acid</t>
  </si>
  <si>
    <t>Formic acid </t>
  </si>
  <si>
    <t>Heptanoic acid</t>
  </si>
  <si>
    <t>Lauric acid</t>
  </si>
  <si>
    <t>Octanoic acid</t>
  </si>
  <si>
    <t>Oleic acid</t>
  </si>
  <si>
    <t>Propionic acid</t>
  </si>
  <si>
    <t>Chloroacetic acid</t>
  </si>
  <si>
    <t>Trichloroacetic acid</t>
  </si>
  <si>
    <t>1-Butanol</t>
  </si>
  <si>
    <t>1-Decanol</t>
  </si>
  <si>
    <t>1-Heptanol</t>
  </si>
  <si>
    <t>1-Hexanol</t>
  </si>
  <si>
    <t>1-Octanol</t>
  </si>
  <si>
    <t>1-Pentanol</t>
  </si>
  <si>
    <t>1-Propanol</t>
  </si>
  <si>
    <t>2-Butanol</t>
  </si>
  <si>
    <t>2-Ethylhexanol</t>
  </si>
  <si>
    <t>2-Methyl-2-butanol</t>
  </si>
  <si>
    <t>2-Octanol </t>
  </si>
  <si>
    <t>2-Propanol</t>
  </si>
  <si>
    <t>Benzyl alcohol</t>
  </si>
  <si>
    <t>Cyclohexanol</t>
  </si>
  <si>
    <t>Ethanol</t>
  </si>
  <si>
    <t>Isoamyl alcohol</t>
  </si>
  <si>
    <t>Isobutanol</t>
  </si>
  <si>
    <t>Methanol</t>
  </si>
  <si>
    <t>α-Terpineol</t>
  </si>
  <si>
    <t>1,3-Dioxolane-4-methanol (glycerol formal)</t>
  </si>
  <si>
    <t>1-Methoxy-2-propanol</t>
  </si>
  <si>
    <t>2-Aminoethanol</t>
  </si>
  <si>
    <t>2-Butoxyethanol (butyl cellosolve)</t>
  </si>
  <si>
    <t>2-Ethoxyethanol (ethyl cellosolve)</t>
  </si>
  <si>
    <t>2-Methoxyethanol (methyl cellosolve)</t>
  </si>
  <si>
    <t>Butyl lactate</t>
  </si>
  <si>
    <t>Diethylene glycol monobutyl ether</t>
  </si>
  <si>
    <t>Diethylene glycol monoethyl ether </t>
  </si>
  <si>
    <t>Diethylene glycol monomethyl ether </t>
  </si>
  <si>
    <t>Dipropylene glycol monomethyl ether </t>
  </si>
  <si>
    <t>Ethyl lactate</t>
  </si>
  <si>
    <t>Furfuryl alcohol</t>
  </si>
  <si>
    <t>Glycerol carbonate</t>
  </si>
  <si>
    <t>Methyl lactate</t>
  </si>
  <si>
    <r>
      <rPr>
        <i/>
        <sz val="10"/>
        <color theme="1"/>
        <rFont val="Calibri"/>
        <family val="2"/>
        <scheme val="minor"/>
      </rPr>
      <t>Omnia</t>
    </r>
    <r>
      <rPr>
        <sz val="10"/>
        <color theme="1"/>
        <rFont val="Calibri"/>
        <family val="2"/>
        <scheme val="minor"/>
      </rPr>
      <t>: Butyl-3-hydroxybutyrate</t>
    </r>
  </si>
  <si>
    <r>
      <rPr>
        <i/>
        <sz val="10"/>
        <color theme="1"/>
        <rFont val="Calibri"/>
        <family val="2"/>
        <scheme val="minor"/>
      </rPr>
      <t>Solketal</t>
    </r>
    <r>
      <rPr>
        <sz val="10"/>
        <color theme="1"/>
        <rFont val="Calibri"/>
        <family val="2"/>
        <scheme val="minor"/>
      </rPr>
      <t>: ((2,2-dimethyl-1,3-dioxolan-4-yl)methanol)
4-methanol)</t>
    </r>
  </si>
  <si>
    <t>Tetrahydrofurfuryl alcohol</t>
  </si>
  <si>
    <t>Triethyl citrate</t>
  </si>
  <si>
    <t>1,2-Propanediol</t>
  </si>
  <si>
    <t>1,3-Butanediol</t>
  </si>
  <si>
    <t>1,4-Butanediol</t>
  </si>
  <si>
    <t>Di(ethylene glycol)</t>
  </si>
  <si>
    <t>Dipropylene glycol</t>
  </si>
  <si>
    <t>Ethylene glycol</t>
  </si>
  <si>
    <t>Glycerol</t>
  </si>
  <si>
    <t>PPG-1200 (n = 20)</t>
  </si>
  <si>
    <t>Tetraethylene glycol</t>
  </si>
  <si>
    <t>Tri(ethylene glycol)</t>
  </si>
  <si>
    <t>Eugenol</t>
  </si>
  <si>
    <t>Isoeugenol</t>
  </si>
  <si>
    <r>
      <rPr>
        <i/>
        <sz val="10"/>
        <color theme="1"/>
        <rFont val="Calibri"/>
        <family val="2"/>
        <scheme val="minor"/>
      </rPr>
      <t>m</t>
    </r>
    <r>
      <rPr>
        <sz val="10"/>
        <color theme="1"/>
        <rFont val="Calibri"/>
        <family val="2"/>
        <scheme val="minor"/>
      </rPr>
      <t>-Cresol</t>
    </r>
  </si>
  <si>
    <t>Phenol</t>
  </si>
  <si>
    <t>Acetaldehyde</t>
  </si>
  <si>
    <t>Benzaldehyde</t>
  </si>
  <si>
    <t>Furfural</t>
  </si>
  <si>
    <t xml:space="preserve">2-Pyrrolidinone </t>
  </si>
  <si>
    <t>Formamide</t>
  </si>
  <si>
    <r>
      <rPr>
        <i/>
        <sz val="10"/>
        <color theme="1"/>
        <rFont val="Calibri"/>
        <family val="2"/>
        <scheme val="minor"/>
      </rPr>
      <t>N</t>
    </r>
    <r>
      <rPr>
        <sz val="10"/>
        <color theme="1"/>
        <rFont val="Calibri"/>
        <family val="2"/>
        <scheme val="minor"/>
      </rPr>
      <t>,</t>
    </r>
    <r>
      <rPr>
        <i/>
        <sz val="10"/>
        <color theme="1"/>
        <rFont val="Calibri"/>
        <family val="2"/>
        <scheme val="minor"/>
      </rPr>
      <t>N</t>
    </r>
    <r>
      <rPr>
        <sz val="10"/>
        <color theme="1"/>
        <rFont val="Calibri"/>
        <family val="2"/>
        <scheme val="minor"/>
      </rPr>
      <t>-Dimethyl acetamide</t>
    </r>
  </si>
  <si>
    <r>
      <rPr>
        <i/>
        <sz val="10"/>
        <color theme="1"/>
        <rFont val="Calibri"/>
        <family val="2"/>
        <scheme val="minor"/>
      </rPr>
      <t>N</t>
    </r>
    <r>
      <rPr>
        <sz val="10"/>
        <color theme="1"/>
        <rFont val="Calibri"/>
        <family val="2"/>
        <scheme val="minor"/>
      </rPr>
      <t>,</t>
    </r>
    <r>
      <rPr>
        <i/>
        <sz val="10"/>
        <color theme="1"/>
        <rFont val="Calibri"/>
        <family val="2"/>
        <scheme val="minor"/>
      </rPr>
      <t>N</t>
    </r>
    <r>
      <rPr>
        <sz val="10"/>
        <color theme="1"/>
        <rFont val="Calibri"/>
        <family val="2"/>
        <scheme val="minor"/>
      </rPr>
      <t>-Dimethyl formamide</t>
    </r>
  </si>
  <si>
    <r>
      <rPr>
        <i/>
        <sz val="10"/>
        <color theme="1"/>
        <rFont val="Calibri"/>
        <family val="2"/>
        <scheme val="minor"/>
      </rPr>
      <t>N</t>
    </r>
    <r>
      <rPr>
        <sz val="10"/>
        <color theme="1"/>
        <rFont val="Calibri"/>
        <family val="2"/>
        <scheme val="minor"/>
      </rPr>
      <t>,</t>
    </r>
    <r>
      <rPr>
        <i/>
        <sz val="10"/>
        <color theme="1"/>
        <rFont val="Calibri"/>
        <family val="2"/>
        <scheme val="minor"/>
      </rPr>
      <t>N</t>
    </r>
    <r>
      <rPr>
        <sz val="10"/>
        <color theme="1"/>
        <rFont val="Calibri"/>
        <family val="2"/>
        <scheme val="minor"/>
      </rPr>
      <t>'-Dimethylethyleneurea (DMEU)</t>
    </r>
  </si>
  <si>
    <r>
      <rPr>
        <i/>
        <sz val="10"/>
        <color theme="1"/>
        <rFont val="Calibri"/>
        <family val="2"/>
        <scheme val="minor"/>
      </rPr>
      <t>N</t>
    </r>
    <r>
      <rPr>
        <sz val="10"/>
        <color theme="1"/>
        <rFont val="Calibri"/>
        <family val="2"/>
        <scheme val="minor"/>
      </rPr>
      <t>-Methyl formamide</t>
    </r>
  </si>
  <si>
    <r>
      <rPr>
        <i/>
        <sz val="10"/>
        <color theme="1"/>
        <rFont val="Calibri"/>
        <family val="2"/>
        <scheme val="minor"/>
      </rPr>
      <t>N</t>
    </r>
    <r>
      <rPr>
        <sz val="10"/>
        <color theme="1"/>
        <rFont val="Calibri"/>
        <family val="2"/>
        <scheme val="minor"/>
      </rPr>
      <t>-Methylacetamide</t>
    </r>
  </si>
  <si>
    <t>Aniline</t>
  </si>
  <si>
    <t>Butylamine</t>
  </si>
  <si>
    <t>Diethylamine</t>
  </si>
  <si>
    <t>Ethyl morpholine</t>
  </si>
  <si>
    <t>Ethylenediamine</t>
  </si>
  <si>
    <t>Morpholine</t>
  </si>
  <si>
    <r>
      <rPr>
        <i/>
        <sz val="10"/>
        <color theme="1"/>
        <rFont val="Calibri"/>
        <family val="2"/>
        <scheme val="minor"/>
      </rPr>
      <t>N</t>
    </r>
    <r>
      <rPr>
        <sz val="10"/>
        <color theme="1"/>
        <rFont val="Calibri"/>
        <family val="2"/>
        <scheme val="minor"/>
      </rPr>
      <t>,</t>
    </r>
    <r>
      <rPr>
        <i/>
        <sz val="10"/>
        <color theme="1"/>
        <rFont val="Calibri"/>
        <family val="2"/>
        <scheme val="minor"/>
      </rPr>
      <t>N</t>
    </r>
    <r>
      <rPr>
        <sz val="10"/>
        <color theme="1"/>
        <rFont val="Calibri"/>
        <family val="2"/>
        <scheme val="minor"/>
      </rPr>
      <t>-Dimethyl aniline</t>
    </r>
  </si>
  <si>
    <r>
      <rPr>
        <i/>
        <sz val="10"/>
        <color theme="1"/>
        <rFont val="Calibri"/>
        <family val="2"/>
        <scheme val="minor"/>
      </rPr>
      <t>n</t>
    </r>
    <r>
      <rPr>
        <sz val="10"/>
        <color theme="1"/>
        <rFont val="Calibri"/>
        <family val="2"/>
        <scheme val="minor"/>
      </rPr>
      <t>-Propylamine</t>
    </r>
  </si>
  <si>
    <t>Pyrrolidine</t>
  </si>
  <si>
    <t>Tributylamine</t>
  </si>
  <si>
    <t>Triethylamine</t>
  </si>
  <si>
    <t>Acetic anhydride</t>
  </si>
  <si>
    <t>Water</t>
  </si>
  <si>
    <t>1-Bromobutane</t>
  </si>
  <si>
    <t>Bromobenzene</t>
  </si>
  <si>
    <t>Bromoethane</t>
  </si>
  <si>
    <t>Carbon disulphide</t>
  </si>
  <si>
    <t>Dimethyl carbonate</t>
  </si>
  <si>
    <t>Propylene carbonate</t>
  </si>
  <si>
    <t>1-Chlorobutane</t>
  </si>
  <si>
    <t>1-Chloropropane</t>
  </si>
  <si>
    <t>2-Chloropropane</t>
  </si>
  <si>
    <t>Chlorobenzene</t>
  </si>
  <si>
    <t>1,1,1-Trichloroethane</t>
  </si>
  <si>
    <t>1,1,2,2-Tetrachloroethane</t>
  </si>
  <si>
    <t>1,1-Dichloroethane</t>
  </si>
  <si>
    <t>1,1-Dichloroethylene</t>
  </si>
  <si>
    <t>1,2,3-Trichloropropane</t>
  </si>
  <si>
    <t>1,2-Dichlorobenzene</t>
  </si>
  <si>
    <t>1,2-Dichloroethane</t>
  </si>
  <si>
    <t>1,4-Dichlorobenzene</t>
  </si>
  <si>
    <t>Carbon tetrachloride</t>
  </si>
  <si>
    <t>Chloroform</t>
  </si>
  <si>
    <r>
      <rPr>
        <i/>
        <sz val="10"/>
        <color theme="1"/>
        <rFont val="Calibri"/>
        <family val="2"/>
        <scheme val="minor"/>
      </rPr>
      <t>m</t>
    </r>
    <r>
      <rPr>
        <sz val="10"/>
        <color theme="1"/>
        <rFont val="Calibri"/>
        <family val="2"/>
        <scheme val="minor"/>
      </rPr>
      <t>-Dichlorobenzene</t>
    </r>
  </si>
  <si>
    <t>Tetrachloroethylene</t>
  </si>
  <si>
    <t>Trichloroethylene</t>
  </si>
  <si>
    <t>Z-1,2-Dichloroethylene</t>
  </si>
  <si>
    <t>2-Ethoxyethyl acetate</t>
  </si>
  <si>
    <t>Amyl acetate</t>
  </si>
  <si>
    <t xml:space="preserve">Benzyl benzoate </t>
  </si>
  <si>
    <t>Butyl acetate</t>
  </si>
  <si>
    <t>Ethyl acetate</t>
  </si>
  <si>
    <t>Ethyl butyrate</t>
  </si>
  <si>
    <t>Ethyl formate</t>
  </si>
  <si>
    <t>Ethyl propionate</t>
  </si>
  <si>
    <t>Isoamyl acetate</t>
  </si>
  <si>
    <t>Isobutyl acetate</t>
  </si>
  <si>
    <t>Isopropyl acetate</t>
  </si>
  <si>
    <t>Methyl acetate</t>
  </si>
  <si>
    <t>Methyl butyrate</t>
  </si>
  <si>
    <t>Methyl formate</t>
  </si>
  <si>
    <t>Methyl oleate</t>
  </si>
  <si>
    <t>n-Hexyl acetate </t>
  </si>
  <si>
    <r>
      <rPr>
        <i/>
        <sz val="10"/>
        <color theme="1"/>
        <rFont val="Calibri"/>
        <family val="2"/>
        <scheme val="minor"/>
      </rPr>
      <t>n</t>
    </r>
    <r>
      <rPr>
        <sz val="10"/>
        <color theme="1"/>
        <rFont val="Calibri"/>
        <family val="2"/>
        <scheme val="minor"/>
      </rPr>
      <t>-Propyl acetate</t>
    </r>
  </si>
  <si>
    <t xml:space="preserve">Acetyltributyl citrate </t>
  </si>
  <si>
    <t xml:space="preserve">Diethyl phthalate </t>
  </si>
  <si>
    <t>Dimethyl glutarate</t>
  </si>
  <si>
    <t>Dimethyl phthalate</t>
  </si>
  <si>
    <t>2-Methyltetrahydrofuran</t>
  </si>
  <si>
    <t>Anisole</t>
  </si>
  <si>
    <t>Dibenzyl ether</t>
  </si>
  <si>
    <t>Dibutyl ether</t>
  </si>
  <si>
    <t>Diethyl ether</t>
  </si>
  <si>
    <t>Diisopropyl ether</t>
  </si>
  <si>
    <t>Dimethyl ether</t>
  </si>
  <si>
    <t>Diphenyl ether</t>
  </si>
  <si>
    <t>Ethoxybenzene</t>
  </si>
  <si>
    <t>Furan</t>
  </si>
  <si>
    <r>
      <rPr>
        <i/>
        <sz val="10"/>
        <color theme="1"/>
        <rFont val="Calibri"/>
        <family val="2"/>
        <scheme val="minor"/>
      </rPr>
      <t>t</t>
    </r>
    <r>
      <rPr>
        <sz val="10"/>
        <color theme="1"/>
        <rFont val="Calibri"/>
        <family val="2"/>
        <scheme val="minor"/>
      </rPr>
      <t>-Butyl ethyl ether</t>
    </r>
  </si>
  <si>
    <r>
      <rPr>
        <i/>
        <sz val="10"/>
        <color theme="1"/>
        <rFont val="Calibri"/>
        <family val="2"/>
        <scheme val="minor"/>
      </rPr>
      <t>t</t>
    </r>
    <r>
      <rPr>
        <sz val="10"/>
        <color theme="1"/>
        <rFont val="Calibri"/>
        <family val="2"/>
        <scheme val="minor"/>
      </rPr>
      <t>-Butyl methyl ether</t>
    </r>
  </si>
  <si>
    <t>Tetrahydrofuran</t>
  </si>
  <si>
    <t>1,2-Dimethoxyethane</t>
  </si>
  <si>
    <t>1,4-Dioxane</t>
  </si>
  <si>
    <t>Dibutoxymethane</t>
  </si>
  <si>
    <t>Diethoxymethane (ethylal)</t>
  </si>
  <si>
    <t>Diethylene glycol dibutyl ether </t>
  </si>
  <si>
    <t>Diethylene glycol diethyl ether</t>
  </si>
  <si>
    <t>Diethylene glycol dimethyl ether </t>
  </si>
  <si>
    <t>Dimethoxymethane</t>
  </si>
  <si>
    <t>Ethylene glycol dibutyl ether </t>
  </si>
  <si>
    <t>Ethylene glycol diethyl ether </t>
  </si>
  <si>
    <t>Triethylene glycol dimethyl ether </t>
  </si>
  <si>
    <t>Benzene</t>
  </si>
  <si>
    <r>
      <rPr>
        <i/>
        <sz val="10"/>
        <rFont val="Calibri"/>
        <family val="2"/>
        <scheme val="minor"/>
      </rPr>
      <t>cis</t>
    </r>
    <r>
      <rPr>
        <sz val="10"/>
        <rFont val="Calibri"/>
        <family val="2"/>
        <scheme val="minor"/>
      </rPr>
      <t>-Decalin</t>
    </r>
  </si>
  <si>
    <t>Cumene</t>
  </si>
  <si>
    <t>Cyclohexane</t>
  </si>
  <si>
    <t>Cyclohexene</t>
  </si>
  <si>
    <t>Cyclopentane</t>
  </si>
  <si>
    <r>
      <rPr>
        <i/>
        <sz val="10"/>
        <color theme="1"/>
        <rFont val="Calibri"/>
        <family val="2"/>
        <scheme val="minor"/>
      </rPr>
      <t>d</t>
    </r>
    <r>
      <rPr>
        <sz val="10"/>
        <color theme="1"/>
        <rFont val="Calibri"/>
        <family val="2"/>
        <scheme val="minor"/>
      </rPr>
      <t>-Limonene</t>
    </r>
  </si>
  <si>
    <t>Ethyl benzene</t>
  </si>
  <si>
    <t>Isooctane (2,2,4-trimethylpentane)</t>
  </si>
  <si>
    <t>Mesitylene</t>
  </si>
  <si>
    <t>Methylcyclopentane</t>
  </si>
  <si>
    <r>
      <rPr>
        <i/>
        <sz val="10"/>
        <color theme="1"/>
        <rFont val="Calibri"/>
        <family val="2"/>
        <scheme val="minor"/>
      </rPr>
      <t>m</t>
    </r>
    <r>
      <rPr>
        <sz val="10"/>
        <color theme="1"/>
        <rFont val="Calibri"/>
        <family val="2"/>
        <scheme val="minor"/>
      </rPr>
      <t>-Xylene</t>
    </r>
  </si>
  <si>
    <r>
      <rPr>
        <i/>
        <sz val="10"/>
        <color theme="1"/>
        <rFont val="Calibri"/>
        <family val="2"/>
        <scheme val="minor"/>
      </rPr>
      <t>n</t>
    </r>
    <r>
      <rPr>
        <sz val="10"/>
        <color theme="1"/>
        <rFont val="Calibri"/>
        <family val="2"/>
        <scheme val="minor"/>
      </rPr>
      <t>-Decane</t>
    </r>
  </si>
  <si>
    <r>
      <rPr>
        <i/>
        <sz val="10"/>
        <color theme="1"/>
        <rFont val="Calibri"/>
        <family val="2"/>
        <scheme val="minor"/>
      </rPr>
      <t>n</t>
    </r>
    <r>
      <rPr>
        <sz val="10"/>
        <color theme="1"/>
        <rFont val="Calibri"/>
        <family val="2"/>
        <scheme val="minor"/>
      </rPr>
      <t>-Heptane</t>
    </r>
  </si>
  <si>
    <r>
      <rPr>
        <i/>
        <sz val="10"/>
        <color theme="1"/>
        <rFont val="Calibri"/>
        <family val="2"/>
        <scheme val="minor"/>
      </rPr>
      <t>n</t>
    </r>
    <r>
      <rPr>
        <sz val="10"/>
        <color theme="1"/>
        <rFont val="Calibri"/>
        <family val="2"/>
        <scheme val="minor"/>
      </rPr>
      <t>-Hexane</t>
    </r>
  </si>
  <si>
    <r>
      <rPr>
        <i/>
        <sz val="10"/>
        <color theme="1"/>
        <rFont val="Calibri"/>
        <family val="2"/>
        <scheme val="minor"/>
      </rPr>
      <t>n</t>
    </r>
    <r>
      <rPr>
        <sz val="10"/>
        <color theme="1"/>
        <rFont val="Calibri"/>
        <family val="2"/>
        <scheme val="minor"/>
      </rPr>
      <t>-Octane</t>
    </r>
  </si>
  <si>
    <r>
      <rPr>
        <i/>
        <sz val="10"/>
        <color theme="1"/>
        <rFont val="Calibri"/>
        <family val="2"/>
        <scheme val="minor"/>
      </rPr>
      <t>n</t>
    </r>
    <r>
      <rPr>
        <sz val="10"/>
        <color theme="1"/>
        <rFont val="Calibri"/>
        <family val="2"/>
        <scheme val="minor"/>
      </rPr>
      <t>-Pentane</t>
    </r>
  </si>
  <si>
    <r>
      <rPr>
        <i/>
        <sz val="10"/>
        <color theme="1"/>
        <rFont val="Calibri"/>
        <family val="2"/>
        <scheme val="minor"/>
      </rPr>
      <t>o</t>
    </r>
    <r>
      <rPr>
        <sz val="10"/>
        <color theme="1"/>
        <rFont val="Calibri"/>
        <family val="2"/>
        <scheme val="minor"/>
      </rPr>
      <t>-Xylene</t>
    </r>
  </si>
  <si>
    <r>
      <rPr>
        <i/>
        <sz val="10"/>
        <color theme="1"/>
        <rFont val="Calibri"/>
        <family val="2"/>
        <scheme val="minor"/>
      </rPr>
      <t>p</t>
    </r>
    <r>
      <rPr>
        <sz val="10"/>
        <color theme="1"/>
        <rFont val="Calibri"/>
        <family val="2"/>
        <scheme val="minor"/>
      </rPr>
      <t>-Cymene</t>
    </r>
  </si>
  <si>
    <r>
      <rPr>
        <i/>
        <sz val="10"/>
        <rFont val="Calibri"/>
        <family val="2"/>
        <scheme val="minor"/>
      </rPr>
      <t>p</t>
    </r>
    <r>
      <rPr>
        <sz val="10"/>
        <rFont val="Calibri"/>
        <family val="2"/>
        <scheme val="minor"/>
      </rPr>
      <t>-Xylene</t>
    </r>
  </si>
  <si>
    <t>Toluene</t>
  </si>
  <si>
    <t>α-Pinene</t>
  </si>
  <si>
    <t>β-Pinene</t>
  </si>
  <si>
    <t>2,6-Dimethyl-4-heptanone</t>
  </si>
  <si>
    <t>2-Heptanone </t>
  </si>
  <si>
    <t>2-Hexanone </t>
  </si>
  <si>
    <t>2-Pentanone</t>
  </si>
  <si>
    <t>3,3-Dimethyl-2-butanone</t>
  </si>
  <si>
    <t>3-Methyl-2-butanone</t>
  </si>
  <si>
    <t>3-Pentanone</t>
  </si>
  <si>
    <t>4-Methyl-2-pentanone (methyl isobutyl ketone)</t>
  </si>
  <si>
    <t>Acetone</t>
  </si>
  <si>
    <t>Acetophenone</t>
  </si>
  <si>
    <t>Acetylacetone</t>
  </si>
  <si>
    <t>Cyclohexanone</t>
  </si>
  <si>
    <t>Cyclopentanone</t>
  </si>
  <si>
    <t>Methyl ethyl ketone</t>
  </si>
  <si>
    <t>Pyridine</t>
  </si>
  <si>
    <t>Quinoline</t>
  </si>
  <si>
    <t>Acetonitrile</t>
  </si>
  <si>
    <t>Benzonitrile</t>
  </si>
  <si>
    <t>Butyronitrile</t>
  </si>
  <si>
    <t>Propanenitrile</t>
  </si>
  <si>
    <t>2-Nitropropane</t>
  </si>
  <si>
    <t>Nitrobenzene</t>
  </si>
  <si>
    <t>Nitroethane</t>
  </si>
  <si>
    <t>Nitromethane</t>
  </si>
  <si>
    <t>Tributylphosphate</t>
  </si>
  <si>
    <t>Triethylphosphate</t>
  </si>
  <si>
    <t>Decamethylcyclopentasiloxane (D5)</t>
  </si>
  <si>
    <t>Hexamethyldisiloxane (M2)</t>
  </si>
  <si>
    <t>Octamethylcyclotetrasiloxane (D4)</t>
  </si>
  <si>
    <t>Octamethyltrisiloxane (MDM)</t>
  </si>
  <si>
    <t>Dimethyl sulphoxide</t>
  </si>
  <si>
    <t>Sulpholane</t>
  </si>
  <si>
    <t>Dimethyl sulphide</t>
  </si>
  <si>
    <t>Ethanethiol</t>
  </si>
  <si>
    <t>Ref</t>
  </si>
  <si>
    <t>Dynamic viscosity (cP)</t>
  </si>
  <si>
    <t>Temp for viscosity (°C)</t>
  </si>
  <si>
    <t>SOLV-DB</t>
  </si>
  <si>
    <t>HSDB</t>
  </si>
  <si>
    <t>MSDS (Sigma-Aldrich)</t>
  </si>
  <si>
    <t>?</t>
  </si>
  <si>
    <t>Smallwood 1996</t>
  </si>
  <si>
    <t>Glaconchemie</t>
  </si>
  <si>
    <t>MSDS (Eastman)</t>
  </si>
  <si>
    <t>Aycock 2007</t>
  </si>
  <si>
    <t>Ab Rani 2014</t>
  </si>
  <si>
    <t>SD</t>
  </si>
  <si>
    <t>MEAN</t>
  </si>
  <si>
    <t>NMP</t>
  </si>
  <si>
    <t>Cyrene</t>
  </si>
  <si>
    <t>DCM</t>
  </si>
  <si>
    <t>http://www.redesta.de/html_englisch/cyclopentanon.htm</t>
  </si>
  <si>
    <t>Surface Tension (dynes/cm)</t>
  </si>
  <si>
    <t>Dichloromethane</t>
  </si>
  <si>
    <t>[Hernandez 2008]</t>
  </si>
  <si>
    <t>[Wang 2009]</t>
  </si>
  <si>
    <t>Limit</t>
  </si>
  <si>
    <t>PASS</t>
  </si>
  <si>
    <t>FAIL</t>
  </si>
  <si>
    <t>NO DATA</t>
  </si>
  <si>
    <t>Reproductive toxicity</t>
  </si>
  <si>
    <t>Mutagencity</t>
  </si>
  <si>
    <t>Carcinogen, acutely toxic</t>
  </si>
  <si>
    <t>No warnings</t>
  </si>
  <si>
    <t>Fatally acute toxicity</t>
  </si>
  <si>
    <t>Polarity</t>
  </si>
  <si>
    <t>Supplier</t>
  </si>
  <si>
    <t>Temp. for vapor pressure (°C)</t>
  </si>
  <si>
    <r>
      <t>Autoignition Temperature (</t>
    </r>
    <r>
      <rPr>
        <sz val="10"/>
        <rFont val="Arial"/>
        <family val="2"/>
      </rPr>
      <t>°</t>
    </r>
    <r>
      <rPr>
        <sz val="10"/>
        <rFont val="Calibri"/>
        <family val="2"/>
        <scheme val="minor"/>
      </rPr>
      <t>C)</t>
    </r>
  </si>
  <si>
    <t>Flash Point, closed cup (°C)</t>
  </si>
  <si>
    <t>Test notes</t>
  </si>
  <si>
    <t>Octanol-Water Partition Constant (Log Kow)</t>
  </si>
  <si>
    <r>
      <t>EC</t>
    </r>
    <r>
      <rPr>
        <vertAlign val="subscript"/>
        <sz val="10"/>
        <rFont val="Calibri"/>
        <family val="2"/>
      </rPr>
      <t>50</t>
    </r>
    <r>
      <rPr>
        <sz val="10"/>
        <rFont val="Calibri"/>
        <family val="2"/>
      </rPr>
      <t xml:space="preserve"> (mg/L) 48hr Daphnia magna</t>
    </r>
  </si>
  <si>
    <t>Rowan SSG</t>
  </si>
  <si>
    <t>min. value</t>
  </si>
  <si>
    <t>EPA ECOTOX</t>
  </si>
  <si>
    <t>24hr</t>
  </si>
  <si>
    <t>ChemSpider</t>
  </si>
  <si>
    <r>
      <rPr>
        <i/>
        <sz val="10"/>
        <rFont val="Calibri"/>
        <family val="2"/>
        <scheme val="minor"/>
      </rPr>
      <t>Cyrene</t>
    </r>
    <r>
      <rPr>
        <sz val="10"/>
        <rFont val="Calibri"/>
        <family val="2"/>
        <scheme val="minor"/>
      </rPr>
      <t>: Dihydrolevoglucosenone</t>
    </r>
  </si>
  <si>
    <t>Circa</t>
  </si>
  <si>
    <t>Green Biologics</t>
  </si>
  <si>
    <t>S4 database SD</t>
  </si>
  <si>
    <t>chart</t>
  </si>
  <si>
    <t>γ-Butyrolactone </t>
  </si>
  <si>
    <r>
      <t xml:space="preserve">HSDB </t>
    </r>
    <r>
      <rPr>
        <sz val="10"/>
        <color rgb="FFFF0000"/>
        <rFont val="Calibri"/>
        <family val="2"/>
        <scheme val="minor"/>
      </rPr>
      <t>(solid at 20 °C)</t>
    </r>
  </si>
  <si>
    <t>Redesta</t>
  </si>
  <si>
    <t>Ranking</t>
  </si>
  <si>
    <t>Density:viscosity ratio</t>
  </si>
  <si>
    <t>Courtesy of Laurianne Moity, Université Lille Nord de France</t>
  </si>
  <si>
    <t>F.Hoffmann-La Roche Ltd.</t>
  </si>
  <si>
    <t>Accessed April 2014</t>
  </si>
  <si>
    <t>Hazardous substances database. Accessed through the TOXNET portal (US national library of medicine) http://toxnet.nlm.nih.gov/</t>
  </si>
  <si>
    <t>Accessed May 2014</t>
  </si>
  <si>
    <t>Lambiotte technical data</t>
  </si>
  <si>
    <t>I. M. Smallwood, Handbook of Organic Solvents, Arnold publishing, London, 1996.</t>
  </si>
  <si>
    <t>http://solvdb.ncms.org/solvdb.htm</t>
  </si>
  <si>
    <t>Glaconchemie technical data</t>
  </si>
  <si>
    <r>
      <rPr>
        <sz val="10"/>
        <color theme="1"/>
        <rFont val="Calibri"/>
        <family val="2"/>
      </rPr>
      <t>Δ</t>
    </r>
    <r>
      <rPr>
        <sz val="10"/>
        <color theme="1"/>
        <rFont val="Calibri"/>
        <family val="2"/>
        <scheme val="minor"/>
      </rPr>
      <t>Surface tension</t>
    </r>
  </si>
  <si>
    <t>Difference</t>
  </si>
  <si>
    <t>Surface tension targets</t>
  </si>
  <si>
    <t>Average of recognised solvents DMF, NMP, &amp; 1,2-DCB</t>
  </si>
  <si>
    <t>Selected target</t>
  </si>
  <si>
    <t>All technical requirements</t>
  </si>
  <si>
    <t>Hansen D</t>
  </si>
  <si>
    <t>Hansen P</t>
  </si>
  <si>
    <t>Hansen H</t>
  </si>
  <si>
    <t>Distance in Hansen space</t>
  </si>
  <si>
    <t>Pass</t>
  </si>
  <si>
    <t>Fail</t>
  </si>
  <si>
    <t>Preliminary MSDS health hazards screening</t>
  </si>
  <si>
    <r>
      <t>M. A. Ab Rani</t>
    </r>
    <r>
      <rPr>
        <i/>
        <sz val="10"/>
        <rFont val="Calibri"/>
        <family val="2"/>
        <scheme val="minor"/>
      </rPr>
      <t xml:space="preserve"> et al</t>
    </r>
    <r>
      <rPr>
        <sz val="10"/>
        <rFont val="Calibri"/>
        <family val="2"/>
        <scheme val="minor"/>
      </rPr>
      <t xml:space="preserve">., </t>
    </r>
    <r>
      <rPr>
        <i/>
        <sz val="10"/>
        <rFont val="Calibri"/>
        <family val="2"/>
        <scheme val="minor"/>
      </rPr>
      <t>Green Chem.</t>
    </r>
    <r>
      <rPr>
        <sz val="10"/>
        <rFont val="Calibri"/>
        <family val="2"/>
        <scheme val="minor"/>
      </rPr>
      <t xml:space="preserve">, 2014, </t>
    </r>
    <r>
      <rPr>
        <b/>
        <sz val="10"/>
        <rFont val="Calibri"/>
        <family val="2"/>
        <scheme val="minor"/>
      </rPr>
      <t>16</t>
    </r>
    <r>
      <rPr>
        <sz val="10"/>
        <rFont val="Calibri"/>
        <family val="2"/>
        <scheme val="minor"/>
      </rPr>
      <t>, 1282.</t>
    </r>
  </si>
  <si>
    <r>
      <t xml:space="preserve">D. F. Aycock, </t>
    </r>
    <r>
      <rPr>
        <i/>
        <sz val="10"/>
        <rFont val="Calibri"/>
        <family val="2"/>
        <scheme val="minor"/>
      </rPr>
      <t>Org. Process Res. Dev.</t>
    </r>
    <r>
      <rPr>
        <sz val="10"/>
        <rFont val="Calibri"/>
        <family val="2"/>
        <scheme val="minor"/>
      </rPr>
      <t xml:space="preserve">, 2007, </t>
    </r>
    <r>
      <rPr>
        <b/>
        <sz val="10"/>
        <rFont val="Calibri"/>
        <family val="2"/>
        <scheme val="minor"/>
      </rPr>
      <t>11</t>
    </r>
    <r>
      <rPr>
        <sz val="10"/>
        <rFont val="Calibri"/>
        <family val="2"/>
        <scheme val="minor"/>
      </rPr>
      <t>, 156.</t>
    </r>
  </si>
  <si>
    <t>Accessed May 2015</t>
  </si>
  <si>
    <t>Zeon technical data</t>
  </si>
  <si>
    <t>Yes</t>
  </si>
  <si>
    <t>Mean + SD</t>
  </si>
  <si>
    <t>Mean - SD</t>
  </si>
  <si>
    <t>S4 database mean average</t>
  </si>
  <si>
    <t>Bio-based carbon content (calculation)</t>
  </si>
  <si>
    <t>NIOSH MSDS</t>
  </si>
  <si>
    <t>Standard deviations from mean</t>
  </si>
  <si>
    <t>log(LD50)</t>
  </si>
  <si>
    <t>LD50 oral (mg/kg, rat)</t>
  </si>
  <si>
    <t>log(VP)</t>
  </si>
  <si>
    <t>Vapor pressure (mmHg)</t>
  </si>
  <si>
    <r>
      <t xml:space="preserve">Standard deviations from mean                 </t>
    </r>
    <r>
      <rPr>
        <b/>
        <sz val="10"/>
        <color theme="1"/>
        <rFont val="Calibri"/>
        <family val="2"/>
        <scheme val="minor"/>
      </rPr>
      <t>inverted so high values are desirable</t>
    </r>
  </si>
  <si>
    <t>log(EC50)</t>
  </si>
  <si>
    <t>Persistence (PBT) not anticipated - all solvents biodegrade</t>
  </si>
  <si>
    <t>Summation of scores</t>
  </si>
  <si>
    <t>Rank</t>
  </si>
  <si>
    <t>Bio-based?</t>
  </si>
  <si>
    <t>Partially</t>
  </si>
  <si>
    <t># Best in class</t>
  </si>
  <si>
    <t># Worst in class</t>
  </si>
  <si>
    <t xml:space="preserve"> http://www.york.ac.uk/res/s4/</t>
  </si>
  <si>
    <r>
      <t xml:space="preserve">S. Slater and M. Savelski, </t>
    </r>
    <r>
      <rPr>
        <i/>
        <sz val="10"/>
        <color theme="1"/>
        <rFont val="Calibri"/>
        <family val="2"/>
        <scheme val="minor"/>
      </rPr>
      <t>Journal of Environmental Science and Health Part A</t>
    </r>
    <r>
      <rPr>
        <sz val="10"/>
        <color theme="1"/>
        <rFont val="Calibri"/>
        <family val="2"/>
        <scheme val="minor"/>
      </rPr>
      <t>, 2007, 42, 1595-1605.</t>
    </r>
  </si>
  <si>
    <t>Bio-based carbon content</t>
  </si>
  <si>
    <t>Source</t>
  </si>
  <si>
    <t>Derived from glycerol</t>
  </si>
  <si>
    <t>Essential oils</t>
  </si>
  <si>
    <t>Vegetable oils</t>
  </si>
  <si>
    <t>Synthesised from vegetable oils</t>
  </si>
  <si>
    <t>Fermentation product</t>
  </si>
  <si>
    <t>Made with bio-ethanol</t>
  </si>
  <si>
    <t>Made from lactic acid</t>
  </si>
  <si>
    <t>Made from citric acid</t>
  </si>
  <si>
    <t>Made from bio-gas</t>
  </si>
  <si>
    <t>Made from dimethyl sulphide</t>
  </si>
  <si>
    <t>Made from bio-ethanol</t>
  </si>
  <si>
    <t>Pyrolysis of carbohydrate</t>
  </si>
  <si>
    <t>γ-Valerolactone</t>
  </si>
  <si>
    <t>FAIL*</t>
  </si>
  <si>
    <t>Triacetin</t>
  </si>
  <si>
    <t>Dimethyl isosorbide</t>
  </si>
  <si>
    <t>Lactic acid</t>
  </si>
  <si>
    <t>Density (g/mL)</t>
  </si>
  <si>
    <t>Surface tension</t>
  </si>
  <si>
    <t>Eastman technical data</t>
  </si>
  <si>
    <t>Distance &lt;5</t>
  </si>
  <si>
    <t>Distance &gt;6.5</t>
  </si>
  <si>
    <t>Additional comments</t>
  </si>
  <si>
    <t>MSDS (Thermo)</t>
  </si>
  <si>
    <r>
      <rPr>
        <sz val="10"/>
        <color theme="1"/>
        <rFont val="Calibri"/>
        <family val="2"/>
      </rPr>
      <t>γ</t>
    </r>
    <r>
      <rPr>
        <sz val="8"/>
        <color theme="1"/>
        <rFont val="Calibri"/>
        <family val="2"/>
      </rPr>
      <t>-</t>
    </r>
    <r>
      <rPr>
        <sz val="10"/>
        <color theme="1"/>
        <rFont val="Calibri"/>
        <family val="2"/>
        <scheme val="minor"/>
      </rPr>
      <t>Valerolactone</t>
    </r>
  </si>
  <si>
    <t>Dottikon technical data</t>
  </si>
  <si>
    <t>Toxicity (PBT) not anticipated (EC50 &gt;0.01)</t>
  </si>
  <si>
    <t>log (viscosity)*</t>
  </si>
  <si>
    <t>ECHA register</t>
  </si>
  <si>
    <t>Viscosity</t>
  </si>
  <si>
    <t>Select range</t>
  </si>
  <si>
    <t>Final solvent candidate shortlist</t>
  </si>
  <si>
    <t>Total solvents meeting at least one requirement:</t>
  </si>
  <si>
    <t>Total bio-based solvents considered:</t>
  </si>
  <si>
    <t>Number of solvents:</t>
  </si>
  <si>
    <t>Considered as a candidate</t>
  </si>
  <si>
    <t>Eliminated on the basis of reproductive toxicity</t>
  </si>
  <si>
    <t>1,3-Propanediol</t>
  </si>
  <si>
    <t>1,2-Pentanediol</t>
  </si>
  <si>
    <t>min. value, 24hr</t>
  </si>
  <si>
    <t>[Coleman 2013]</t>
  </si>
  <si>
    <t>Eliminated on the basis of toxicity and mutagenicity</t>
  </si>
  <si>
    <t>Carcinogen, reproductive toxicity</t>
  </si>
  <si>
    <t>REACH restriction applies</t>
  </si>
  <si>
    <t>Carcinogenity (CMR) not identified</t>
  </si>
  <si>
    <t>Mutagenicity (CMR) not identified</t>
  </si>
  <si>
    <t>Reprotoxicity (CMR) not identified</t>
  </si>
  <si>
    <t>24 hr</t>
  </si>
  <si>
    <t>MSDS (ScienceLab)</t>
  </si>
  <si>
    <t>MSDS (Imperial College)</t>
  </si>
  <si>
    <t>(calculated)</t>
  </si>
  <si>
    <t>CLP 'flammable liquids' threshold</t>
  </si>
  <si>
    <t>CLP 'acute toxicity' threshold</t>
  </si>
  <si>
    <t>Industrial Emissions 2010/75/EU 'VOC' threshold</t>
  </si>
  <si>
    <r>
      <t xml:space="preserve">CLP 'harmful to the aquatic environment' threshold (in practice logP </t>
    </r>
    <r>
      <rPr>
        <sz val="10"/>
        <color theme="1"/>
        <rFont val="Calibri"/>
        <family val="2"/>
      </rPr>
      <t>≥</t>
    </r>
    <r>
      <rPr>
        <sz val="10"/>
        <color theme="1"/>
        <rFont val="Calibri"/>
        <family val="2"/>
        <scheme val="minor"/>
      </rPr>
      <t>4 also)</t>
    </r>
  </si>
  <si>
    <t>CLP 'harmful to the aquatic environment' threshold (in practice EC 50 &lt;100 also)</t>
  </si>
  <si>
    <t>Biodegradation</t>
  </si>
  <si>
    <t>Additional notes: REACH Annex VIII requirements</t>
  </si>
  <si>
    <t>Density:viscosity threshold</t>
  </si>
  <si>
    <t>Maximum density:viscosity ratio</t>
  </si>
  <si>
    <t>Method</t>
  </si>
  <si>
    <t>A mixture of the chosen solvent and graphite is treated with an ultrasonic probe.</t>
  </si>
  <si>
    <t>The suspension is centrifuged and filtered.</t>
  </si>
  <si>
    <t>Exfoliation</t>
  </si>
  <si>
    <t>Stage</t>
  </si>
  <si>
    <t>Description</t>
  </si>
  <si>
    <t>Boiling point</t>
  </si>
  <si>
    <t>Melting point</t>
  </si>
  <si>
    <t>Vapour pressure</t>
  </si>
  <si>
    <t>Density</t>
  </si>
  <si>
    <t>Partition coefficient</t>
  </si>
  <si>
    <t>Water solubility</t>
  </si>
  <si>
    <t>Influential solvent parameters</t>
  </si>
  <si>
    <t>Deposition</t>
  </si>
  <si>
    <t>Samples were drop-casted for analysis (e.g. AFM)</t>
  </si>
  <si>
    <t>Dispersion</t>
  </si>
  <si>
    <t>Settling velocity (Stokes' law)</t>
  </si>
  <si>
    <t>Rate of solvent removal</t>
  </si>
  <si>
    <t>Stabilise exfoliated graphene</t>
  </si>
  <si>
    <t>1,3-Dioxolane</t>
  </si>
  <si>
    <t>DMF</t>
  </si>
  <si>
    <t>May effect sonication cavities</t>
  </si>
  <si>
    <t>Surface energy</t>
  </si>
  <si>
    <t>±</t>
  </si>
  <si>
    <t>dynes/cm</t>
  </si>
  <si>
    <t>≤</t>
  </si>
  <si>
    <t>Borderline solvents</t>
  </si>
  <si>
    <t>Strict requirment</t>
  </si>
  <si>
    <t>γ</t>
  </si>
  <si>
    <t>Density:viscosity</t>
  </si>
  <si>
    <t>g/mol.cP</t>
  </si>
  <si>
    <t>ρ/μ</t>
  </si>
  <si>
    <t>Optimal surface energy (and range)</t>
  </si>
  <si>
    <t>Dispersion force of graphene (target)</t>
  </si>
  <si>
    <t>Dipole forces of graphene (target)</t>
  </si>
  <si>
    <t>Hydrogen bond forces of graphene (target)</t>
  </si>
  <si>
    <t>T</t>
  </si>
  <si>
    <t>K</t>
  </si>
  <si>
    <t>P</t>
  </si>
  <si>
    <t>n/a</t>
  </si>
  <si>
    <t>Symbol</t>
  </si>
  <si>
    <t>Value</t>
  </si>
  <si>
    <t>Units</t>
  </si>
  <si>
    <r>
      <t>δ</t>
    </r>
    <r>
      <rPr>
        <vertAlign val="subscript"/>
        <sz val="10"/>
        <rFont val="Calibri"/>
        <family val="2"/>
      </rPr>
      <t>D</t>
    </r>
  </si>
  <si>
    <r>
      <t>MPa</t>
    </r>
    <r>
      <rPr>
        <vertAlign val="superscript"/>
        <sz val="10"/>
        <rFont val="Calibri"/>
        <family val="2"/>
        <scheme val="minor"/>
      </rPr>
      <t>0.5</t>
    </r>
  </si>
  <si>
    <r>
      <t>δ</t>
    </r>
    <r>
      <rPr>
        <vertAlign val="subscript"/>
        <sz val="10"/>
        <rFont val="Calibri"/>
        <family val="2"/>
      </rPr>
      <t>P</t>
    </r>
  </si>
  <si>
    <r>
      <t>δ</t>
    </r>
    <r>
      <rPr>
        <vertAlign val="subscript"/>
        <sz val="10"/>
        <rFont val="Calibri"/>
        <family val="2"/>
      </rPr>
      <t>H</t>
    </r>
  </si>
  <si>
    <r>
      <t>R</t>
    </r>
    <r>
      <rPr>
        <vertAlign val="subscript"/>
        <sz val="10"/>
        <color theme="1"/>
        <rFont val="Calibri"/>
        <family val="2"/>
        <scheme val="minor"/>
      </rPr>
      <t>a</t>
    </r>
  </si>
  <si>
    <t>The stability of the graphene dispersion is influenced by the settling velocity of the particles, in turn dictated by the viscosity and density of the solvent.</t>
  </si>
  <si>
    <t>Parameter 1</t>
  </si>
  <si>
    <t>Parameter 2</t>
  </si>
  <si>
    <t>Description and identification of relevant solvent properties</t>
  </si>
  <si>
    <r>
      <t xml:space="preserve">The solvent must be removable by evaporation in a controlled manner (80 </t>
    </r>
    <r>
      <rPr>
        <sz val="10"/>
        <color theme="1" tint="0.499984740745262"/>
        <rFont val="Calibri"/>
        <family val="2"/>
      </rPr>
      <t>°</t>
    </r>
    <r>
      <rPr>
        <sz val="10"/>
        <color theme="1" tint="0.499984740745262"/>
        <rFont val="Calibri"/>
        <family val="2"/>
        <scheme val="minor"/>
      </rPr>
      <t>C under vacuum).</t>
    </r>
  </si>
  <si>
    <t>Target</t>
  </si>
  <si>
    <t>Graphene</t>
  </si>
  <si>
    <t>Reference</t>
  </si>
  <si>
    <r>
      <t xml:space="preserve">Hernandez </t>
    </r>
    <r>
      <rPr>
        <i/>
        <sz val="10"/>
        <color theme="1"/>
        <rFont val="Calibri"/>
        <family val="2"/>
        <scheme val="minor"/>
      </rPr>
      <t>et al</t>
    </r>
    <r>
      <rPr>
        <sz val="10"/>
        <color theme="1"/>
        <rFont val="Calibri"/>
        <family val="2"/>
        <scheme val="minor"/>
      </rPr>
      <t>.,</t>
    </r>
    <r>
      <rPr>
        <i/>
        <sz val="10"/>
        <color theme="1"/>
        <rFont val="Calibri"/>
        <family val="2"/>
        <scheme val="minor"/>
      </rPr>
      <t xml:space="preserve"> Langmuir</t>
    </r>
    <r>
      <rPr>
        <sz val="10"/>
        <color theme="1"/>
        <rFont val="Calibri"/>
        <family val="2"/>
        <scheme val="minor"/>
      </rPr>
      <t xml:space="preserve">, 2010, </t>
    </r>
    <r>
      <rPr>
        <b/>
        <sz val="10"/>
        <color theme="1"/>
        <rFont val="Calibri"/>
        <family val="2"/>
        <scheme val="minor"/>
      </rPr>
      <t>26</t>
    </r>
    <r>
      <rPr>
        <sz val="10"/>
        <color theme="1"/>
        <rFont val="Calibri"/>
        <family val="2"/>
        <scheme val="minor"/>
      </rPr>
      <t>, 3208.</t>
    </r>
  </si>
  <si>
    <t>Kwok 1998</t>
  </si>
  <si>
    <r>
      <t xml:space="preserve">D. Y. Kwok </t>
    </r>
    <r>
      <rPr>
        <i/>
        <sz val="10"/>
        <rFont val="Calibri"/>
        <family val="2"/>
        <scheme val="minor"/>
      </rPr>
      <t>et al</t>
    </r>
    <r>
      <rPr>
        <sz val="10"/>
        <rFont val="Calibri"/>
        <family val="2"/>
        <scheme val="minor"/>
      </rPr>
      <t xml:space="preserve">., </t>
    </r>
    <r>
      <rPr>
        <i/>
        <sz val="10"/>
        <rFont val="Calibri"/>
        <family val="2"/>
        <scheme val="minor"/>
      </rPr>
      <t>Langmuir</t>
    </r>
    <r>
      <rPr>
        <sz val="10"/>
        <rFont val="Calibri"/>
        <family val="2"/>
        <scheme val="minor"/>
      </rPr>
      <t>,</t>
    </r>
    <r>
      <rPr>
        <i/>
        <sz val="10"/>
        <rFont val="Calibri"/>
        <family val="2"/>
        <scheme val="minor"/>
      </rPr>
      <t xml:space="preserve"> </t>
    </r>
    <r>
      <rPr>
        <sz val="10"/>
        <rFont val="Calibri"/>
        <family val="2"/>
        <scheme val="minor"/>
      </rPr>
      <t xml:space="preserve">1998, </t>
    </r>
    <r>
      <rPr>
        <b/>
        <sz val="10"/>
        <rFont val="Calibri"/>
        <family val="2"/>
        <scheme val="minor"/>
      </rPr>
      <t>14</t>
    </r>
    <r>
      <rPr>
        <sz val="10"/>
        <rFont val="Calibri"/>
        <family val="2"/>
        <scheme val="minor"/>
      </rPr>
      <t>, 2221.</t>
    </r>
  </si>
  <si>
    <t>References</t>
  </si>
  <si>
    <t>Polarity criteria key</t>
  </si>
  <si>
    <t>Density: viscosity</t>
  </si>
  <si>
    <t>Triethylcitrate</t>
  </si>
  <si>
    <t xml:space="preserve">Measurement of Multicomponent Solubility Parameters for Graphene Facilitates Solvent Discovery
</t>
  </si>
  <si>
    <r>
      <t xml:space="preserve">Y. Hernandez, M. Lotya, D. Rickard, S. D. Bergin and J. N. Coleman, </t>
    </r>
    <r>
      <rPr>
        <i/>
        <sz val="10"/>
        <color theme="1"/>
        <rFont val="Calibri"/>
        <family val="2"/>
        <scheme val="minor"/>
      </rPr>
      <t>Langmuir</t>
    </r>
    <r>
      <rPr>
        <sz val="10"/>
        <color theme="1"/>
        <rFont val="Calibri"/>
        <family val="2"/>
        <scheme val="minor"/>
      </rPr>
      <t xml:space="preserve">, 2010, </t>
    </r>
    <r>
      <rPr>
        <b/>
        <sz val="10"/>
        <color theme="1"/>
        <rFont val="Calibri"/>
        <family val="2"/>
        <scheme val="minor"/>
      </rPr>
      <t>26</t>
    </r>
    <r>
      <rPr>
        <sz val="10"/>
        <color theme="1"/>
        <rFont val="Calibri"/>
        <family val="2"/>
        <scheme val="minor"/>
      </rPr>
      <t>, 3208-3213.</t>
    </r>
  </si>
  <si>
    <t>Literature data for graphene dispersion solvents</t>
  </si>
  <si>
    <r>
      <t>Concentration (</t>
    </r>
    <r>
      <rPr>
        <sz val="10"/>
        <rFont val="Calibri"/>
        <family val="2"/>
      </rPr>
      <t>µ</t>
    </r>
    <r>
      <rPr>
        <sz val="10"/>
        <rFont val="Calibri"/>
        <family val="2"/>
        <scheme val="minor"/>
      </rPr>
      <t>g/mL)</t>
    </r>
  </si>
  <si>
    <t>Relative concentration to NMP</t>
  </si>
  <si>
    <t>Vinyl pyrrolidinone</t>
  </si>
  <si>
    <r>
      <rPr>
        <i/>
        <sz val="10"/>
        <color theme="1"/>
        <rFont val="Calibri"/>
        <family val="2"/>
        <scheme val="minor"/>
      </rPr>
      <t>N</t>
    </r>
    <r>
      <rPr>
        <sz val="10"/>
        <color theme="1"/>
        <rFont val="Calibri"/>
        <family val="2"/>
        <scheme val="minor"/>
      </rPr>
      <t>-Formyl piperidine</t>
    </r>
  </si>
  <si>
    <t>Dimethylimidazolidinone</t>
  </si>
  <si>
    <t>Benzyl benzoate</t>
  </si>
  <si>
    <t>Dimethylpropylene urea</t>
  </si>
  <si>
    <r>
      <rPr>
        <i/>
        <sz val="10"/>
        <color theme="1"/>
        <rFont val="Calibri"/>
        <family val="2"/>
        <scheme val="minor"/>
      </rPr>
      <t>N</t>
    </r>
    <r>
      <rPr>
        <sz val="10"/>
        <color theme="1"/>
        <rFont val="Calibri"/>
        <family val="2"/>
        <scheme val="minor"/>
      </rPr>
      <t>-Ethyl pyrrolidinone</t>
    </r>
  </si>
  <si>
    <r>
      <rPr>
        <sz val="10"/>
        <color theme="1"/>
        <rFont val="Calibri"/>
        <family val="2"/>
      </rPr>
      <t>γ-</t>
    </r>
    <r>
      <rPr>
        <sz val="10"/>
        <color theme="1"/>
        <rFont val="Calibri"/>
        <family val="2"/>
        <scheme val="minor"/>
      </rPr>
      <t>Butyrolactone</t>
    </r>
  </si>
  <si>
    <t>Dimethyl acetamide</t>
  </si>
  <si>
    <t>Cyclohexyl pyrrolidinone</t>
  </si>
  <si>
    <t>DMSO</t>
  </si>
  <si>
    <r>
      <rPr>
        <i/>
        <sz val="10"/>
        <color theme="1"/>
        <rFont val="Calibri"/>
        <family val="2"/>
        <scheme val="minor"/>
      </rPr>
      <t>N</t>
    </r>
    <r>
      <rPr>
        <sz val="10"/>
        <color theme="1"/>
        <rFont val="Calibri"/>
        <family val="2"/>
        <scheme val="minor"/>
      </rPr>
      <t>-Octyl pyrrolidinone</t>
    </r>
  </si>
  <si>
    <t>Ethanolamine</t>
  </si>
  <si>
    <t>Diethyl phthalate</t>
  </si>
  <si>
    <r>
      <rPr>
        <i/>
        <sz val="10"/>
        <color theme="1"/>
        <rFont val="Calibri"/>
        <family val="2"/>
        <scheme val="minor"/>
      </rPr>
      <t>N</t>
    </r>
    <r>
      <rPr>
        <sz val="10"/>
        <color theme="1"/>
        <rFont val="Calibri"/>
        <family val="2"/>
        <scheme val="minor"/>
      </rPr>
      <t>-Decyl pyrrolidinone</t>
    </r>
  </si>
  <si>
    <t>Vinyl acetate</t>
  </si>
  <si>
    <t>Heptane</t>
  </si>
  <si>
    <t>Hexane</t>
  </si>
  <si>
    <t>Pentane</t>
  </si>
  <si>
    <r>
      <t xml:space="preserve">Hernandez </t>
    </r>
    <r>
      <rPr>
        <i/>
        <sz val="10"/>
        <color theme="1"/>
        <rFont val="Calibri"/>
        <family val="2"/>
        <scheme val="minor"/>
      </rPr>
      <t>et al.</t>
    </r>
    <r>
      <rPr>
        <sz val="10"/>
        <color theme="1"/>
        <rFont val="Calibri"/>
        <family val="2"/>
        <scheme val="minor"/>
      </rPr>
      <t xml:space="preserve"> 2010</t>
    </r>
  </si>
  <si>
    <t>This work</t>
  </si>
  <si>
    <r>
      <rPr>
        <sz val="10"/>
        <color theme="0" tint="-0.499984740745262"/>
        <rFont val="Calibri"/>
        <family val="2"/>
        <scheme val="minor"/>
      </rPr>
      <t>*</t>
    </r>
    <r>
      <rPr>
        <i/>
        <sz val="10"/>
        <color theme="0" tint="-0.499984740745262"/>
        <rFont val="Calibri"/>
        <family val="2"/>
        <scheme val="minor"/>
      </rPr>
      <t>Based on predicted data from HSPiP (28.0 dynes/cm)</t>
    </r>
  </si>
  <si>
    <t>Eastman</t>
  </si>
  <si>
    <t>MSDS (Spectrum)</t>
  </si>
  <si>
    <t>MSDS (Fisher)</t>
  </si>
  <si>
    <r>
      <t xml:space="preserve">MSDS (Eastman, </t>
    </r>
    <r>
      <rPr>
        <i/>
        <sz val="10"/>
        <rFont val="Calibri"/>
        <family val="2"/>
      </rPr>
      <t>calc</t>
    </r>
    <r>
      <rPr>
        <sz val="10"/>
        <rFont val="Calibri"/>
        <family val="2"/>
      </rPr>
      <t>.)</t>
    </r>
  </si>
  <si>
    <t>Relative to LD50) of 2000 mg/kg</t>
  </si>
  <si>
    <t>http://www.inchem.org/</t>
  </si>
  <si>
    <t>Bioaccumulation (PBT) not anticipated (log P &lt;4)</t>
  </si>
  <si>
    <t>No</t>
  </si>
  <si>
    <t>Considered biodegradable.</t>
  </si>
  <si>
    <t>Industrial emissions VOC definition.</t>
  </si>
  <si>
    <t>None.</t>
  </si>
  <si>
    <t>CLP 'acute toxicity' threshold (harmful if swallowed); Industrial emissions VOC definition; CLP 'harmful to the aquatic environment'.</t>
  </si>
  <si>
    <t>CLP 'acute toxicity' threshold (harmful if swallowed); Industrial emissions VOC definition.</t>
  </si>
  <si>
    <t>CLP 'acute toxicity' threshold (harmful if swallowed); CLP 'flammable liquids' threshold; Industrial emissions VOC definition.</t>
  </si>
  <si>
    <t>European standard TS/16766.</t>
  </si>
  <si>
    <t>All breaches of regulatory limits</t>
  </si>
  <si>
    <t>Failed surface tension requirement.</t>
  </si>
  <si>
    <t>Reprotoxic.</t>
  </si>
  <si>
    <t>Failed density/viscosity requirement.</t>
  </si>
  <si>
    <t>Lack of data.</t>
  </si>
  <si>
    <t>5&lt; Distance &lt;6.5</t>
  </si>
  <si>
    <t>Borderline (still considered a pass)</t>
  </si>
  <si>
    <r>
      <rPr>
        <u/>
        <sz val="10"/>
        <rFont val="Calibri"/>
        <family val="2"/>
        <scheme val="minor"/>
      </rPr>
      <t>First criterion</t>
    </r>
    <r>
      <rPr>
        <sz val="10"/>
        <rFont val="Calibri"/>
        <family val="2"/>
        <scheme val="minor"/>
      </rPr>
      <t>: A upper threshold was established regarding the density:viscosity ratio, limiting the solvent set to a maximum of 130 candidates. This is derived from Stokes' law for settling velocity under centrifugation, where the variables relevant to the solvent are present as density over viscosity.</t>
    </r>
  </si>
  <si>
    <t>Requirement</t>
  </si>
  <si>
    <t>Polarity notes</t>
  </si>
  <si>
    <t>Regulatory limits and requirements in European standards</t>
  </si>
  <si>
    <t>NMP (for comparison)</t>
  </si>
  <si>
    <r>
      <t xml:space="preserve">Target surface tension (to match surface energy of graphene) chosen from the options provided in </t>
    </r>
    <r>
      <rPr>
        <b/>
        <u/>
        <sz val="10"/>
        <color theme="1"/>
        <rFont val="Calibri"/>
        <family val="2"/>
        <scheme val="minor"/>
      </rPr>
      <t>cell K9</t>
    </r>
    <r>
      <rPr>
        <sz val="10"/>
        <color theme="1"/>
        <rFont val="Calibri"/>
        <family val="2"/>
        <scheme val="minor"/>
      </rPr>
      <t xml:space="preserve">. Flexibility in surface tension match entered in </t>
    </r>
    <r>
      <rPr>
        <b/>
        <u/>
        <sz val="10"/>
        <color theme="1"/>
        <rFont val="Calibri"/>
        <family val="2"/>
        <scheme val="minor"/>
      </rPr>
      <t>cell N9</t>
    </r>
    <r>
      <rPr>
        <sz val="10"/>
        <color theme="1"/>
        <rFont val="Calibri"/>
        <family val="2"/>
        <scheme val="minor"/>
      </rPr>
      <t>. All solvents within the correct range pass this criteria.</t>
    </r>
  </si>
  <si>
    <t>Wang 2009</t>
  </si>
  <si>
    <t>Hernandez 2008</t>
  </si>
  <si>
    <t>Coleman 2013</t>
  </si>
  <si>
    <r>
      <t xml:space="preserve">J. N. Coleman, </t>
    </r>
    <r>
      <rPr>
        <i/>
        <sz val="10"/>
        <rFont val="Calibri"/>
        <family val="2"/>
        <scheme val="minor"/>
      </rPr>
      <t>Accounts of Chemical Research</t>
    </r>
    <r>
      <rPr>
        <sz val="10"/>
        <rFont val="Calibri"/>
        <family val="2"/>
        <scheme val="minor"/>
      </rPr>
      <t>, 2012,</t>
    </r>
    <r>
      <rPr>
        <b/>
        <sz val="10"/>
        <rFont val="Calibri"/>
        <family val="2"/>
        <scheme val="minor"/>
      </rPr>
      <t xml:space="preserve"> 36</t>
    </r>
    <r>
      <rPr>
        <sz val="10"/>
        <rFont val="Calibri"/>
        <family val="2"/>
        <scheme val="minor"/>
      </rPr>
      <t>, 14-22.</t>
    </r>
  </si>
  <si>
    <r>
      <t xml:space="preserve">S. Wang </t>
    </r>
    <r>
      <rPr>
        <i/>
        <sz val="10"/>
        <rFont val="Calibri"/>
        <family val="2"/>
        <scheme val="minor"/>
      </rPr>
      <t>et al</t>
    </r>
    <r>
      <rPr>
        <sz val="10"/>
        <rFont val="Calibri"/>
        <family val="2"/>
        <scheme val="minor"/>
      </rPr>
      <t xml:space="preserve">., </t>
    </r>
    <r>
      <rPr>
        <i/>
        <sz val="10"/>
        <rFont val="Calibri"/>
        <family val="2"/>
        <scheme val="minor"/>
      </rPr>
      <t>Langmuir</t>
    </r>
    <r>
      <rPr>
        <sz val="10"/>
        <rFont val="Calibri"/>
        <family val="2"/>
        <scheme val="minor"/>
      </rPr>
      <t>,</t>
    </r>
    <r>
      <rPr>
        <i/>
        <sz val="10"/>
        <rFont val="Calibri"/>
        <family val="2"/>
        <scheme val="minor"/>
      </rPr>
      <t xml:space="preserve"> </t>
    </r>
    <r>
      <rPr>
        <sz val="10"/>
        <rFont val="Calibri"/>
        <family val="2"/>
        <scheme val="minor"/>
      </rPr>
      <t xml:space="preserve">2009, </t>
    </r>
    <r>
      <rPr>
        <b/>
        <sz val="10"/>
        <rFont val="Calibri"/>
        <family val="2"/>
        <scheme val="minor"/>
      </rPr>
      <t>25</t>
    </r>
    <r>
      <rPr>
        <sz val="10"/>
        <rFont val="Calibri"/>
        <family val="2"/>
        <scheme val="minor"/>
      </rPr>
      <t>, 11078–11081.</t>
    </r>
  </si>
  <si>
    <r>
      <t>Y. Hernandez</t>
    </r>
    <r>
      <rPr>
        <i/>
        <sz val="10"/>
        <rFont val="Calibri"/>
        <family val="2"/>
        <scheme val="minor"/>
      </rPr>
      <t xml:space="preserve"> et al.</t>
    </r>
    <r>
      <rPr>
        <sz val="10"/>
        <rFont val="Calibri"/>
        <family val="2"/>
        <scheme val="minor"/>
      </rPr>
      <t xml:space="preserve">, </t>
    </r>
    <r>
      <rPr>
        <i/>
        <sz val="10"/>
        <rFont val="Calibri"/>
        <family val="2"/>
        <scheme val="minor"/>
      </rPr>
      <t>Nature Nanotechnology</t>
    </r>
    <r>
      <rPr>
        <sz val="10"/>
        <rFont val="Calibri"/>
        <family val="2"/>
        <scheme val="minor"/>
      </rPr>
      <t>, 2008,</t>
    </r>
    <r>
      <rPr>
        <b/>
        <sz val="10"/>
        <rFont val="Calibri"/>
        <family val="2"/>
        <scheme val="minor"/>
      </rPr>
      <t xml:space="preserve"> 3</t>
    </r>
    <r>
      <rPr>
        <sz val="10"/>
        <rFont val="Calibri"/>
        <family val="2"/>
        <scheme val="minor"/>
      </rPr>
      <t>, 563.</t>
    </r>
  </si>
  <si>
    <r>
      <t xml:space="preserve">Hamilton </t>
    </r>
    <r>
      <rPr>
        <i/>
        <sz val="10"/>
        <color theme="1"/>
        <rFont val="Calibri"/>
        <family val="2"/>
        <scheme val="minor"/>
      </rPr>
      <t>et al</t>
    </r>
    <r>
      <rPr>
        <sz val="10"/>
        <color theme="1"/>
        <rFont val="Calibri"/>
        <family val="2"/>
        <scheme val="minor"/>
      </rPr>
      <t>., 2009</t>
    </r>
  </si>
  <si>
    <t>Hamilton 2009</t>
  </si>
  <si>
    <t>Hernandez 2010</t>
  </si>
  <si>
    <r>
      <t xml:space="preserve">C. E. Hamilton </t>
    </r>
    <r>
      <rPr>
        <i/>
        <sz val="10"/>
        <rFont val="Calibri"/>
        <family val="2"/>
        <scheme val="minor"/>
      </rPr>
      <t>et al</t>
    </r>
    <r>
      <rPr>
        <sz val="10"/>
        <rFont val="Calibri"/>
        <family val="2"/>
        <scheme val="minor"/>
      </rPr>
      <t xml:space="preserve">., Nano Lett., 2009, </t>
    </r>
    <r>
      <rPr>
        <b/>
        <sz val="10"/>
        <rFont val="Calibri"/>
        <family val="2"/>
        <scheme val="minor"/>
      </rPr>
      <t>9</t>
    </r>
    <r>
      <rPr>
        <sz val="10"/>
        <rFont val="Calibri"/>
        <family val="2"/>
        <scheme val="minor"/>
      </rPr>
      <t>, 3460-3462.</t>
    </r>
  </si>
  <si>
    <r>
      <t xml:space="preserve">Y. Hernandez </t>
    </r>
    <r>
      <rPr>
        <i/>
        <sz val="10"/>
        <color theme="1"/>
        <rFont val="Calibri"/>
        <family val="2"/>
        <scheme val="minor"/>
      </rPr>
      <t>et al</t>
    </r>
    <r>
      <rPr>
        <sz val="10"/>
        <color theme="1"/>
        <rFont val="Calibri"/>
        <family val="2"/>
        <scheme val="minor"/>
      </rPr>
      <t xml:space="preserve">., </t>
    </r>
    <r>
      <rPr>
        <i/>
        <sz val="10"/>
        <color theme="1"/>
        <rFont val="Calibri"/>
        <family val="2"/>
        <scheme val="minor"/>
      </rPr>
      <t>Langmuir</t>
    </r>
    <r>
      <rPr>
        <sz val="10"/>
        <color theme="1"/>
        <rFont val="Calibri"/>
        <family val="2"/>
        <scheme val="minor"/>
      </rPr>
      <t xml:space="preserve">, 2010, </t>
    </r>
    <r>
      <rPr>
        <b/>
        <sz val="10"/>
        <color theme="1"/>
        <rFont val="Calibri"/>
        <family val="2"/>
        <scheme val="minor"/>
      </rPr>
      <t>26</t>
    </r>
    <r>
      <rPr>
        <sz val="10"/>
        <color theme="1"/>
        <rFont val="Calibri"/>
        <family val="2"/>
        <scheme val="minor"/>
      </rPr>
      <t>, 3208-3213.</t>
    </r>
  </si>
  <si>
    <t>Solvents are presented in this shortlist if data was available to assess at least one additional criteria to polarity. The full list of solvents is not given because of a shortage of viscosity and surface tension data and proprietary polarity data.</t>
  </si>
  <si>
    <t>www.who.int/ipcs/publications/cicad/en/cicad05.pdf (accessed 30-10-15)</t>
  </si>
  <si>
    <t>agrobiobase.com/en/database/bioproducts/chemistry-formulation-synthesis/ethylal (accessed 30-10-2015)</t>
  </si>
  <si>
    <t>US patent 2008/0274525 A1</t>
  </si>
  <si>
    <t>agrobiobase.com/en/database/bioproducts/agriculture-forestry-viticulture/thfa (accessed 30-10-2015)</t>
  </si>
  <si>
    <t>www.eastman.com/Products/Pages/ProductHome.aspx?Product=71001049 (accessed 30-10-2015)</t>
  </si>
  <si>
    <t>agrobiobase.com/en/database/bioproducts/chemistry-formulation-synthesis/thf (accessed 30-10-2015)</t>
  </si>
  <si>
    <t>www.biofuelstp.eu/bioethanol.html (accessed 30-10-15)</t>
  </si>
  <si>
    <t>www.biofuelstp.eu/bio-dme.html (accessed 30-10-215)</t>
  </si>
  <si>
    <t>www.biofuelstp.eu/butanol.html (accessed 30-10-2015)</t>
  </si>
  <si>
    <t>agrobiobase.com/en/database/bioproducts/agriculture-forestry-viticulture/glycerol-formal (accessed 30-10-2015)</t>
  </si>
  <si>
    <t>agrobiobase.com/en/database/bioproducts/chemistry-formulation-synthesis/2-octanol (accessed 30-10-2015)</t>
  </si>
  <si>
    <t>agrobiobase.com/en/database/bioproducts/agriculture-forestry-viticulture/12-pentanediol (accessed 30-10-2015)</t>
  </si>
  <si>
    <t>Arkema</t>
  </si>
  <si>
    <t>Lambiotte&amp;Cie</t>
  </si>
  <si>
    <t>Pennakem</t>
  </si>
  <si>
    <t>Numerous (fuel market)</t>
  </si>
  <si>
    <t>Braskem</t>
  </si>
  <si>
    <t>Numerous (plastisicer market)</t>
  </si>
  <si>
    <t>Numerous (paper and pulp sector)</t>
  </si>
  <si>
    <t>Numerous (fragrance sector)</t>
  </si>
  <si>
    <t>Chemrec</t>
  </si>
  <si>
    <t>DuPont</t>
  </si>
  <si>
    <t>DuPont-Tate &amp; Lyle</t>
  </si>
  <si>
    <t>agrobiobase.com/en/database/bioproducts/agriculture-forestry-viticulture/13-propanediol-biobased (accessed 30-10-2015)</t>
  </si>
  <si>
    <t>Made from limonene/pinene</t>
  </si>
  <si>
    <t>Glacochemie</t>
  </si>
  <si>
    <t>Rhodia</t>
  </si>
  <si>
    <t>www.rhodia.com.cn/en/binaries/
Flyer_AugeoSL191_EN.pdf (accessed 30-10-2015)</t>
  </si>
  <si>
    <t>www.braskem.com/site.aspx/ethyl-tertiary-butyl-ether (accessed 30-10-15)</t>
  </si>
  <si>
    <t>www.lotioncrafter.com/dimethyl-isosorbide-dmi.html (accessed 30-10-2015)</t>
  </si>
  <si>
    <t>Roquette and downstream</t>
  </si>
  <si>
    <t>http://www.adv-bio.com/ProductDetail.aspx?ProdNo=1252</t>
  </si>
  <si>
    <t>Numerous (fragrance/fuel additive)</t>
  </si>
  <si>
    <t>Numerous (polymer market)</t>
  </si>
  <si>
    <t>cellulac.co.uk/en/main/process-diagram (accessed 30-10-2015)</t>
  </si>
  <si>
    <t>Oelon</t>
  </si>
  <si>
    <t>agrobiobase.com/en/database/bioproducts/food-feed/radianol-4713-bio-propylene-glycol (accessed 30-10-2015)</t>
  </si>
  <si>
    <t>Genomatica</t>
  </si>
  <si>
    <t>www.genomatica.com/products/genobdoprocess (accessed 30-10-2015)</t>
  </si>
  <si>
    <t>Gevo</t>
  </si>
  <si>
    <t>Sekab</t>
  </si>
  <si>
    <t>www.sekab.com/chemistry/acetic-acid (accessed 30-10-2015)</t>
  </si>
  <si>
    <t>www.sekab.com/chemistry/ethyl-acetate (accessed 30-10-2015).</t>
  </si>
  <si>
    <t>Galactic</t>
  </si>
  <si>
    <t>www.lactic.com/en-us/13_ethyl-lactate/index.html</t>
  </si>
  <si>
    <t>www.lactic.com/en-us/products/productrange/galaster%E2%84%A2galasolv%E2%84%A2.aspx (accessed 30-10-2015)</t>
  </si>
  <si>
    <t>Numerous</t>
  </si>
  <si>
    <t>www.furan.com/furfural.html (accessed 30-10-2015)</t>
  </si>
  <si>
    <t>US patent 2011/0087000 A1</t>
  </si>
  <si>
    <t>Problem definition</t>
  </si>
  <si>
    <t>Solvent name (3 demonstration examples)</t>
  </si>
  <si>
    <t>Variance of dataset. The viscosity is much more influential than the density of the solvent.</t>
  </si>
  <si>
    <r>
      <t>Experimental c</t>
    </r>
    <r>
      <rPr>
        <sz val="10"/>
        <color theme="1"/>
        <rFont val="Calibri"/>
        <family val="2"/>
        <scheme val="minor"/>
      </rPr>
      <t>oncentration of dispersed graphene (relative to NMP)</t>
    </r>
  </si>
  <si>
    <t>Strong polarity match</t>
  </si>
  <si>
    <t>This data has been extracted from the University of York 'S4' solvent database. Values were collected from freely available sources except the Cyrene data, which was requested from F.Hoffmann-La Roche Ltd. We would like to thank F.Hoffmann-La Roche Ltd. for allowing us to use this data from the SDS they compiled.</t>
  </si>
  <si>
    <r>
      <t>Solvent data ploted against a scale of +/- 1 standard deviation (mean average shown as a black diamond). An exception is made for LD</t>
    </r>
    <r>
      <rPr>
        <vertAlign val="subscript"/>
        <sz val="10"/>
        <color theme="0"/>
        <rFont val="Calibri"/>
        <family val="2"/>
        <scheme val="minor"/>
      </rPr>
      <t>50</t>
    </r>
    <r>
      <rPr>
        <sz val="10"/>
        <color theme="0"/>
        <rFont val="Calibri"/>
        <family val="2"/>
        <scheme val="minor"/>
      </rPr>
      <t xml:space="preserve"> where a linear scale is given for improved clarity. Solvent data shown as red circles (in the order left to right as listed in the table above). Cyrene is shown as a filled red data point. NMP (for reference) is given as a X data point, but please note NMP is reprotoxic, whereas the other solvents are not recognised as such. Regulation thresholds are given as a green line. High values indicates 'greenness'.</t>
    </r>
  </si>
  <si>
    <t>Summation of scores and the rank is purely for guidance.</t>
  </si>
  <si>
    <t>43-100%</t>
  </si>
  <si>
    <t>33%-100%</t>
  </si>
  <si>
    <t>Numerous (food and fragrances)</t>
  </si>
  <si>
    <t>www.glaconchemie.de (accessed 02-11-2015)</t>
  </si>
  <si>
    <t>Lanzatech</t>
  </si>
  <si>
    <t>US patent 2012/0252083 A1</t>
  </si>
  <si>
    <t>India glycols</t>
  </si>
  <si>
    <t>www.indiaglycols.com/product_groups/monoethylene_glycol.htm (accessed 02-11-2015)</t>
  </si>
  <si>
    <t>www.furan.com/furfuryl_alcohol_applications.html (accessed 02-11-2015)</t>
  </si>
  <si>
    <t>Numerous (fusel oil)</t>
  </si>
  <si>
    <t>www.irena.org/DocumentDownloads/Publications/IRENA-ETSAP%20Tech%20Brief%20I08%20Production_of_Bio-methanol.pdf (accessed 02-11-2015)</t>
  </si>
  <si>
    <r>
      <t xml:space="preserve">V. Pace </t>
    </r>
    <r>
      <rPr>
        <i/>
        <sz val="8"/>
        <color theme="1"/>
        <rFont val="Calibri"/>
        <family val="2"/>
        <scheme val="minor"/>
      </rPr>
      <t>et al</t>
    </r>
    <r>
      <rPr>
        <sz val="8"/>
        <color theme="1"/>
        <rFont val="Calibri"/>
        <family val="2"/>
        <scheme val="minor"/>
      </rPr>
      <t xml:space="preserve">., </t>
    </r>
    <r>
      <rPr>
        <i/>
        <sz val="8"/>
        <color theme="1"/>
        <rFont val="Calibri"/>
        <family val="2"/>
        <scheme val="minor"/>
      </rPr>
      <t>ChemSusChem</t>
    </r>
    <r>
      <rPr>
        <sz val="8"/>
        <color theme="1"/>
        <rFont val="Calibri"/>
        <family val="2"/>
        <scheme val="minor"/>
      </rPr>
      <t xml:space="preserve">., 2012, </t>
    </r>
    <r>
      <rPr>
        <b/>
        <sz val="8"/>
        <color theme="1"/>
        <rFont val="Calibri"/>
        <family val="2"/>
        <scheme val="minor"/>
      </rPr>
      <t>5</t>
    </r>
    <r>
      <rPr>
        <sz val="8"/>
        <color theme="1"/>
        <rFont val="Calibri"/>
        <family val="2"/>
        <scheme val="minor"/>
      </rPr>
      <t>, 1369-1379.</t>
    </r>
  </si>
  <si>
    <r>
      <t xml:space="preserve">J. Sherwood </t>
    </r>
    <r>
      <rPr>
        <i/>
        <sz val="8"/>
        <color theme="1"/>
        <rFont val="Calibri"/>
        <family val="2"/>
        <scheme val="minor"/>
      </rPr>
      <t>et al</t>
    </r>
    <r>
      <rPr>
        <sz val="8"/>
        <color theme="1"/>
        <rFont val="Calibri"/>
        <family val="2"/>
        <scheme val="minor"/>
      </rPr>
      <t xml:space="preserve">., </t>
    </r>
    <r>
      <rPr>
        <i/>
        <sz val="8"/>
        <color theme="1"/>
        <rFont val="Calibri"/>
        <family val="2"/>
        <scheme val="minor"/>
      </rPr>
      <t>Chem. Commun</t>
    </r>
    <r>
      <rPr>
        <sz val="8"/>
        <color theme="1"/>
        <rFont val="Calibri"/>
        <family val="2"/>
        <scheme val="minor"/>
      </rPr>
      <t xml:space="preserve">., 2014, </t>
    </r>
    <r>
      <rPr>
        <b/>
        <sz val="8"/>
        <color theme="1"/>
        <rFont val="Calibri"/>
        <family val="2"/>
        <scheme val="minor"/>
      </rPr>
      <t>50</t>
    </r>
    <r>
      <rPr>
        <sz val="8"/>
        <color theme="1"/>
        <rFont val="Calibri"/>
        <family val="2"/>
        <scheme val="minor"/>
      </rPr>
      <t>, 9650-9652.</t>
    </r>
  </si>
  <si>
    <r>
      <t xml:space="preserve">Y. Gu </t>
    </r>
    <r>
      <rPr>
        <i/>
        <sz val="8"/>
        <color theme="1"/>
        <rFont val="Calibri"/>
        <family val="2"/>
        <scheme val="minor"/>
      </rPr>
      <t>et al.</t>
    </r>
    <r>
      <rPr>
        <sz val="8"/>
        <color theme="1"/>
        <rFont val="Calibri"/>
        <family val="2"/>
        <scheme val="minor"/>
      </rPr>
      <t xml:space="preserve">, </t>
    </r>
    <r>
      <rPr>
        <i/>
        <sz val="8"/>
        <color theme="1"/>
        <rFont val="Calibri"/>
        <family val="2"/>
        <scheme val="minor"/>
      </rPr>
      <t>Green Chem.</t>
    </r>
    <r>
      <rPr>
        <sz val="8"/>
        <color theme="1"/>
        <rFont val="Calibri"/>
        <family val="2"/>
        <scheme val="minor"/>
      </rPr>
      <t>, 2010 ,</t>
    </r>
    <r>
      <rPr>
        <b/>
        <sz val="8"/>
        <color theme="1"/>
        <rFont val="Calibri"/>
        <family val="2"/>
        <scheme val="minor"/>
      </rPr>
      <t>12</t>
    </r>
    <r>
      <rPr>
        <sz val="8"/>
        <color theme="1"/>
        <rFont val="Calibri"/>
        <family val="2"/>
        <scheme val="minor"/>
      </rPr>
      <t>, 1127-1138.</t>
    </r>
  </si>
  <si>
    <r>
      <t xml:space="preserve">J. A. Dávila </t>
    </r>
    <r>
      <rPr>
        <i/>
        <sz val="8"/>
        <color theme="1"/>
        <rFont val="Calibri"/>
        <family val="2"/>
        <scheme val="minor"/>
      </rPr>
      <t>et al</t>
    </r>
    <r>
      <rPr>
        <sz val="8"/>
        <color theme="1"/>
        <rFont val="Calibri"/>
        <family val="2"/>
        <scheme val="minor"/>
      </rPr>
      <t xml:space="preserve">., </t>
    </r>
    <r>
      <rPr>
        <i/>
        <sz val="8"/>
        <color theme="1"/>
        <rFont val="Calibri"/>
        <family val="2"/>
        <scheme val="minor"/>
      </rPr>
      <t>Waste and Biomass Valorization</t>
    </r>
    <r>
      <rPr>
        <sz val="8"/>
        <color theme="1"/>
        <rFont val="Calibri"/>
        <family val="2"/>
        <scheme val="minor"/>
      </rPr>
      <t xml:space="preserve">, 2015, </t>
    </r>
    <r>
      <rPr>
        <b/>
        <sz val="8"/>
        <color theme="1"/>
        <rFont val="Calibri"/>
        <family val="2"/>
        <scheme val="minor"/>
      </rPr>
      <t>6</t>
    </r>
    <r>
      <rPr>
        <sz val="8"/>
        <color theme="1"/>
        <rFont val="Calibri"/>
        <family val="2"/>
        <scheme val="minor"/>
      </rPr>
      <t>, 253-261.</t>
    </r>
  </si>
  <si>
    <t>Levulinic acid</t>
  </si>
  <si>
    <t>GF Biochemicals</t>
  </si>
  <si>
    <t>http://www.gfbiochemicals.com/products/#levulinic-acid</t>
  </si>
  <si>
    <t>MSDS (GF Biochemicals)</t>
  </si>
  <si>
    <t>NO DATA**</t>
  </si>
  <si>
    <r>
      <rPr>
        <sz val="10"/>
        <color theme="0" tint="-0.499984740745262"/>
        <rFont val="Calibri"/>
        <family val="2"/>
        <scheme val="minor"/>
      </rPr>
      <t>*</t>
    </r>
    <r>
      <rPr>
        <i/>
        <sz val="10"/>
        <color theme="0" tint="-0.499984740745262"/>
        <rFont val="Calibri"/>
        <family val="2"/>
        <scheme val="minor"/>
      </rPr>
      <t>Based on predicted data from HSPiP (29.9 dynes/cm). Failed as a solvent (see M. Sharma et al., Chem. Commun., 2016, DOI: 10.1039/C6CC00256K).</t>
    </r>
  </si>
  <si>
    <r>
      <rPr>
        <sz val="10"/>
        <color theme="0" tint="-0.499984740745262"/>
        <rFont val="Calibri"/>
        <family val="2"/>
        <scheme val="minor"/>
      </rPr>
      <t>**</t>
    </r>
    <r>
      <rPr>
        <i/>
        <sz val="10"/>
        <color theme="0" tint="-0.499984740745262"/>
        <rFont val="Calibri"/>
        <family val="2"/>
        <scheme val="minor"/>
      </rPr>
      <t>Viscosity data unavailable. Lower performance than NMP (see M. Sharma et al., Chem. Commun., 2016, DOI: 10.1039/C6CC00256K).</t>
    </r>
  </si>
  <si>
    <t>No target or limits set</t>
  </si>
  <si>
    <t>Pa</t>
  </si>
  <si>
    <t>The solubility of graphene is dependent on the polarity and surface tension of the solvent. The effectiveness of the ultrasonic agitation is related to the viscosity and density of the solvent medium, but not in a way that is easily translated into target values for these properties given the present understanding of the process. See stage 2.</t>
  </si>
  <si>
    <t>The first phase of the solvent selection process is based on matching the physical properties of solvents to relevant requirements (target values and maximum or minimum permissible values). The relevant properties are highlighted in orange. Pale orange indicates a speculated effect. The requirements are then proposed. For example, polarity is defined with the Hansen solubility parameters. The target values are those of graphene. The flexibility of the assessment is limited to a certain radius when the distance between solute and solvent is plotted in the 3D Hansen space. The limits are set according to available solubility data. The target surface energy is that of graphene. The density and viscosity target is an arbitrary threshold.</t>
  </si>
  <si>
    <t>Reasons for exluding high performance solvents in this assessment (see later)</t>
  </si>
  <si>
    <t>Included on final solvent shortlist</t>
  </si>
  <si>
    <t xml:space="preserve">Liquid Exfoliation of Defect-Free Graphene
</t>
  </si>
  <si>
    <t>Criteria</t>
  </si>
  <si>
    <t>Literature conclusions for successful liquid exfoliation of graphite</t>
  </si>
  <si>
    <t>Solvents must have a certain polarity to successfully disperse graphene:</t>
  </si>
  <si>
    <t>Solvents must have a surface energy similar to graphene to delaminate graphite:</t>
  </si>
  <si>
    <r>
      <t>E /mN m</t>
    </r>
    <r>
      <rPr>
        <vertAlign val="superscript"/>
        <sz val="10"/>
        <color theme="1"/>
        <rFont val="Calibri"/>
        <family val="2"/>
        <scheme val="minor"/>
      </rPr>
      <t>-1</t>
    </r>
  </si>
  <si>
    <r>
      <t>δ</t>
    </r>
    <r>
      <rPr>
        <vertAlign val="subscript"/>
        <sz val="10"/>
        <color theme="1"/>
        <rFont val="Calibri"/>
        <family val="2"/>
      </rPr>
      <t>H</t>
    </r>
    <r>
      <rPr>
        <sz val="10"/>
        <color theme="1"/>
        <rFont val="Calibri"/>
        <family val="2"/>
      </rPr>
      <t xml:space="preserve"> /MPa</t>
    </r>
    <r>
      <rPr>
        <vertAlign val="superscript"/>
        <sz val="10"/>
        <color theme="1"/>
        <rFont val="Calibri"/>
        <family val="2"/>
      </rPr>
      <t>½</t>
    </r>
  </si>
  <si>
    <r>
      <t>δ</t>
    </r>
    <r>
      <rPr>
        <vertAlign val="subscript"/>
        <sz val="10"/>
        <color theme="1"/>
        <rFont val="Calibri"/>
        <family val="2"/>
      </rPr>
      <t>D</t>
    </r>
    <r>
      <rPr>
        <sz val="10"/>
        <color theme="1"/>
        <rFont val="Calibri"/>
        <family val="2"/>
      </rPr>
      <t xml:space="preserve"> /MPa</t>
    </r>
    <r>
      <rPr>
        <vertAlign val="superscript"/>
        <sz val="10"/>
        <color theme="1"/>
        <rFont val="Calibri"/>
        <family val="2"/>
      </rPr>
      <t>½</t>
    </r>
  </si>
  <si>
    <r>
      <t>δ</t>
    </r>
    <r>
      <rPr>
        <vertAlign val="subscript"/>
        <sz val="10"/>
        <color theme="1"/>
        <rFont val="Calibri"/>
        <family val="2"/>
      </rPr>
      <t>P</t>
    </r>
    <r>
      <rPr>
        <sz val="10"/>
        <color theme="1"/>
        <rFont val="Calibri"/>
        <family val="2"/>
      </rPr>
      <t xml:space="preserve"> /MPa</t>
    </r>
    <r>
      <rPr>
        <vertAlign val="superscript"/>
        <sz val="10"/>
        <color theme="1"/>
        <rFont val="Calibri"/>
        <family val="2"/>
      </rPr>
      <t>½</t>
    </r>
  </si>
  <si>
    <r>
      <t xml:space="preserve">J. N. Coleman, </t>
    </r>
    <r>
      <rPr>
        <i/>
        <sz val="10"/>
        <color theme="1"/>
        <rFont val="Calibri"/>
        <family val="2"/>
        <scheme val="minor"/>
      </rPr>
      <t>Accounts of Chemical Research</t>
    </r>
    <r>
      <rPr>
        <sz val="10"/>
        <color theme="1"/>
        <rFont val="Calibri"/>
        <family val="2"/>
        <scheme val="minor"/>
      </rPr>
      <t xml:space="preserve">, 2013, </t>
    </r>
    <r>
      <rPr>
        <b/>
        <sz val="10"/>
        <color theme="1"/>
        <rFont val="Calibri"/>
        <family val="2"/>
        <scheme val="minor"/>
      </rPr>
      <t>46</t>
    </r>
    <r>
      <rPr>
        <sz val="10"/>
        <color theme="1"/>
        <rFont val="Calibri"/>
        <family val="2"/>
        <scheme val="minor"/>
      </rPr>
      <t>, 14-22 (and references within).</t>
    </r>
  </si>
  <si>
    <t>PHASE 1 Stage 1</t>
  </si>
  <si>
    <t>PHASE 1 Stage 2</t>
  </si>
  <si>
    <t>PHASE 1 Stage 3</t>
  </si>
  <si>
    <t>PHASE 2 Stage 1</t>
  </si>
  <si>
    <t>PHASE 2 Stage 2</t>
  </si>
  <si>
    <t>PHASE 3</t>
  </si>
  <si>
    <t>Process</t>
  </si>
  <si>
    <t>Worksheets</t>
  </si>
  <si>
    <t>"Viscosity and density"</t>
  </si>
  <si>
    <t>Not attempted</t>
  </si>
  <si>
    <t>"Shortlist"</t>
  </si>
  <si>
    <t>"Final decision"</t>
  </si>
  <si>
    <t xml:space="preserve"> "Surface tension"</t>
  </si>
  <si>
    <t>"Polarity"</t>
  </si>
  <si>
    <r>
      <t>The full list of &gt;10,000 solvents used in the polarity screening is not included in this spreadsheet for confidentiality reasons and conciseness. More than half were rejected because of their unsuitable polarity. Many of the remaining solvents are not realistically available to purchase, or do not have any physical property data meaning they cannot be included in subsequent assessments. A 'pass' is obtained when the distance in the Hansen space between solvent and solute is below 5.0 MPa</t>
    </r>
    <r>
      <rPr>
        <vertAlign val="superscript"/>
        <sz val="10"/>
        <color theme="1"/>
        <rFont val="Calibri"/>
        <family val="2"/>
        <scheme val="minor"/>
      </rPr>
      <t>0.5</t>
    </r>
    <r>
      <rPr>
        <sz val="10"/>
        <color theme="1"/>
        <rFont val="Calibri"/>
        <family val="2"/>
        <scheme val="minor"/>
      </rPr>
      <t>. A borderline 'pass' is also awarded when this distance is between 5.0-6.5 MPa</t>
    </r>
    <r>
      <rPr>
        <vertAlign val="superscript"/>
        <sz val="10"/>
        <color theme="1"/>
        <rFont val="Calibri"/>
        <family val="2"/>
        <scheme val="minor"/>
      </rPr>
      <t>0.5</t>
    </r>
    <r>
      <rPr>
        <sz val="10"/>
        <color theme="1"/>
        <rFont val="Calibri"/>
        <family val="2"/>
        <scheme val="minor"/>
      </rPr>
      <t xml:space="preserve"> because some solvents that fall into this range are known to be good solvents (e.g. DMF) and others not (e.g. acetone). With several other factors responsible for the efficiency of graphene processing it is unclear at this stage where the ultimate solubility boundary is. </t>
    </r>
    <r>
      <rPr>
        <b/>
        <sz val="10"/>
        <color theme="1"/>
        <rFont val="Calibri"/>
        <family val="2"/>
        <scheme val="minor"/>
      </rPr>
      <t xml:space="preserve">Solvents are presented in the </t>
    </r>
    <r>
      <rPr>
        <b/>
        <i/>
        <sz val="10"/>
        <color theme="1"/>
        <rFont val="Calibri"/>
        <family val="2"/>
        <scheme val="minor"/>
      </rPr>
      <t>"Shortlist"</t>
    </r>
    <r>
      <rPr>
        <b/>
        <sz val="10"/>
        <color theme="1"/>
        <rFont val="Calibri"/>
        <family val="2"/>
        <scheme val="minor"/>
      </rPr>
      <t xml:space="preserve"> worksheet when data was available to assess at least one other criteria</t>
    </r>
    <r>
      <rPr>
        <sz val="10"/>
        <color theme="1"/>
        <rFont val="Calibri"/>
        <family val="2"/>
        <scheme val="minor"/>
      </rPr>
      <t>. Note that all three of the solvents represented above failed both the viscosity and the surface tension criteria.</t>
    </r>
  </si>
  <si>
    <t>lower limit</t>
  </si>
  <si>
    <t>higher limit</t>
  </si>
  <si>
    <t>Ra</t>
  </si>
  <si>
    <t>surface ten</t>
  </si>
  <si>
    <t>rank</t>
  </si>
  <si>
    <t>The three candidates that exceed NMP are (1) Cyrene, (2) pyridine, and  (3) cyclohexanone. Experimental evaluation shows pyridine to be a poorer solvent than NMP, and cyclohexanone better than NMP (see "Literature data" worksheet). This indicates that the solvent selection procedure is wrong or incomplete. Regardless, this was the justification to apply Cyrene as a solvent for the liquid exfoliation of graphene. The results of the Cyrene testing led to another parameter being added to the assessment.</t>
  </si>
  <si>
    <t>N,N-Dimethyl formamide</t>
  </si>
  <si>
    <t>N,N-Dimethyl acetamide</t>
  </si>
  <si>
    <t>visc</t>
  </si>
  <si>
    <t>den</t>
  </si>
  <si>
    <t>ratio</t>
  </si>
  <si>
    <t>Introducing density and viscosity as a combined parameter explains the poor performance of pyridine, and the high performance of Cyrene and cyclohexanone. The density/viscosity threshold could have been tightened to exclude pyridine, but was set to what it is so that DMF was accepted as having the correct physical properties. Butyl lactate and triacetin join Cyrene as the favoured solvents after passing phase 2 and phase 3 of the solvent selection procedure.</t>
  </si>
  <si>
    <t>This first phase of solvent selection (physical properties) has been developed in 3 stages. Stage 1 applies what is already understood in the literature. The results formed the initial evaluation of solvents in this work. This was expanded to include stage 2, which introduces the greater understanding we have developed in this work. Stage 3 is a proposal for future work, which will require some innovation to develop the necessary bespoke solvent systems that are viscous and volatile, and the correct polarity. After this first phase of solvent selection the toxicity and environmental impact of solvents is assessed in the context of regulation (phase 2), and finally the greenness of solvents was evaluated (phase 3).</t>
  </si>
  <si>
    <t>Phase 1</t>
  </si>
  <si>
    <t>Phase 2</t>
  </si>
  <si>
    <t>Phase 3</t>
  </si>
  <si>
    <t>Solvent selection stage gates</t>
  </si>
  <si>
    <t>Stage 1: Polarity and surface energy</t>
  </si>
  <si>
    <t>Stage 2: Density and viscosity</t>
  </si>
  <si>
    <t>Stage 3: Volatility (not applicable)</t>
  </si>
  <si>
    <t>Stage 1: CMR, fatal acute toxicity</t>
  </si>
  <si>
    <t>Stage 2: PBT (environmental impact)</t>
  </si>
  <si>
    <t>Greenness</t>
  </si>
  <si>
    <t>Green text indicates bio-based solvents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</si>
</sst>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E+00"/>
  </numFmts>
  <fonts count="53" x14ac:knownFonts="1">
    <font>
      <sz val="11"/>
      <color theme="1"/>
      <name val="Calibri"/>
      <family val="2"/>
      <scheme val="minor"/>
    </font>
    <font>
      <sz val="10"/>
      <name val="Calibri"/>
      <family val="2"/>
      <scheme val="minor"/>
    </font>
    <font>
      <sz val="10"/>
      <color theme="1"/>
      <name val="Calibri"/>
      <family val="2"/>
      <scheme val="minor"/>
    </font>
    <font>
      <sz val="10"/>
      <color theme="1"/>
      <name val="Calibri"/>
      <family val="2"/>
    </font>
    <font>
      <i/>
      <sz val="10"/>
      <color theme="1"/>
      <name val="Calibri"/>
      <family val="2"/>
      <scheme val="minor"/>
    </font>
    <font>
      <i/>
      <sz val="10"/>
      <name val="Calibri"/>
      <family val="2"/>
      <scheme val="minor"/>
    </font>
    <font>
      <sz val="10"/>
      <color rgb="FFFF0000"/>
      <name val="Calibri"/>
      <family val="2"/>
      <scheme val="minor"/>
    </font>
    <font>
      <sz val="10"/>
      <name val="Calibri"/>
      <family val="2"/>
    </font>
    <font>
      <b/>
      <sz val="10"/>
      <color rgb="FFFF0000"/>
      <name val="Calibri"/>
      <family val="2"/>
      <scheme val="minor"/>
    </font>
    <font>
      <vertAlign val="subscript"/>
      <sz val="10"/>
      <name val="Calibri"/>
      <family val="2"/>
    </font>
    <font>
      <sz val="10"/>
      <name val="Arial"/>
      <family val="2"/>
    </font>
    <font>
      <b/>
      <sz val="10"/>
      <color theme="1"/>
      <name val="Calibri"/>
      <family val="2"/>
      <scheme val="minor"/>
    </font>
    <font>
      <sz val="10"/>
      <color theme="0" tint="-0.34998626667073579"/>
      <name val="Calibri"/>
      <family val="2"/>
      <scheme val="minor"/>
    </font>
    <font>
      <i/>
      <sz val="10"/>
      <color theme="0" tint="-0.249977111117893"/>
      <name val="Calibri"/>
      <family val="2"/>
      <scheme val="minor"/>
    </font>
    <font>
      <sz val="10"/>
      <color theme="0" tint="-0.249977111117893"/>
      <name val="Calibri"/>
      <family val="2"/>
      <scheme val="minor"/>
    </font>
    <font>
      <b/>
      <sz val="10"/>
      <name val="Calibri"/>
      <family val="2"/>
      <scheme val="minor"/>
    </font>
    <font>
      <b/>
      <sz val="10"/>
      <color theme="0" tint="-0.34998626667073579"/>
      <name val="Calibri"/>
      <family val="2"/>
      <scheme val="minor"/>
    </font>
    <font>
      <sz val="10"/>
      <color theme="8" tint="-0.249977111117893"/>
      <name val="Calibri"/>
      <family val="2"/>
      <scheme val="minor"/>
    </font>
    <font>
      <b/>
      <sz val="10"/>
      <color theme="0"/>
      <name val="Calibri"/>
      <family val="2"/>
      <scheme val="minor"/>
    </font>
    <font>
      <b/>
      <sz val="10"/>
      <color rgb="FF00B050"/>
      <name val="Calibri"/>
      <family val="2"/>
      <scheme val="minor"/>
    </font>
    <font>
      <sz val="10"/>
      <color rgb="FF00B050"/>
      <name val="Calibri"/>
      <family val="2"/>
      <scheme val="minor"/>
    </font>
    <font>
      <b/>
      <sz val="12"/>
      <color rgb="FF7030A0"/>
      <name val="Calibri"/>
      <family val="2"/>
      <scheme val="minor"/>
    </font>
    <font>
      <b/>
      <sz val="10"/>
      <color theme="9"/>
      <name val="Calibri"/>
      <family val="2"/>
      <scheme val="minor"/>
    </font>
    <font>
      <sz val="8"/>
      <color theme="1"/>
      <name val="Calibri"/>
      <family val="2"/>
    </font>
    <font>
      <b/>
      <i/>
      <sz val="10"/>
      <color theme="9"/>
      <name val="Calibri"/>
      <family val="2"/>
      <scheme val="minor"/>
    </font>
    <font>
      <sz val="10"/>
      <color theme="0"/>
      <name val="Calibri"/>
      <family val="2"/>
      <scheme val="minor"/>
    </font>
    <font>
      <b/>
      <u/>
      <sz val="10"/>
      <color theme="1"/>
      <name val="Calibri"/>
      <family val="2"/>
      <scheme val="minor"/>
    </font>
    <font>
      <i/>
      <sz val="10"/>
      <color rgb="FFFF0000"/>
      <name val="Calibri"/>
      <family val="2"/>
      <scheme val="minor"/>
    </font>
    <font>
      <sz val="10"/>
      <color theme="0" tint="-0.499984740745262"/>
      <name val="Calibri"/>
      <family val="2"/>
      <scheme val="minor"/>
    </font>
    <font>
      <vertAlign val="superscript"/>
      <sz val="10"/>
      <name val="Calibri"/>
      <family val="2"/>
      <scheme val="minor"/>
    </font>
    <font>
      <vertAlign val="subscript"/>
      <sz val="10"/>
      <color theme="1"/>
      <name val="Calibri"/>
      <family val="2"/>
      <scheme val="minor"/>
    </font>
    <font>
      <b/>
      <sz val="10"/>
      <color rgb="FF7030A0"/>
      <name val="Calibri"/>
      <family val="2"/>
      <scheme val="minor"/>
    </font>
    <font>
      <sz val="10"/>
      <color theme="1" tint="0.499984740745262"/>
      <name val="Calibri"/>
      <family val="2"/>
      <scheme val="minor"/>
    </font>
    <font>
      <vertAlign val="superscript"/>
      <sz val="10"/>
      <color theme="1"/>
      <name val="Calibri"/>
      <family val="2"/>
      <scheme val="minor"/>
    </font>
    <font>
      <sz val="10"/>
      <color theme="1" tint="0.499984740745262"/>
      <name val="Calibri"/>
      <family val="2"/>
    </font>
    <font>
      <sz val="10"/>
      <color rgb="FF009A46"/>
      <name val="Calibri"/>
      <family val="2"/>
      <scheme val="minor"/>
    </font>
    <font>
      <b/>
      <sz val="18"/>
      <color rgb="FF009A46"/>
      <name val="Calibri"/>
      <family val="2"/>
      <scheme val="minor"/>
    </font>
    <font>
      <u/>
      <sz val="10"/>
      <name val="Calibri"/>
      <family val="2"/>
      <scheme val="minor"/>
    </font>
    <font>
      <i/>
      <sz val="10"/>
      <color theme="0" tint="-0.499984740745262"/>
      <name val="Calibri"/>
      <family val="2"/>
      <scheme val="minor"/>
    </font>
    <font>
      <i/>
      <sz val="10"/>
      <name val="Calibri"/>
      <family val="2"/>
    </font>
    <font>
      <b/>
      <i/>
      <sz val="10"/>
      <name val="Calibri"/>
      <family val="2"/>
      <scheme val="minor"/>
    </font>
    <font>
      <u/>
      <sz val="11"/>
      <color theme="10"/>
      <name val="Calibri"/>
      <family val="2"/>
      <scheme val="minor"/>
    </font>
    <font>
      <b/>
      <i/>
      <sz val="10"/>
      <color theme="1"/>
      <name val="Calibri"/>
      <family val="2"/>
      <scheme val="minor"/>
    </font>
    <font>
      <b/>
      <i/>
      <sz val="10"/>
      <color rgb="FF00B050"/>
      <name val="Calibri"/>
      <family val="2"/>
      <scheme val="minor"/>
    </font>
    <font>
      <vertAlign val="subscript"/>
      <sz val="10"/>
      <color theme="0"/>
      <name val="Calibri"/>
      <family val="2"/>
      <scheme val="minor"/>
    </font>
    <font>
      <sz val="8"/>
      <color theme="1"/>
      <name val="Calibri"/>
      <family val="2"/>
      <scheme val="minor"/>
    </font>
    <font>
      <i/>
      <sz val="8"/>
      <color theme="1"/>
      <name val="Calibri"/>
      <family val="2"/>
      <scheme val="minor"/>
    </font>
    <font>
      <b/>
      <sz val="8"/>
      <color theme="1"/>
      <name val="Calibri"/>
      <family val="2"/>
      <scheme val="minor"/>
    </font>
    <font>
      <u/>
      <sz val="8"/>
      <color theme="10"/>
      <name val="Calibri"/>
      <family val="2"/>
      <scheme val="minor"/>
    </font>
    <font>
      <vertAlign val="subscript"/>
      <sz val="10"/>
      <color theme="1"/>
      <name val="Calibri"/>
      <family val="2"/>
    </font>
    <font>
      <vertAlign val="superscript"/>
      <sz val="10"/>
      <color theme="1"/>
      <name val="Calibri"/>
      <family val="2"/>
    </font>
    <font>
      <sz val="11"/>
      <color rgb="FF00B050"/>
      <name val="Calibri"/>
      <family val="2"/>
      <scheme val="minor"/>
    </font>
    <font>
      <i/>
      <sz val="11"/>
      <color rgb="FF00B050"/>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E7F6FF"/>
        <bgColor indexed="64"/>
      </patternFill>
    </fill>
    <fill>
      <patternFill patternType="solid">
        <fgColor rgb="FFE7F6FF"/>
        <bgColor rgb="FF000000"/>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bgColor indexed="64"/>
      </patternFill>
    </fill>
    <fill>
      <patternFill patternType="solid">
        <fgColor theme="4" tint="0.79998168889431442"/>
        <bgColor rgb="FF000000"/>
      </patternFill>
    </fill>
    <fill>
      <patternFill patternType="solid">
        <fgColor rgb="FFFFFF99"/>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rgb="FFF2DBDA"/>
        <bgColor indexed="64"/>
      </patternFill>
    </fill>
    <fill>
      <patternFill patternType="solid">
        <fgColor theme="0"/>
        <bgColor rgb="FF000000"/>
      </patternFill>
    </fill>
    <fill>
      <patternFill patternType="solid">
        <fgColor rgb="FFFFFF99"/>
        <bgColor rgb="FF000000"/>
      </patternFill>
    </fill>
    <fill>
      <patternFill patternType="solid">
        <fgColor rgb="FFE8E5D8"/>
        <bgColor indexed="64"/>
      </patternFill>
    </fill>
    <fill>
      <patternFill patternType="solid">
        <fgColor rgb="FFE8E5D8"/>
        <bgColor rgb="FF000000"/>
      </patternFill>
    </fill>
    <fill>
      <patternFill patternType="solid">
        <fgColor rgb="FFEBF1DE"/>
        <bgColor rgb="FF000000"/>
      </patternFill>
    </fill>
    <fill>
      <patternFill patternType="solid">
        <fgColor theme="5" tint="-0.249977111117893"/>
        <bgColor indexed="64"/>
      </patternFill>
    </fill>
    <fill>
      <patternFill patternType="solid">
        <fgColor theme="8"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7" tint="0.79998168889431442"/>
        <bgColor rgb="FF000000"/>
      </patternFill>
    </fill>
    <fill>
      <patternFill patternType="solid">
        <fgColor rgb="FFE6B8B7"/>
        <bgColor rgb="FF000000"/>
      </patternFill>
    </fill>
    <fill>
      <patternFill patternType="solid">
        <fgColor rgb="FFFCD5B4"/>
        <bgColor rgb="FF000000"/>
      </patternFill>
    </fill>
    <fill>
      <patternFill patternType="solid">
        <fgColor theme="2" tint="-9.9978637043366805E-2"/>
        <bgColor indexed="64"/>
      </patternFill>
    </fill>
    <fill>
      <patternFill patternType="solid">
        <fgColor theme="2" tint="-9.9978637043366805E-2"/>
        <bgColor rgb="FF000000"/>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1" fillId="0" borderId="0" applyNumberFormat="0" applyFill="0" applyBorder="0" applyAlignment="0" applyProtection="0"/>
  </cellStyleXfs>
  <cellXfs count="524">
    <xf numFmtId="0" fontId="0" fillId="0" borderId="0" xfId="0"/>
    <xf numFmtId="0" fontId="2" fillId="2" borderId="2" xfId="0" applyFont="1" applyFill="1" applyBorder="1" applyAlignment="1">
      <alignment horizontal="left" vertical="center"/>
    </xf>
    <xf numFmtId="0" fontId="2" fillId="2" borderId="0" xfId="0" applyFont="1" applyFill="1" applyAlignment="1">
      <alignment horizontal="left" vertical="center"/>
    </xf>
    <xf numFmtId="0" fontId="1" fillId="2" borderId="0" xfId="0" applyFont="1" applyFill="1" applyBorder="1" applyAlignment="1">
      <alignment horizontal="left" vertical="center"/>
    </xf>
    <xf numFmtId="0" fontId="2" fillId="2" borderId="0" xfId="0" applyFont="1" applyFill="1" applyBorder="1" applyAlignment="1">
      <alignment vertical="center"/>
    </xf>
    <xf numFmtId="0" fontId="1"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xf>
    <xf numFmtId="0" fontId="2" fillId="0" borderId="0" xfId="0" applyFont="1" applyAlignment="1">
      <alignment vertical="center"/>
    </xf>
    <xf numFmtId="2" fontId="2" fillId="5" borderId="0" xfId="0" applyNumberFormat="1" applyFont="1" applyFill="1" applyAlignment="1">
      <alignment horizontal="left" vertical="center"/>
    </xf>
    <xf numFmtId="0" fontId="2" fillId="5" borderId="0" xfId="0" applyFont="1" applyFill="1" applyAlignment="1">
      <alignment vertical="center"/>
    </xf>
    <xf numFmtId="0" fontId="2" fillId="5" borderId="0" xfId="0" applyFont="1" applyFill="1" applyAlignment="1">
      <alignment horizontal="left" vertical="center"/>
    </xf>
    <xf numFmtId="2" fontId="2" fillId="5" borderId="0" xfId="0" applyNumberFormat="1" applyFont="1" applyFill="1" applyBorder="1" applyAlignment="1">
      <alignment horizontal="left" vertical="center"/>
    </xf>
    <xf numFmtId="0" fontId="2" fillId="5" borderId="0" xfId="0" applyFont="1" applyFill="1" applyBorder="1" applyAlignment="1">
      <alignment vertical="center"/>
    </xf>
    <xf numFmtId="0" fontId="2" fillId="5" borderId="0" xfId="0" applyFont="1" applyFill="1" applyBorder="1" applyAlignment="1">
      <alignment horizontal="left" vertical="center"/>
    </xf>
    <xf numFmtId="164" fontId="2" fillId="5" borderId="0" xfId="0" applyNumberFormat="1" applyFont="1" applyFill="1" applyAlignment="1">
      <alignment horizontal="left" vertical="center"/>
    </xf>
    <xf numFmtId="2" fontId="1" fillId="5" borderId="0" xfId="0" applyNumberFormat="1" applyFont="1" applyFill="1" applyAlignment="1">
      <alignment horizontal="left" vertical="center"/>
    </xf>
    <xf numFmtId="164" fontId="2" fillId="5" borderId="0" xfId="0" applyNumberFormat="1" applyFont="1" applyFill="1" applyBorder="1" applyAlignment="1">
      <alignment horizontal="left" vertical="center"/>
    </xf>
    <xf numFmtId="2" fontId="2" fillId="0" borderId="0" xfId="0" applyNumberFormat="1" applyFont="1" applyFill="1" applyAlignment="1">
      <alignment horizontal="left" vertical="center"/>
    </xf>
    <xf numFmtId="0" fontId="2" fillId="0" borderId="0" xfId="0" applyFont="1" applyFill="1" applyAlignment="1">
      <alignment vertical="center"/>
    </xf>
    <xf numFmtId="0" fontId="2" fillId="0" borderId="0" xfId="0" applyFont="1" applyAlignment="1">
      <alignment horizontal="left" vertical="center"/>
    </xf>
    <xf numFmtId="2" fontId="2" fillId="0" borderId="0" xfId="0" applyNumberFormat="1" applyFont="1" applyAlignment="1">
      <alignment horizontal="left" vertical="center"/>
    </xf>
    <xf numFmtId="0" fontId="2" fillId="0" borderId="0" xfId="0" applyFont="1" applyFill="1" applyAlignment="1">
      <alignment horizontal="left" vertical="center"/>
    </xf>
    <xf numFmtId="0" fontId="2" fillId="8" borderId="0" xfId="0" applyFont="1" applyFill="1" applyAlignment="1">
      <alignment horizontal="left" vertical="center"/>
    </xf>
    <xf numFmtId="0" fontId="2" fillId="8" borderId="0" xfId="0" applyFont="1" applyFill="1" applyBorder="1" applyAlignment="1">
      <alignment horizontal="left" vertical="center"/>
    </xf>
    <xf numFmtId="0" fontId="2" fillId="8" borderId="0" xfId="0" applyFont="1" applyFill="1" applyBorder="1" applyAlignment="1">
      <alignment vertical="center"/>
    </xf>
    <xf numFmtId="165" fontId="2" fillId="5" borderId="0" xfId="0" applyNumberFormat="1"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1" fillId="0" borderId="0" xfId="0" applyFont="1" applyFill="1" applyBorder="1" applyAlignment="1">
      <alignment horizontal="left" vertical="center"/>
    </xf>
    <xf numFmtId="0" fontId="6" fillId="5" borderId="0" xfId="0" applyFont="1" applyFill="1" applyBorder="1" applyAlignment="1">
      <alignment horizontal="left" vertical="center"/>
    </xf>
    <xf numFmtId="0" fontId="6" fillId="5" borderId="0" xfId="0" applyFont="1" applyFill="1" applyAlignment="1">
      <alignment horizontal="left" vertical="center"/>
    </xf>
    <xf numFmtId="0" fontId="13" fillId="0" borderId="0" xfId="0" applyFont="1" applyFill="1" applyBorder="1" applyAlignment="1">
      <alignment horizontal="left" vertical="center"/>
    </xf>
    <xf numFmtId="2" fontId="2" fillId="0" borderId="0" xfId="0" applyNumberFormat="1"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vertical="center"/>
    </xf>
    <xf numFmtId="2" fontId="14" fillId="0" borderId="0" xfId="0" applyNumberFormat="1" applyFont="1" applyFill="1" applyAlignment="1">
      <alignment horizontal="left" vertical="center"/>
    </xf>
    <xf numFmtId="0" fontId="2" fillId="0" borderId="0" xfId="0" applyFont="1"/>
    <xf numFmtId="0" fontId="2" fillId="8" borderId="0" xfId="0" applyFont="1" applyFill="1"/>
    <xf numFmtId="0" fontId="2" fillId="0" borderId="0" xfId="0" applyFont="1" applyFill="1"/>
    <xf numFmtId="0" fontId="2" fillId="0" borderId="0" xfId="0" applyFont="1" applyBorder="1"/>
    <xf numFmtId="0" fontId="2" fillId="0" borderId="1" xfId="0" applyFont="1" applyBorder="1"/>
    <xf numFmtId="0" fontId="2" fillId="7" borderId="0" xfId="0" applyFont="1" applyFill="1"/>
    <xf numFmtId="0" fontId="11" fillId="0" borderId="0" xfId="0" applyFont="1"/>
    <xf numFmtId="0" fontId="2" fillId="0" borderId="0" xfId="0" applyFont="1" applyFill="1" applyBorder="1"/>
    <xf numFmtId="0" fontId="1" fillId="6" borderId="0" xfId="0" applyFont="1" applyFill="1" applyBorder="1" applyAlignment="1">
      <alignment vertical="center"/>
    </xf>
    <xf numFmtId="0" fontId="1" fillId="0" borderId="0" xfId="0" applyFont="1" applyFill="1" applyBorder="1" applyAlignment="1">
      <alignment vertical="center"/>
    </xf>
    <xf numFmtId="0" fontId="2" fillId="11" borderId="0" xfId="0" applyFont="1" applyFill="1"/>
    <xf numFmtId="0" fontId="2" fillId="20" borderId="0" xfId="0" applyFont="1" applyFill="1"/>
    <xf numFmtId="2" fontId="2" fillId="3" borderId="0" xfId="0" applyNumberFormat="1" applyFont="1" applyFill="1" applyAlignment="1">
      <alignment horizontal="left" vertical="center"/>
    </xf>
    <xf numFmtId="0" fontId="1" fillId="17" borderId="0" xfId="0" applyFont="1" applyFill="1" applyBorder="1" applyAlignment="1">
      <alignment vertical="center"/>
    </xf>
    <xf numFmtId="2" fontId="2" fillId="3" borderId="0" xfId="0" applyNumberFormat="1" applyFont="1" applyFill="1" applyBorder="1" applyAlignment="1">
      <alignment horizontal="left" vertical="center"/>
    </xf>
    <xf numFmtId="0" fontId="2" fillId="3" borderId="0" xfId="0" applyFont="1" applyFill="1" applyBorder="1" applyAlignment="1">
      <alignment vertical="center"/>
    </xf>
    <xf numFmtId="0" fontId="2" fillId="3" borderId="0" xfId="0" applyFont="1" applyFill="1" applyAlignment="1">
      <alignment horizontal="left" vertical="center"/>
    </xf>
    <xf numFmtId="0" fontId="2" fillId="3" borderId="0" xfId="0" applyFont="1" applyFill="1" applyAlignment="1">
      <alignment vertical="center"/>
    </xf>
    <xf numFmtId="0" fontId="2" fillId="23" borderId="0" xfId="0" applyFont="1" applyFill="1"/>
    <xf numFmtId="0" fontId="2" fillId="23" borderId="0" xfId="0" applyFont="1" applyFill="1" applyBorder="1"/>
    <xf numFmtId="2" fontId="2" fillId="11" borderId="0" xfId="0" applyNumberFormat="1" applyFont="1" applyFill="1"/>
    <xf numFmtId="2" fontId="2" fillId="11" borderId="0" xfId="0" applyNumberFormat="1" applyFont="1" applyFill="1" applyBorder="1"/>
    <xf numFmtId="0" fontId="2" fillId="0" borderId="2" xfId="0" applyFont="1" applyBorder="1"/>
    <xf numFmtId="0" fontId="1" fillId="8" borderId="2" xfId="0" applyFont="1" applyFill="1" applyBorder="1" applyAlignment="1">
      <alignment vertical="center"/>
    </xf>
    <xf numFmtId="2" fontId="1" fillId="8" borderId="2" xfId="0" applyNumberFormat="1" applyFont="1" applyFill="1" applyBorder="1" applyAlignment="1">
      <alignment horizontal="left" vertical="center"/>
    </xf>
    <xf numFmtId="0" fontId="1" fillId="8" borderId="2" xfId="0" applyFont="1" applyFill="1" applyBorder="1" applyAlignment="1">
      <alignment horizontal="left" vertical="center"/>
    </xf>
    <xf numFmtId="0" fontId="1" fillId="8" borderId="2" xfId="0" applyFont="1" applyFill="1" applyBorder="1"/>
    <xf numFmtId="0" fontId="1" fillId="8" borderId="1" xfId="0" applyFont="1" applyFill="1" applyBorder="1" applyAlignment="1">
      <alignment vertical="center"/>
    </xf>
    <xf numFmtId="2" fontId="1" fillId="8" borderId="1" xfId="0" applyNumberFormat="1" applyFont="1" applyFill="1" applyBorder="1" applyAlignment="1">
      <alignment horizontal="left" vertical="center"/>
    </xf>
    <xf numFmtId="0" fontId="1" fillId="8" borderId="1" xfId="0" applyFont="1" applyFill="1" applyBorder="1" applyAlignment="1">
      <alignment horizontal="left" vertical="center"/>
    </xf>
    <xf numFmtId="0" fontId="1" fillId="8" borderId="1" xfId="0" applyFont="1" applyFill="1" applyBorder="1"/>
    <xf numFmtId="11" fontId="2" fillId="11" borderId="0" xfId="0" applyNumberFormat="1" applyFont="1" applyFill="1"/>
    <xf numFmtId="11" fontId="2" fillId="11" borderId="0" xfId="0" applyNumberFormat="1" applyFont="1" applyFill="1" applyBorder="1"/>
    <xf numFmtId="0" fontId="1" fillId="0" borderId="0"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 fillId="21" borderId="10"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7" borderId="10" xfId="0" applyFont="1" applyFill="1" applyBorder="1" applyAlignment="1">
      <alignment horizontal="left" vertical="center" wrapText="1"/>
    </xf>
    <xf numFmtId="0" fontId="2" fillId="15" borderId="10" xfId="0" applyFont="1" applyFill="1" applyBorder="1" applyAlignment="1">
      <alignment horizontal="left" vertical="center"/>
    </xf>
    <xf numFmtId="0" fontId="6" fillId="0" borderId="0" xfId="0" applyFont="1" applyFill="1" applyAlignment="1">
      <alignment horizontal="left" vertical="center"/>
    </xf>
    <xf numFmtId="0" fontId="17" fillId="0" borderId="0" xfId="0" applyFont="1"/>
    <xf numFmtId="165" fontId="2" fillId="0" borderId="3" xfId="0" applyNumberFormat="1" applyFont="1" applyBorder="1"/>
    <xf numFmtId="0" fontId="2" fillId="0" borderId="4" xfId="0" applyFont="1" applyBorder="1"/>
    <xf numFmtId="0" fontId="2" fillId="0" borderId="6" xfId="0" applyFont="1" applyBorder="1"/>
    <xf numFmtId="165" fontId="2" fillId="0" borderId="0" xfId="0" applyNumberFormat="1" applyFont="1"/>
    <xf numFmtId="0" fontId="2" fillId="2" borderId="0" xfId="0" applyFont="1" applyFill="1"/>
    <xf numFmtId="0" fontId="2" fillId="8" borderId="2" xfId="0" applyFont="1" applyFill="1" applyBorder="1"/>
    <xf numFmtId="0" fontId="12" fillId="8" borderId="2" xfId="0" applyFont="1" applyFill="1" applyBorder="1"/>
    <xf numFmtId="0" fontId="2" fillId="8" borderId="5" xfId="0" applyFont="1" applyFill="1" applyBorder="1"/>
    <xf numFmtId="0" fontId="2" fillId="2" borderId="0" xfId="0" applyFont="1" applyFill="1" applyBorder="1"/>
    <xf numFmtId="0" fontId="2" fillId="2" borderId="9" xfId="0" applyFont="1" applyFill="1" applyBorder="1"/>
    <xf numFmtId="0" fontId="17" fillId="2" borderId="0" xfId="0" applyFont="1" applyFill="1" applyBorder="1"/>
    <xf numFmtId="0" fontId="2" fillId="2" borderId="1" xfId="0" applyFont="1" applyFill="1" applyBorder="1"/>
    <xf numFmtId="0" fontId="2" fillId="2" borderId="7" xfId="0" applyFont="1" applyFill="1" applyBorder="1"/>
    <xf numFmtId="165" fontId="2" fillId="2" borderId="8" xfId="0" applyNumberFormat="1" applyFont="1" applyFill="1" applyBorder="1"/>
    <xf numFmtId="165" fontId="2" fillId="2" borderId="6" xfId="0" applyNumberFormat="1" applyFont="1" applyFill="1" applyBorder="1"/>
    <xf numFmtId="165" fontId="2" fillId="11" borderId="0" xfId="0" applyNumberFormat="1" applyFont="1" applyFill="1"/>
    <xf numFmtId="165" fontId="2" fillId="11" borderId="0" xfId="0" applyNumberFormat="1" applyFont="1" applyFill="1" applyBorder="1"/>
    <xf numFmtId="0" fontId="8" fillId="2" borderId="0" xfId="0" applyFont="1" applyFill="1"/>
    <xf numFmtId="0" fontId="19" fillId="2" borderId="0" xfId="0" applyFont="1" applyFill="1"/>
    <xf numFmtId="0" fontId="18" fillId="14" borderId="0" xfId="0" applyFont="1" applyFill="1"/>
    <xf numFmtId="0" fontId="16" fillId="2" borderId="0" xfId="0" applyFont="1" applyFill="1"/>
    <xf numFmtId="0" fontId="18" fillId="16" borderId="0" xfId="0" applyFont="1" applyFill="1"/>
    <xf numFmtId="0" fontId="19" fillId="0" borderId="0" xfId="0" applyFont="1" applyFill="1"/>
    <xf numFmtId="0" fontId="8" fillId="0" borderId="0" xfId="0" applyFont="1" applyFill="1"/>
    <xf numFmtId="0" fontId="2" fillId="2" borderId="10" xfId="0" applyFont="1" applyFill="1" applyBorder="1" applyAlignment="1">
      <alignment vertical="center"/>
    </xf>
    <xf numFmtId="0" fontId="2" fillId="2" borderId="10" xfId="0" applyFont="1" applyFill="1" applyBorder="1" applyAlignment="1">
      <alignment horizontal="left" vertical="center"/>
    </xf>
    <xf numFmtId="0" fontId="2" fillId="2" borderId="10" xfId="0" applyFont="1" applyFill="1" applyBorder="1" applyAlignment="1">
      <alignment vertical="center" wrapText="1"/>
    </xf>
    <xf numFmtId="0" fontId="2" fillId="18" borderId="10" xfId="0" applyFont="1" applyFill="1" applyBorder="1" applyAlignment="1">
      <alignment vertical="center"/>
    </xf>
    <xf numFmtId="0" fontId="2" fillId="18" borderId="10" xfId="0" applyFont="1" applyFill="1" applyBorder="1" applyAlignment="1">
      <alignment vertical="center" wrapText="1"/>
    </xf>
    <xf numFmtId="0" fontId="2" fillId="9" borderId="10" xfId="0" applyFont="1" applyFill="1" applyBorder="1" applyAlignment="1">
      <alignment horizontal="left" vertical="center"/>
    </xf>
    <xf numFmtId="0" fontId="2" fillId="9" borderId="10" xfId="0" applyFont="1" applyFill="1" applyBorder="1"/>
    <xf numFmtId="0" fontId="2" fillId="0" borderId="0" xfId="0" applyFont="1" applyAlignment="1">
      <alignment horizontal="left"/>
    </xf>
    <xf numFmtId="0" fontId="2" fillId="12" borderId="0" xfId="0" applyFont="1" applyFill="1" applyBorder="1"/>
    <xf numFmtId="0" fontId="2" fillId="2" borderId="2" xfId="0" applyFont="1" applyFill="1" applyBorder="1"/>
    <xf numFmtId="0" fontId="2" fillId="2" borderId="5" xfId="0" applyFont="1" applyFill="1" applyBorder="1"/>
    <xf numFmtId="0" fontId="2" fillId="20" borderId="0" xfId="0" applyFont="1" applyFill="1" applyAlignment="1">
      <alignment horizontal="left" vertical="center"/>
    </xf>
    <xf numFmtId="0" fontId="1" fillId="20" borderId="0" xfId="0" applyFont="1" applyFill="1" applyAlignment="1">
      <alignment horizontal="left" vertical="center"/>
    </xf>
    <xf numFmtId="0" fontId="1" fillId="20" borderId="0" xfId="0" applyFont="1" applyFill="1" applyAlignment="1">
      <alignment vertical="center"/>
    </xf>
    <xf numFmtId="0" fontId="2" fillId="19" borderId="0" xfId="0" applyFont="1" applyFill="1" applyAlignment="1">
      <alignment horizontal="left" vertical="center"/>
    </xf>
    <xf numFmtId="0" fontId="1" fillId="20" borderId="0" xfId="0" applyFont="1" applyFill="1" applyBorder="1" applyAlignment="1">
      <alignment horizontal="left" vertical="center"/>
    </xf>
    <xf numFmtId="0" fontId="1" fillId="2" borderId="10" xfId="0" applyFont="1" applyFill="1" applyBorder="1" applyAlignment="1">
      <alignment horizontal="left" vertical="center" wrapText="1"/>
    </xf>
    <xf numFmtId="0" fontId="20" fillId="0" borderId="0" xfId="0" applyFont="1"/>
    <xf numFmtId="9" fontId="2" fillId="0" borderId="0" xfId="0" applyNumberFormat="1" applyFont="1"/>
    <xf numFmtId="0" fontId="2" fillId="0" borderId="0" xfId="0" applyFont="1" applyAlignment="1">
      <alignment vertical="center" wrapText="1"/>
    </xf>
    <xf numFmtId="0" fontId="2" fillId="2" borderId="0" xfId="0" applyFont="1" applyFill="1" applyAlignment="1">
      <alignment horizontal="left"/>
    </xf>
    <xf numFmtId="1" fontId="1" fillId="2" borderId="2" xfId="0" applyNumberFormat="1" applyFont="1" applyFill="1" applyBorder="1" applyAlignment="1">
      <alignment horizontal="left" vertical="center"/>
    </xf>
    <xf numFmtId="1" fontId="1" fillId="2" borderId="1" xfId="0" applyNumberFormat="1" applyFont="1" applyFill="1" applyBorder="1" applyAlignment="1">
      <alignment horizontal="left" vertical="center"/>
    </xf>
    <xf numFmtId="1" fontId="2" fillId="2" borderId="0" xfId="0" applyNumberFormat="1" applyFont="1" applyFill="1" applyAlignment="1">
      <alignment horizontal="left"/>
    </xf>
    <xf numFmtId="1" fontId="1" fillId="2" borderId="10" xfId="0" applyNumberFormat="1" applyFont="1" applyFill="1" applyBorder="1" applyAlignment="1">
      <alignment horizontal="left" vertical="center" wrapText="1"/>
    </xf>
    <xf numFmtId="9" fontId="2" fillId="0" borderId="0" xfId="0" applyNumberFormat="1" applyFont="1" applyFill="1"/>
    <xf numFmtId="1" fontId="2" fillId="2" borderId="2" xfId="0" applyNumberFormat="1" applyFont="1" applyFill="1" applyBorder="1" applyAlignment="1">
      <alignment horizontal="left"/>
    </xf>
    <xf numFmtId="1" fontId="2" fillId="2" borderId="1" xfId="0" applyNumberFormat="1" applyFont="1" applyFill="1" applyBorder="1" applyAlignment="1">
      <alignment horizontal="left"/>
    </xf>
    <xf numFmtId="2" fontId="2" fillId="2" borderId="2" xfId="0" applyNumberFormat="1" applyFont="1" applyFill="1" applyBorder="1" applyAlignment="1">
      <alignment horizontal="left"/>
    </xf>
    <xf numFmtId="2" fontId="2" fillId="2" borderId="1" xfId="0" applyNumberFormat="1" applyFont="1" applyFill="1" applyBorder="1" applyAlignment="1">
      <alignment horizontal="left"/>
    </xf>
    <xf numFmtId="2" fontId="2" fillId="2" borderId="0" xfId="0" applyNumberFormat="1" applyFont="1" applyFill="1" applyAlignment="1">
      <alignment horizontal="left"/>
    </xf>
    <xf numFmtId="9" fontId="2" fillId="11" borderId="0" xfId="0" applyNumberFormat="1" applyFont="1" applyFill="1" applyAlignment="1">
      <alignment horizontal="left"/>
    </xf>
    <xf numFmtId="1" fontId="7" fillId="22" borderId="0" xfId="0" applyNumberFormat="1" applyFont="1" applyFill="1" applyBorder="1" applyAlignment="1">
      <alignment horizontal="left" vertical="center"/>
    </xf>
    <xf numFmtId="0" fontId="7" fillId="22" borderId="0" xfId="0" applyFont="1" applyFill="1" applyBorder="1" applyAlignment="1">
      <alignment vertical="center"/>
    </xf>
    <xf numFmtId="2" fontId="2" fillId="8" borderId="2" xfId="0" applyNumberFormat="1" applyFont="1" applyFill="1" applyBorder="1" applyAlignment="1">
      <alignment horizontal="left"/>
    </xf>
    <xf numFmtId="1" fontId="7" fillId="8" borderId="0" xfId="0" applyNumberFormat="1" applyFont="1" applyFill="1" applyBorder="1" applyAlignment="1">
      <alignment horizontal="left" vertical="center"/>
    </xf>
    <xf numFmtId="2" fontId="2" fillId="8" borderId="0" xfId="0" applyNumberFormat="1" applyFont="1" applyFill="1" applyBorder="1" applyAlignment="1">
      <alignment horizontal="left"/>
    </xf>
    <xf numFmtId="1" fontId="1" fillId="8" borderId="0" xfId="0" applyNumberFormat="1" applyFont="1" applyFill="1" applyBorder="1" applyAlignment="1">
      <alignment horizontal="left" vertical="center"/>
    </xf>
    <xf numFmtId="0" fontId="1" fillId="8" borderId="0" xfId="0" applyFont="1" applyFill="1" applyBorder="1" applyAlignment="1">
      <alignment vertical="center"/>
    </xf>
    <xf numFmtId="1" fontId="1" fillId="8" borderId="0" xfId="0" applyNumberFormat="1" applyFont="1" applyFill="1" applyAlignment="1">
      <alignment horizontal="left" vertical="center"/>
    </xf>
    <xf numFmtId="0" fontId="1" fillId="8" borderId="0" xfId="0" applyFont="1" applyFill="1" applyAlignment="1">
      <alignment vertical="center"/>
    </xf>
    <xf numFmtId="0" fontId="7" fillId="22" borderId="0" xfId="0" applyFont="1" applyFill="1" applyBorder="1" applyAlignment="1">
      <alignment horizontal="left" vertical="center"/>
    </xf>
    <xf numFmtId="2" fontId="2" fillId="8" borderId="0" xfId="0" applyNumberFormat="1" applyFont="1" applyFill="1" applyAlignment="1">
      <alignment horizontal="left"/>
    </xf>
    <xf numFmtId="0" fontId="1" fillId="8" borderId="0" xfId="0" applyFont="1" applyFill="1"/>
    <xf numFmtId="0" fontId="3" fillId="26" borderId="0" xfId="0" applyFont="1" applyFill="1" applyBorder="1" applyAlignment="1">
      <alignment horizontal="left" vertical="center"/>
    </xf>
    <xf numFmtId="2" fontId="2" fillId="18" borderId="0" xfId="0" applyNumberFormat="1" applyFont="1" applyFill="1" applyAlignment="1">
      <alignment horizontal="left"/>
    </xf>
    <xf numFmtId="0" fontId="7" fillId="26" borderId="0" xfId="0" applyFont="1" applyFill="1" applyBorder="1" applyAlignment="1">
      <alignment horizontal="left" vertical="center"/>
    </xf>
    <xf numFmtId="0" fontId="7" fillId="18" borderId="0" xfId="0" applyFont="1" applyFill="1" applyBorder="1" applyAlignment="1">
      <alignment horizontal="left" vertical="center"/>
    </xf>
    <xf numFmtId="0" fontId="2" fillId="18" borderId="0" xfId="0" applyFont="1" applyFill="1" applyBorder="1" applyAlignment="1">
      <alignment horizontal="left" vertical="center"/>
    </xf>
    <xf numFmtId="0" fontId="2" fillId="18" borderId="0" xfId="0" applyFont="1" applyFill="1" applyBorder="1" applyAlignment="1">
      <alignment vertical="center"/>
    </xf>
    <xf numFmtId="0" fontId="1" fillId="18" borderId="0" xfId="0" applyFont="1" applyFill="1" applyBorder="1" applyAlignment="1">
      <alignment horizontal="left" vertical="center"/>
    </xf>
    <xf numFmtId="0" fontId="2" fillId="18" borderId="0" xfId="0" applyFont="1" applyFill="1" applyAlignment="1">
      <alignment horizontal="left" vertical="center"/>
    </xf>
    <xf numFmtId="0" fontId="1" fillId="18" borderId="0" xfId="0" applyFont="1" applyFill="1" applyAlignment="1">
      <alignment vertical="center"/>
    </xf>
    <xf numFmtId="0" fontId="1" fillId="18" borderId="0" xfId="0" applyFont="1" applyFill="1" applyAlignment="1">
      <alignment horizontal="left" vertical="center"/>
    </xf>
    <xf numFmtId="0" fontId="7" fillId="26" borderId="0" xfId="0" applyFont="1" applyFill="1" applyBorder="1" applyAlignment="1">
      <alignment vertical="center"/>
    </xf>
    <xf numFmtId="166" fontId="1" fillId="2" borderId="10" xfId="0" applyNumberFormat="1" applyFont="1" applyFill="1" applyBorder="1" applyAlignment="1">
      <alignment horizontal="left" vertical="center" wrapText="1"/>
    </xf>
    <xf numFmtId="166" fontId="3" fillId="17" borderId="0" xfId="0" applyNumberFormat="1" applyFont="1" applyFill="1" applyBorder="1" applyAlignment="1">
      <alignment horizontal="left" vertical="center"/>
    </xf>
    <xf numFmtId="1" fontId="1" fillId="3" borderId="0" xfId="0" applyNumberFormat="1" applyFont="1" applyFill="1" applyBorder="1" applyAlignment="1">
      <alignment horizontal="left" vertical="center"/>
    </xf>
    <xf numFmtId="0" fontId="7" fillId="17" borderId="0" xfId="0" applyFont="1" applyFill="1" applyBorder="1" applyAlignment="1">
      <alignment vertical="center"/>
    </xf>
    <xf numFmtId="166" fontId="2" fillId="3" borderId="0" xfId="0" applyNumberFormat="1" applyFont="1" applyFill="1" applyBorder="1" applyAlignment="1">
      <alignment horizontal="left" vertical="center"/>
    </xf>
    <xf numFmtId="0" fontId="1" fillId="3" borderId="0" xfId="0" applyFont="1" applyFill="1" applyBorder="1" applyAlignment="1">
      <alignment horizontal="left" vertical="center"/>
    </xf>
    <xf numFmtId="166" fontId="2" fillId="3" borderId="0" xfId="0" applyNumberFormat="1" applyFont="1" applyFill="1" applyAlignment="1">
      <alignment horizontal="left" vertical="center"/>
    </xf>
    <xf numFmtId="1" fontId="1" fillId="3" borderId="0" xfId="0" applyNumberFormat="1" applyFont="1" applyFill="1" applyAlignment="1">
      <alignment horizontal="left" vertical="center"/>
    </xf>
    <xf numFmtId="0" fontId="1" fillId="3" borderId="0" xfId="0" applyFont="1" applyFill="1" applyAlignment="1">
      <alignment vertical="center"/>
    </xf>
    <xf numFmtId="0" fontId="7" fillId="17" borderId="0" xfId="0" applyFont="1" applyFill="1" applyBorder="1" applyAlignment="1">
      <alignment horizontal="left" vertical="center"/>
    </xf>
    <xf numFmtId="2" fontId="2" fillId="3" borderId="0" xfId="0" applyNumberFormat="1" applyFont="1" applyFill="1" applyAlignment="1">
      <alignment horizontal="left"/>
    </xf>
    <xf numFmtId="2" fontId="1" fillId="2" borderId="10" xfId="0" applyNumberFormat="1" applyFont="1" applyFill="1" applyBorder="1" applyAlignment="1">
      <alignment horizontal="left" vertical="center" wrapText="1"/>
    </xf>
    <xf numFmtId="0" fontId="7" fillId="25" borderId="10" xfId="0" applyFont="1" applyFill="1" applyBorder="1" applyAlignment="1">
      <alignment horizontal="left" vertical="center" wrapText="1"/>
    </xf>
    <xf numFmtId="0" fontId="1" fillId="2" borderId="10" xfId="0" applyFont="1" applyFill="1" applyBorder="1" applyAlignment="1">
      <alignment vertical="center"/>
    </xf>
    <xf numFmtId="0" fontId="2" fillId="2" borderId="1" xfId="0" applyFont="1" applyFill="1" applyBorder="1" applyAlignment="1">
      <alignment horizontal="left"/>
    </xf>
    <xf numFmtId="0" fontId="11" fillId="2" borderId="0" xfId="0" applyFont="1" applyFill="1"/>
    <xf numFmtId="0" fontId="11" fillId="2" borderId="0" xfId="0" applyFont="1" applyFill="1" applyAlignment="1">
      <alignment horizontal="left"/>
    </xf>
    <xf numFmtId="0" fontId="2" fillId="0" borderId="0" xfId="0" applyFont="1" applyBorder="1" applyAlignment="1">
      <alignment vertical="center"/>
    </xf>
    <xf numFmtId="2" fontId="2" fillId="0" borderId="0" xfId="0" applyNumberFormat="1" applyFont="1" applyBorder="1" applyAlignment="1">
      <alignment horizontal="left" vertical="center"/>
    </xf>
    <xf numFmtId="0" fontId="2" fillId="0" borderId="0" xfId="0" applyFont="1" applyBorder="1" applyAlignment="1">
      <alignment horizontal="left" vertical="center"/>
    </xf>
    <xf numFmtId="9" fontId="2" fillId="2" borderId="0" xfId="0" applyNumberFormat="1" applyFont="1" applyFill="1" applyAlignment="1">
      <alignment horizontal="left"/>
    </xf>
    <xf numFmtId="11" fontId="2" fillId="0" borderId="0" xfId="0" applyNumberFormat="1" applyFont="1"/>
    <xf numFmtId="0" fontId="22" fillId="2" borderId="0" xfId="0" applyFont="1" applyFill="1"/>
    <xf numFmtId="0" fontId="2" fillId="0" borderId="0" xfId="0" applyFont="1" applyFill="1" applyBorder="1" applyAlignment="1">
      <alignment vertical="center" wrapText="1"/>
    </xf>
    <xf numFmtId="0" fontId="16" fillId="0" borderId="0" xfId="0" applyFont="1" applyFill="1"/>
    <xf numFmtId="0" fontId="2" fillId="2" borderId="4" xfId="0" applyFont="1" applyFill="1" applyBorder="1"/>
    <xf numFmtId="0" fontId="2" fillId="2" borderId="8" xfId="0" applyFont="1" applyFill="1" applyBorder="1"/>
    <xf numFmtId="0" fontId="21" fillId="2" borderId="6" xfId="0" applyFont="1" applyFill="1" applyBorder="1"/>
    <xf numFmtId="0" fontId="11" fillId="0" borderId="0" xfId="0" applyFont="1" applyBorder="1" applyAlignment="1">
      <alignment horizontal="right"/>
    </xf>
    <xf numFmtId="0" fontId="4" fillId="0" borderId="0" xfId="0" applyFont="1"/>
    <xf numFmtId="0" fontId="2" fillId="24" borderId="4" xfId="0" applyFont="1" applyFill="1" applyBorder="1" applyAlignment="1">
      <alignment vertical="center" wrapText="1"/>
    </xf>
    <xf numFmtId="0" fontId="2" fillId="2" borderId="11" xfId="0" applyFont="1" applyFill="1" applyBorder="1"/>
    <xf numFmtId="165" fontId="2" fillId="2" borderId="3" xfId="0" applyNumberFormat="1" applyFont="1" applyFill="1" applyBorder="1"/>
    <xf numFmtId="0" fontId="2" fillId="2" borderId="10" xfId="0" applyFont="1" applyFill="1" applyBorder="1"/>
    <xf numFmtId="0" fontId="2" fillId="10" borderId="1" xfId="0" applyFont="1" applyFill="1" applyBorder="1"/>
    <xf numFmtId="0" fontId="2" fillId="2" borderId="0" xfId="0" applyFont="1" applyFill="1" applyBorder="1" applyAlignment="1">
      <alignment vertical="center" wrapText="1"/>
    </xf>
    <xf numFmtId="0" fontId="1" fillId="2" borderId="0" xfId="0" applyFont="1" applyFill="1" applyBorder="1" applyAlignment="1">
      <alignment horizontal="left" vertical="center" wrapText="1"/>
    </xf>
    <xf numFmtId="9" fontId="1" fillId="2" borderId="0" xfId="0" applyNumberFormat="1" applyFont="1" applyFill="1" applyBorder="1" applyAlignment="1">
      <alignment horizontal="left" vertical="center" wrapText="1"/>
    </xf>
    <xf numFmtId="0" fontId="2" fillId="23" borderId="0" xfId="0" applyFont="1" applyFill="1" applyAlignment="1">
      <alignment horizontal="left"/>
    </xf>
    <xf numFmtId="0" fontId="1" fillId="8" borderId="2" xfId="0" applyFont="1" applyFill="1" applyBorder="1" applyAlignment="1">
      <alignment horizontal="left"/>
    </xf>
    <xf numFmtId="0" fontId="1" fillId="8" borderId="1" xfId="0" applyFont="1" applyFill="1" applyBorder="1" applyAlignment="1">
      <alignment horizontal="left"/>
    </xf>
    <xf numFmtId="0" fontId="25" fillId="0" borderId="0" xfId="0" applyFont="1" applyFill="1"/>
    <xf numFmtId="0" fontId="11" fillId="9" borderId="13" xfId="0" applyFont="1" applyFill="1" applyBorder="1"/>
    <xf numFmtId="0" fontId="2" fillId="9" borderId="14" xfId="0" applyFont="1" applyFill="1" applyBorder="1"/>
    <xf numFmtId="0" fontId="2" fillId="9" borderId="15" xfId="0" applyFont="1" applyFill="1" applyBorder="1"/>
    <xf numFmtId="0" fontId="2" fillId="8" borderId="0" xfId="0" applyFont="1" applyFill="1" applyAlignment="1">
      <alignment horizontal="left"/>
    </xf>
    <xf numFmtId="0" fontId="1" fillId="8" borderId="0" xfId="0" applyFont="1" applyFill="1" applyBorder="1" applyAlignment="1">
      <alignment horizontal="left" vertical="center"/>
    </xf>
    <xf numFmtId="0" fontId="1" fillId="2" borderId="10" xfId="0" applyFont="1" applyFill="1" applyBorder="1" applyAlignment="1">
      <alignment horizontal="left" vertical="center"/>
    </xf>
    <xf numFmtId="9" fontId="2" fillId="11" borderId="10" xfId="0" applyNumberFormat="1" applyFont="1" applyFill="1" applyBorder="1" applyAlignment="1">
      <alignment horizontal="left"/>
    </xf>
    <xf numFmtId="0" fontId="2" fillId="11" borderId="10" xfId="0" applyFont="1" applyFill="1" applyBorder="1"/>
    <xf numFmtId="1" fontId="1" fillId="8" borderId="10" xfId="0" applyNumberFormat="1" applyFont="1" applyFill="1" applyBorder="1" applyAlignment="1">
      <alignment horizontal="left" vertical="center"/>
    </xf>
    <xf numFmtId="0" fontId="1" fillId="8" borderId="10" xfId="0" applyFont="1" applyFill="1" applyBorder="1" applyAlignment="1">
      <alignment vertical="center"/>
    </xf>
    <xf numFmtId="2" fontId="2" fillId="8" borderId="10" xfId="0" applyNumberFormat="1" applyFont="1" applyFill="1" applyBorder="1" applyAlignment="1">
      <alignment horizontal="left"/>
    </xf>
    <xf numFmtId="0" fontId="2" fillId="8" borderId="10" xfId="0" applyFont="1" applyFill="1" applyBorder="1" applyAlignment="1">
      <alignment horizontal="left" vertical="center"/>
    </xf>
    <xf numFmtId="0" fontId="2" fillId="8" borderId="10" xfId="0" applyFont="1" applyFill="1" applyBorder="1" applyAlignment="1">
      <alignment vertical="center"/>
    </xf>
    <xf numFmtId="0" fontId="2" fillId="18" borderId="10" xfId="0" applyFont="1" applyFill="1" applyBorder="1" applyAlignment="1">
      <alignment horizontal="left" vertical="center"/>
    </xf>
    <xf numFmtId="2" fontId="2" fillId="18" borderId="10" xfId="0" applyNumberFormat="1" applyFont="1" applyFill="1" applyBorder="1" applyAlignment="1">
      <alignment horizontal="left"/>
    </xf>
    <xf numFmtId="0" fontId="1" fillId="18" borderId="10" xfId="0" applyFont="1" applyFill="1" applyBorder="1" applyAlignment="1">
      <alignment horizontal="left" vertical="center"/>
    </xf>
    <xf numFmtId="166" fontId="2" fillId="3" borderId="10" xfId="0" applyNumberFormat="1" applyFont="1" applyFill="1" applyBorder="1" applyAlignment="1">
      <alignment horizontal="left" vertical="center"/>
    </xf>
    <xf numFmtId="2" fontId="2" fillId="3" borderId="10" xfId="0" applyNumberFormat="1" applyFont="1" applyFill="1" applyBorder="1" applyAlignment="1">
      <alignment horizontal="left"/>
    </xf>
    <xf numFmtId="1" fontId="1" fillId="3" borderId="10" xfId="0" applyNumberFormat="1" applyFont="1" applyFill="1" applyBorder="1" applyAlignment="1">
      <alignment horizontal="left" vertical="center"/>
    </xf>
    <xf numFmtId="0" fontId="2" fillId="3" borderId="10" xfId="0" applyFont="1" applyFill="1" applyBorder="1" applyAlignment="1">
      <alignment vertical="center"/>
    </xf>
    <xf numFmtId="2" fontId="2" fillId="27" borderId="10" xfId="0" applyNumberFormat="1" applyFont="1" applyFill="1" applyBorder="1" applyAlignment="1">
      <alignment horizontal="left"/>
    </xf>
    <xf numFmtId="0" fontId="3" fillId="28" borderId="10" xfId="0" applyFont="1" applyFill="1" applyBorder="1" applyAlignment="1">
      <alignment horizontal="left" vertical="center"/>
    </xf>
    <xf numFmtId="0" fontId="2" fillId="27" borderId="10" xfId="0" applyFont="1" applyFill="1" applyBorder="1" applyAlignment="1">
      <alignment horizontal="left" vertical="center"/>
    </xf>
    <xf numFmtId="164" fontId="2" fillId="27" borderId="10" xfId="0" applyNumberFormat="1" applyFont="1" applyFill="1" applyBorder="1" applyAlignment="1">
      <alignment horizontal="left"/>
    </xf>
    <xf numFmtId="0" fontId="1" fillId="9" borderId="0" xfId="0" applyFont="1" applyFill="1" applyAlignment="1">
      <alignment horizontal="left" vertical="center"/>
    </xf>
    <xf numFmtId="2" fontId="2" fillId="9" borderId="0" xfId="0" applyNumberFormat="1" applyFont="1" applyFill="1" applyAlignment="1">
      <alignment horizontal="left" vertical="center"/>
    </xf>
    <xf numFmtId="0" fontId="1" fillId="9" borderId="0" xfId="0" applyFont="1" applyFill="1" applyBorder="1" applyAlignment="1">
      <alignment vertical="center"/>
    </xf>
    <xf numFmtId="0" fontId="13" fillId="9" borderId="0" xfId="0" applyFont="1" applyFill="1" applyBorder="1" applyAlignment="1">
      <alignment horizontal="left" vertical="center"/>
    </xf>
    <xf numFmtId="0" fontId="2" fillId="9" borderId="0" xfId="0" applyFont="1" applyFill="1" applyAlignment="1">
      <alignment horizontal="left" vertical="center"/>
    </xf>
    <xf numFmtId="0" fontId="2" fillId="9" borderId="0" xfId="0" applyFont="1" applyFill="1" applyAlignment="1">
      <alignment vertical="center"/>
    </xf>
    <xf numFmtId="0" fontId="2" fillId="9" borderId="0" xfId="0" applyFont="1" applyFill="1"/>
    <xf numFmtId="0" fontId="2" fillId="9" borderId="0" xfId="0" applyFont="1" applyFill="1" applyBorder="1" applyAlignment="1">
      <alignment horizontal="left" vertical="center"/>
    </xf>
    <xf numFmtId="0" fontId="1" fillId="9" borderId="0" xfId="0" applyFont="1" applyFill="1" applyBorder="1" applyAlignment="1">
      <alignment horizontal="left" vertical="center"/>
    </xf>
    <xf numFmtId="2" fontId="2" fillId="9" borderId="0" xfId="0" applyNumberFormat="1" applyFont="1" applyFill="1" applyBorder="1" applyAlignment="1">
      <alignment horizontal="left" vertical="center"/>
    </xf>
    <xf numFmtId="0" fontId="2" fillId="9" borderId="0" xfId="0" applyFont="1" applyFill="1" applyBorder="1" applyAlignment="1">
      <alignment vertical="center"/>
    </xf>
    <xf numFmtId="0" fontId="1" fillId="9" borderId="0" xfId="0" applyFont="1" applyFill="1" applyAlignment="1">
      <alignment vertical="center"/>
    </xf>
    <xf numFmtId="0" fontId="11" fillId="0" borderId="0" xfId="0" applyFont="1" applyAlignment="1">
      <alignment vertical="center"/>
    </xf>
    <xf numFmtId="165" fontId="2" fillId="0" borderId="5" xfId="0" applyNumberFormat="1" applyFont="1" applyBorder="1"/>
    <xf numFmtId="165" fontId="2" fillId="0" borderId="7" xfId="0" applyNumberFormat="1" applyFont="1" applyBorder="1"/>
    <xf numFmtId="2" fontId="2" fillId="0" borderId="3" xfId="0" applyNumberFormat="1" applyFont="1" applyBorder="1" applyAlignment="1">
      <alignment horizontal="left"/>
    </xf>
    <xf numFmtId="2" fontId="6" fillId="0" borderId="0" xfId="0" applyNumberFormat="1" applyFont="1" applyFill="1" applyAlignment="1">
      <alignment horizontal="left" vertical="center"/>
    </xf>
    <xf numFmtId="0" fontId="6" fillId="0" borderId="0" xfId="0" applyFont="1" applyFill="1" applyBorder="1" applyAlignment="1">
      <alignment vertical="center"/>
    </xf>
    <xf numFmtId="0" fontId="27" fillId="0" borderId="0" xfId="0" applyFont="1" applyFill="1" applyBorder="1" applyAlignment="1">
      <alignment horizontal="left" vertical="center"/>
    </xf>
    <xf numFmtId="0" fontId="6" fillId="0" borderId="0" xfId="0" applyFont="1" applyFill="1" applyAlignment="1">
      <alignment vertical="center"/>
    </xf>
    <xf numFmtId="0" fontId="6" fillId="0" borderId="0" xfId="0" applyFont="1" applyFill="1"/>
    <xf numFmtId="0" fontId="6" fillId="0" borderId="0" xfId="0" applyFont="1" applyFill="1" applyBorder="1" applyAlignment="1">
      <alignment horizontal="left" vertical="center"/>
    </xf>
    <xf numFmtId="2" fontId="6" fillId="0" borderId="0" xfId="0" applyNumberFormat="1" applyFont="1" applyFill="1" applyBorder="1" applyAlignment="1">
      <alignment horizontal="left" vertical="center"/>
    </xf>
    <xf numFmtId="0" fontId="28" fillId="5" borderId="0" xfId="0" applyFont="1" applyFill="1" applyBorder="1" applyAlignment="1">
      <alignment horizontal="left" vertical="center"/>
    </xf>
    <xf numFmtId="0" fontId="28" fillId="5" borderId="0" xfId="0" applyFont="1" applyFill="1" applyAlignment="1">
      <alignment horizontal="left" vertical="center"/>
    </xf>
    <xf numFmtId="0" fontId="1" fillId="2" borderId="1" xfId="0" applyFont="1" applyFill="1" applyBorder="1" applyAlignment="1">
      <alignment horizontal="left" vertical="top"/>
    </xf>
    <xf numFmtId="0" fontId="2" fillId="0" borderId="0" xfId="0" applyFont="1" applyAlignment="1">
      <alignment horizontal="left" vertical="top"/>
    </xf>
    <xf numFmtId="0" fontId="11" fillId="11" borderId="2" xfId="0" applyFont="1" applyFill="1" applyBorder="1" applyAlignment="1">
      <alignment horizontal="left" vertical="top"/>
    </xf>
    <xf numFmtId="0" fontId="11" fillId="11" borderId="4" xfId="0" applyFont="1" applyFill="1" applyBorder="1" applyAlignment="1">
      <alignment horizontal="left" vertical="top"/>
    </xf>
    <xf numFmtId="0" fontId="2" fillId="11" borderId="0" xfId="0" applyFont="1" applyFill="1" applyBorder="1" applyAlignment="1">
      <alignment horizontal="left" vertical="top"/>
    </xf>
    <xf numFmtId="0" fontId="2" fillId="11" borderId="8" xfId="0" applyFont="1" applyFill="1" applyBorder="1" applyAlignment="1">
      <alignment horizontal="left" vertical="top"/>
    </xf>
    <xf numFmtId="0" fontId="11" fillId="32" borderId="2" xfId="0" applyFont="1" applyFill="1" applyBorder="1" applyAlignment="1">
      <alignment horizontal="left" vertical="top"/>
    </xf>
    <xf numFmtId="0" fontId="7" fillId="2" borderId="0" xfId="0" applyFont="1" applyFill="1" applyBorder="1" applyAlignment="1">
      <alignment horizontal="left" vertical="top"/>
    </xf>
    <xf numFmtId="165" fontId="1" fillId="2" borderId="0" xfId="0" applyNumberFormat="1" applyFont="1" applyFill="1" applyBorder="1" applyAlignment="1">
      <alignment horizontal="left" vertical="top"/>
    </xf>
    <xf numFmtId="0" fontId="1" fillId="2" borderId="0" xfId="0" applyFont="1"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165" fontId="2" fillId="2" borderId="0" xfId="0" applyNumberFormat="1" applyFont="1" applyFill="1" applyBorder="1" applyAlignment="1">
      <alignment horizontal="left" vertical="top"/>
    </xf>
    <xf numFmtId="0" fontId="2" fillId="2" borderId="1" xfId="0" applyFont="1" applyFill="1" applyBorder="1" applyAlignment="1">
      <alignment horizontal="left" vertical="top"/>
    </xf>
    <xf numFmtId="0" fontId="3" fillId="2" borderId="1" xfId="0" applyFont="1" applyFill="1" applyBorder="1" applyAlignment="1">
      <alignment horizontal="left" vertical="top"/>
    </xf>
    <xf numFmtId="165" fontId="2" fillId="2" borderId="1" xfId="0" applyNumberFormat="1" applyFont="1" applyFill="1" applyBorder="1" applyAlignment="1">
      <alignment horizontal="left" vertical="top"/>
    </xf>
    <xf numFmtId="0" fontId="11" fillId="32" borderId="0" xfId="0" applyFont="1" applyFill="1" applyBorder="1" applyAlignment="1">
      <alignment horizontal="left" vertical="top"/>
    </xf>
    <xf numFmtId="2" fontId="2" fillId="2" borderId="0" xfId="0" applyNumberFormat="1" applyFont="1" applyFill="1" applyBorder="1" applyAlignment="1">
      <alignment horizontal="left" vertical="top"/>
    </xf>
    <xf numFmtId="2" fontId="2" fillId="2" borderId="1" xfId="0" applyNumberFormat="1" applyFont="1" applyFill="1" applyBorder="1" applyAlignment="1">
      <alignment horizontal="left" vertical="top"/>
    </xf>
    <xf numFmtId="0" fontId="4" fillId="32" borderId="2" xfId="0" applyFont="1" applyFill="1" applyBorder="1" applyAlignment="1">
      <alignment horizontal="left" vertical="top"/>
    </xf>
    <xf numFmtId="0" fontId="2" fillId="32" borderId="2" xfId="0" applyFont="1" applyFill="1" applyBorder="1" applyAlignment="1">
      <alignment horizontal="left" vertical="top"/>
    </xf>
    <xf numFmtId="0" fontId="2" fillId="32" borderId="5" xfId="0" applyFont="1" applyFill="1" applyBorder="1" applyAlignment="1">
      <alignment horizontal="left" vertical="top"/>
    </xf>
    <xf numFmtId="0" fontId="2" fillId="0" borderId="0" xfId="0" applyFont="1" applyBorder="1" applyAlignment="1">
      <alignment horizontal="left" vertical="top"/>
    </xf>
    <xf numFmtId="0" fontId="15" fillId="2" borderId="0" xfId="0" applyFont="1" applyFill="1" applyBorder="1" applyAlignment="1">
      <alignment horizontal="left" vertical="top"/>
    </xf>
    <xf numFmtId="0" fontId="5" fillId="2" borderId="0" xfId="0" applyFont="1" applyFill="1" applyBorder="1" applyAlignment="1">
      <alignment horizontal="left" vertical="top"/>
    </xf>
    <xf numFmtId="0" fontId="15" fillId="2" borderId="8" xfId="0" applyFont="1" applyFill="1" applyBorder="1" applyAlignment="1">
      <alignment horizontal="left" vertical="top"/>
    </xf>
    <xf numFmtId="0" fontId="4" fillId="2" borderId="0" xfId="0" applyFont="1" applyFill="1" applyBorder="1" applyAlignment="1">
      <alignment horizontal="left" vertical="top"/>
    </xf>
    <xf numFmtId="0" fontId="1" fillId="2" borderId="8" xfId="0" applyFont="1" applyFill="1" applyBorder="1" applyAlignment="1">
      <alignment horizontal="left" vertical="top"/>
    </xf>
    <xf numFmtId="0" fontId="2" fillId="2" borderId="8" xfId="0" applyFont="1" applyFill="1" applyBorder="1" applyAlignment="1">
      <alignment horizontal="left" vertical="top"/>
    </xf>
    <xf numFmtId="0" fontId="7" fillId="2" borderId="1" xfId="0" applyFont="1" applyFill="1" applyBorder="1" applyAlignment="1">
      <alignment horizontal="left" vertical="top"/>
    </xf>
    <xf numFmtId="165" fontId="1" fillId="2" borderId="1" xfId="0" applyNumberFormat="1" applyFont="1" applyFill="1" applyBorder="1" applyAlignment="1">
      <alignment horizontal="left" vertical="top"/>
    </xf>
    <xf numFmtId="0" fontId="4" fillId="2" borderId="1" xfId="0" applyFont="1" applyFill="1" applyBorder="1" applyAlignment="1">
      <alignment horizontal="left" vertical="top"/>
    </xf>
    <xf numFmtId="0" fontId="2" fillId="2" borderId="6" xfId="0" applyFont="1" applyFill="1" applyBorder="1" applyAlignment="1">
      <alignment horizontal="left" vertical="top"/>
    </xf>
    <xf numFmtId="0" fontId="4" fillId="32" borderId="0" xfId="0" applyFont="1" applyFill="1" applyBorder="1" applyAlignment="1">
      <alignment horizontal="left" vertical="top"/>
    </xf>
    <xf numFmtId="0" fontId="2" fillId="32" borderId="0" xfId="0" applyFont="1" applyFill="1" applyBorder="1" applyAlignment="1">
      <alignment horizontal="left" vertical="top"/>
    </xf>
    <xf numFmtId="0" fontId="2" fillId="32" borderId="8" xfId="0" applyFont="1" applyFill="1" applyBorder="1" applyAlignment="1">
      <alignment horizontal="left" vertical="top"/>
    </xf>
    <xf numFmtId="0" fontId="11" fillId="2" borderId="8" xfId="0" applyFont="1" applyFill="1" applyBorder="1" applyAlignment="1">
      <alignment horizontal="left" vertical="top"/>
    </xf>
    <xf numFmtId="0" fontId="2" fillId="32" borderId="4" xfId="0" applyFont="1" applyFill="1" applyBorder="1" applyAlignment="1">
      <alignment horizontal="left" vertical="top"/>
    </xf>
    <xf numFmtId="0" fontId="11" fillId="2" borderId="1" xfId="0" applyFont="1" applyFill="1" applyBorder="1" applyAlignment="1">
      <alignment horizontal="left" vertical="top"/>
    </xf>
    <xf numFmtId="0" fontId="11" fillId="2" borderId="6" xfId="0" applyFont="1" applyFill="1" applyBorder="1" applyAlignment="1">
      <alignment horizontal="left" vertical="top"/>
    </xf>
    <xf numFmtId="0" fontId="2" fillId="2" borderId="4" xfId="0" applyFont="1" applyFill="1" applyBorder="1" applyAlignment="1">
      <alignment horizontal="left" vertical="top"/>
    </xf>
    <xf numFmtId="0" fontId="2" fillId="2" borderId="2" xfId="0" applyFont="1" applyFill="1" applyBorder="1" applyAlignment="1">
      <alignment horizontal="left" vertical="top"/>
    </xf>
    <xf numFmtId="0" fontId="2" fillId="2" borderId="5" xfId="0" applyFont="1" applyFill="1" applyBorder="1" applyAlignment="1">
      <alignment horizontal="left" vertical="top"/>
    </xf>
    <xf numFmtId="0" fontId="2" fillId="2" borderId="9" xfId="0" applyFont="1" applyFill="1" applyBorder="1" applyAlignment="1">
      <alignment horizontal="left" vertical="top"/>
    </xf>
    <xf numFmtId="0" fontId="31" fillId="2" borderId="6" xfId="0" applyFont="1" applyFill="1" applyBorder="1" applyAlignment="1">
      <alignment horizontal="left" vertical="top"/>
    </xf>
    <xf numFmtId="0" fontId="31" fillId="2" borderId="1" xfId="0" applyFont="1" applyFill="1" applyBorder="1" applyAlignment="1">
      <alignment horizontal="left" vertical="top"/>
    </xf>
    <xf numFmtId="0" fontId="2" fillId="2" borderId="7" xfId="0" applyFont="1" applyFill="1" applyBorder="1" applyAlignment="1">
      <alignment horizontal="left" vertical="top"/>
    </xf>
    <xf numFmtId="0" fontId="1" fillId="2" borderId="9" xfId="0" applyFont="1" applyFill="1" applyBorder="1" applyAlignment="1">
      <alignment horizontal="left" vertical="top"/>
    </xf>
    <xf numFmtId="0" fontId="1" fillId="2" borderId="7" xfId="0" applyFont="1" applyFill="1" applyBorder="1" applyAlignment="1">
      <alignment horizontal="left" vertical="top"/>
    </xf>
    <xf numFmtId="0" fontId="2" fillId="32" borderId="9" xfId="0" applyFont="1" applyFill="1" applyBorder="1" applyAlignment="1">
      <alignment horizontal="left" vertical="top"/>
    </xf>
    <xf numFmtId="0" fontId="32" fillId="2" borderId="1" xfId="0" applyFont="1" applyFill="1" applyBorder="1" applyAlignment="1">
      <alignment horizontal="left" vertical="top"/>
    </xf>
    <xf numFmtId="0" fontId="4" fillId="11" borderId="1" xfId="0" applyFont="1" applyFill="1" applyBorder="1" applyAlignment="1">
      <alignment horizontal="left" vertical="top"/>
    </xf>
    <xf numFmtId="0" fontId="4" fillId="11" borderId="1" xfId="0" applyFont="1" applyFill="1" applyBorder="1" applyAlignment="1">
      <alignment horizontal="left" vertical="top" wrapText="1"/>
    </xf>
    <xf numFmtId="0" fontId="4" fillId="11" borderId="7" xfId="0" applyFont="1" applyFill="1" applyBorder="1" applyAlignment="1">
      <alignment horizontal="left" vertical="top" wrapText="1"/>
    </xf>
    <xf numFmtId="0" fontId="2" fillId="2" borderId="1" xfId="0" applyFont="1" applyFill="1" applyBorder="1" applyAlignment="1">
      <alignment horizontal="left" vertical="center"/>
    </xf>
    <xf numFmtId="0" fontId="19" fillId="2" borderId="1" xfId="0" applyFont="1" applyFill="1" applyBorder="1"/>
    <xf numFmtId="0" fontId="4" fillId="11" borderId="0" xfId="0" applyFont="1" applyFill="1"/>
    <xf numFmtId="0" fontId="1" fillId="12" borderId="0" xfId="0" applyFont="1" applyFill="1" applyAlignment="1">
      <alignment horizontal="left"/>
    </xf>
    <xf numFmtId="0" fontId="2" fillId="10" borderId="0" xfId="0" applyFont="1" applyFill="1" applyAlignment="1">
      <alignment horizontal="left"/>
    </xf>
    <xf numFmtId="165" fontId="2" fillId="10" borderId="0" xfId="0" applyNumberFormat="1" applyFont="1" applyFill="1" applyAlignment="1">
      <alignment horizontal="left"/>
    </xf>
    <xf numFmtId="165" fontId="2" fillId="12" borderId="0" xfId="0" applyNumberFormat="1" applyFont="1" applyFill="1" applyAlignment="1">
      <alignment horizontal="left"/>
    </xf>
    <xf numFmtId="165" fontId="1" fillId="11" borderId="0" xfId="0" applyNumberFormat="1" applyFont="1" applyFill="1" applyAlignment="1">
      <alignment horizontal="left"/>
    </xf>
    <xf numFmtId="165" fontId="1" fillId="12" borderId="0" xfId="0" applyNumberFormat="1" applyFont="1" applyFill="1" applyAlignment="1">
      <alignment horizontal="left"/>
    </xf>
    <xf numFmtId="0" fontId="6" fillId="2" borderId="0" xfId="0" applyFont="1" applyFill="1"/>
    <xf numFmtId="0" fontId="2" fillId="2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Border="1" applyAlignment="1">
      <alignment horizontal="left" vertical="top" wrapText="1"/>
    </xf>
    <xf numFmtId="0" fontId="36" fillId="20" borderId="0" xfId="0" applyFont="1" applyFill="1" applyAlignment="1">
      <alignment horizontal="left" vertical="center"/>
    </xf>
    <xf numFmtId="0" fontId="15" fillId="2" borderId="2" xfId="0" applyFont="1" applyFill="1" applyBorder="1" applyAlignment="1">
      <alignment horizontal="left" vertical="center" wrapText="1"/>
    </xf>
    <xf numFmtId="0" fontId="2" fillId="18" borderId="2" xfId="0" applyFont="1" applyFill="1" applyBorder="1" applyAlignment="1">
      <alignment vertical="center"/>
    </xf>
    <xf numFmtId="0" fontId="1" fillId="34" borderId="0" xfId="0" applyFont="1" applyFill="1" applyBorder="1" applyAlignment="1">
      <alignment vertical="center"/>
    </xf>
    <xf numFmtId="0" fontId="1" fillId="20" borderId="0" xfId="0" applyFont="1" applyFill="1"/>
    <xf numFmtId="0" fontId="11" fillId="19" borderId="0" xfId="0" applyFont="1" applyFill="1" applyAlignment="1">
      <alignment horizontal="left" vertical="center"/>
    </xf>
    <xf numFmtId="11" fontId="2" fillId="0" borderId="0" xfId="0" applyNumberFormat="1" applyFont="1" applyFill="1" applyBorder="1"/>
    <xf numFmtId="0" fontId="1" fillId="0" borderId="0" xfId="0" applyFont="1" applyFill="1" applyBorder="1"/>
    <xf numFmtId="0" fontId="6" fillId="0" borderId="0" xfId="0" applyFont="1" applyFill="1" applyBorder="1"/>
    <xf numFmtId="0" fontId="1" fillId="0" borderId="0" xfId="0" applyFont="1" applyFill="1" applyAlignment="1">
      <alignment vertical="center" wrapText="1"/>
    </xf>
    <xf numFmtId="0" fontId="6" fillId="0" borderId="0" xfId="0" applyFont="1" applyFill="1" applyAlignment="1">
      <alignment vertical="center" wrapText="1"/>
    </xf>
    <xf numFmtId="0" fontId="11" fillId="2" borderId="10" xfId="0" applyFont="1" applyFill="1" applyBorder="1" applyAlignment="1">
      <alignment vertical="center"/>
    </xf>
    <xf numFmtId="0" fontId="2" fillId="11" borderId="2" xfId="0" applyFont="1" applyFill="1" applyBorder="1"/>
    <xf numFmtId="165" fontId="1" fillId="11" borderId="1" xfId="0" applyNumberFormat="1" applyFont="1" applyFill="1" applyBorder="1" applyAlignment="1">
      <alignment horizontal="left"/>
    </xf>
    <xf numFmtId="165" fontId="2" fillId="9" borderId="10" xfId="0" applyNumberFormat="1" applyFont="1" applyFill="1" applyBorder="1" applyAlignment="1">
      <alignment horizontal="left"/>
    </xf>
    <xf numFmtId="165" fontId="3" fillId="35" borderId="0" xfId="0" applyNumberFormat="1" applyFont="1" applyFill="1" applyBorder="1" applyAlignment="1">
      <alignment horizontal="left"/>
    </xf>
    <xf numFmtId="165" fontId="3" fillId="36" borderId="0" xfId="0" applyNumberFormat="1" applyFont="1" applyFill="1" applyBorder="1" applyAlignment="1">
      <alignment horizontal="left"/>
    </xf>
    <xf numFmtId="165" fontId="2" fillId="11" borderId="0" xfId="0" applyNumberFormat="1" applyFont="1" applyFill="1" applyAlignment="1">
      <alignment horizontal="left"/>
    </xf>
    <xf numFmtId="165" fontId="7" fillId="29" borderId="0" xfId="0" applyNumberFormat="1" applyFont="1" applyFill="1" applyBorder="1" applyAlignment="1">
      <alignment horizontal="left"/>
    </xf>
    <xf numFmtId="0" fontId="25" fillId="0" borderId="0" xfId="0" applyFont="1"/>
    <xf numFmtId="0" fontId="2" fillId="7" borderId="0" xfId="0" applyFont="1" applyFill="1" applyAlignment="1"/>
    <xf numFmtId="0" fontId="2" fillId="11" borderId="0" xfId="0" applyFont="1" applyFill="1" applyAlignment="1"/>
    <xf numFmtId="165" fontId="2" fillId="2" borderId="0" xfId="0" applyNumberFormat="1" applyFont="1" applyFill="1" applyAlignment="1">
      <alignment horizontal="left"/>
    </xf>
    <xf numFmtId="0" fontId="2" fillId="0" borderId="0" xfId="0" applyFont="1" applyFill="1" applyAlignment="1">
      <alignment horizontal="left"/>
    </xf>
    <xf numFmtId="0" fontId="11" fillId="9" borderId="10" xfId="0" applyFont="1" applyFill="1" applyBorder="1" applyAlignment="1">
      <alignment horizontal="left" vertical="center" wrapText="1"/>
    </xf>
    <xf numFmtId="0" fontId="2" fillId="2" borderId="12" xfId="0" applyFont="1" applyFill="1" applyBorder="1" applyAlignment="1">
      <alignment horizontal="right"/>
    </xf>
    <xf numFmtId="0" fontId="2" fillId="3" borderId="0" xfId="0" applyFont="1" applyFill="1"/>
    <xf numFmtId="0" fontId="2" fillId="31" borderId="0" xfId="0" applyFont="1" applyFill="1"/>
    <xf numFmtId="0" fontId="11" fillId="31" borderId="0" xfId="0" applyFont="1" applyFill="1"/>
    <xf numFmtId="0" fontId="24" fillId="31" borderId="0" xfId="0" applyFont="1" applyFill="1"/>
    <xf numFmtId="0" fontId="18" fillId="13" borderId="10" xfId="0" applyFont="1" applyFill="1" applyBorder="1" applyAlignment="1">
      <alignment horizontal="center" vertical="center" wrapText="1"/>
    </xf>
    <xf numFmtId="0" fontId="1" fillId="2" borderId="12" xfId="0" applyFont="1" applyFill="1" applyBorder="1" applyAlignment="1">
      <alignment horizontal="right"/>
    </xf>
    <xf numFmtId="0" fontId="2" fillId="0" borderId="0" xfId="0" applyFont="1" applyAlignment="1">
      <alignment horizontal="right"/>
    </xf>
    <xf numFmtId="0" fontId="1" fillId="2" borderId="11" xfId="0" applyFont="1" applyFill="1" applyBorder="1" applyAlignment="1">
      <alignment horizontal="right"/>
    </xf>
    <xf numFmtId="0" fontId="1" fillId="2" borderId="10" xfId="0" applyFont="1" applyFill="1" applyBorder="1" applyAlignment="1">
      <alignment horizontal="right"/>
    </xf>
    <xf numFmtId="0" fontId="38" fillId="2" borderId="0" xfId="0" applyFont="1" applyFill="1"/>
    <xf numFmtId="0" fontId="3" fillId="2" borderId="0" xfId="0" applyFont="1" applyFill="1"/>
    <xf numFmtId="9" fontId="2" fillId="11" borderId="0" xfId="0" applyNumberFormat="1" applyFont="1" applyFill="1" applyBorder="1" applyAlignment="1">
      <alignment horizontal="left"/>
    </xf>
    <xf numFmtId="0" fontId="4" fillId="11" borderId="0" xfId="0" applyFont="1" applyFill="1" applyBorder="1"/>
    <xf numFmtId="0" fontId="2" fillId="37" borderId="2" xfId="0" applyFont="1" applyFill="1" applyBorder="1"/>
    <xf numFmtId="0" fontId="2" fillId="37" borderId="0" xfId="0" applyFont="1" applyFill="1" applyBorder="1"/>
    <xf numFmtId="0" fontId="2" fillId="37" borderId="1" xfId="0" applyFont="1" applyFill="1" applyBorder="1"/>
    <xf numFmtId="164" fontId="2" fillId="37" borderId="0" xfId="0" applyNumberFormat="1" applyFont="1" applyFill="1" applyAlignment="1">
      <alignment horizontal="left"/>
    </xf>
    <xf numFmtId="2" fontId="2" fillId="37" borderId="10" xfId="0" applyNumberFormat="1" applyFont="1" applyFill="1" applyBorder="1" applyAlignment="1">
      <alignment horizontal="left" vertical="center"/>
    </xf>
    <xf numFmtId="0" fontId="2" fillId="37" borderId="10" xfId="0" applyFont="1" applyFill="1" applyBorder="1" applyAlignment="1">
      <alignment vertical="center"/>
    </xf>
    <xf numFmtId="2" fontId="2" fillId="37" borderId="10" xfId="0" applyNumberFormat="1" applyFont="1" applyFill="1" applyBorder="1" applyAlignment="1">
      <alignment horizontal="left"/>
    </xf>
    <xf numFmtId="2" fontId="3" fillId="37" borderId="0" xfId="0" applyNumberFormat="1" applyFont="1" applyFill="1" applyBorder="1" applyAlignment="1">
      <alignment horizontal="left" vertical="center"/>
    </xf>
    <xf numFmtId="0" fontId="7" fillId="37" borderId="2" xfId="0" applyFont="1" applyFill="1" applyBorder="1" applyAlignment="1">
      <alignment horizontal="left" vertical="center"/>
    </xf>
    <xf numFmtId="2" fontId="2" fillId="37" borderId="0" xfId="0" applyNumberFormat="1" applyFont="1" applyFill="1" applyAlignment="1">
      <alignment horizontal="left"/>
    </xf>
    <xf numFmtId="2" fontId="7" fillId="37" borderId="0" xfId="0" applyNumberFormat="1" applyFont="1" applyFill="1" applyBorder="1" applyAlignment="1">
      <alignment horizontal="left" vertical="center"/>
    </xf>
    <xf numFmtId="0" fontId="7" fillId="37" borderId="0" xfId="0" applyFont="1" applyFill="1" applyBorder="1" applyAlignment="1">
      <alignment horizontal="left" vertical="center"/>
    </xf>
    <xf numFmtId="2" fontId="2" fillId="37" borderId="0" xfId="0" applyNumberFormat="1" applyFont="1" applyFill="1" applyBorder="1" applyAlignment="1">
      <alignment horizontal="left" vertical="center"/>
    </xf>
    <xf numFmtId="0" fontId="2" fillId="37" borderId="0" xfId="0" applyFont="1" applyFill="1" applyBorder="1" applyAlignment="1">
      <alignment vertical="center"/>
    </xf>
    <xf numFmtId="0" fontId="4" fillId="37" borderId="0" xfId="0" applyFont="1" applyFill="1" applyBorder="1" applyAlignment="1">
      <alignment vertical="center"/>
    </xf>
    <xf numFmtId="2" fontId="2" fillId="37" borderId="0" xfId="0" applyNumberFormat="1" applyFont="1" applyFill="1" applyAlignment="1">
      <alignment horizontal="left" vertical="center"/>
    </xf>
    <xf numFmtId="0" fontId="1" fillId="37" borderId="0" xfId="0" applyFont="1" applyFill="1" applyBorder="1" applyAlignment="1">
      <alignment vertical="center"/>
    </xf>
    <xf numFmtId="2" fontId="2" fillId="37" borderId="0" xfId="0" applyNumberFormat="1" applyFont="1" applyFill="1" applyBorder="1" applyAlignment="1">
      <alignment horizontal="left"/>
    </xf>
    <xf numFmtId="0" fontId="3" fillId="38" borderId="0" xfId="0" applyFont="1" applyFill="1" applyBorder="1" applyAlignment="1">
      <alignment horizontal="left" vertical="center"/>
    </xf>
    <xf numFmtId="0" fontId="7" fillId="38" borderId="0" xfId="0" applyFont="1" applyFill="1" applyBorder="1" applyAlignment="1">
      <alignment vertical="center"/>
    </xf>
    <xf numFmtId="0" fontId="2" fillId="37" borderId="0" xfId="0" applyFont="1" applyFill="1" applyAlignment="1">
      <alignment horizontal="left" vertical="center"/>
    </xf>
    <xf numFmtId="0" fontId="2" fillId="37" borderId="0" xfId="0" applyFont="1" applyFill="1" applyAlignment="1">
      <alignment vertical="center"/>
    </xf>
    <xf numFmtId="0" fontId="1" fillId="37" borderId="0" xfId="0" applyFont="1" applyFill="1" applyAlignment="1">
      <alignment vertical="center"/>
    </xf>
    <xf numFmtId="0" fontId="7" fillId="38" borderId="0" xfId="0" applyFont="1" applyFill="1" applyBorder="1" applyAlignment="1">
      <alignment horizontal="left" vertical="center"/>
    </xf>
    <xf numFmtId="164" fontId="2" fillId="37" borderId="0" xfId="0" applyNumberFormat="1" applyFont="1" applyFill="1" applyBorder="1" applyAlignment="1">
      <alignment horizontal="left"/>
    </xf>
    <xf numFmtId="0" fontId="2" fillId="2" borderId="2" xfId="0" applyFont="1" applyFill="1" applyBorder="1" applyAlignment="1">
      <alignment vertical="top"/>
    </xf>
    <xf numFmtId="0" fontId="2" fillId="2" borderId="1" xfId="0" applyFont="1" applyFill="1" applyBorder="1" applyAlignment="1">
      <alignment vertical="top"/>
    </xf>
    <xf numFmtId="2" fontId="2" fillId="0" borderId="0" xfId="0" applyNumberFormat="1" applyFont="1"/>
    <xf numFmtId="9" fontId="2" fillId="9" borderId="0" xfId="0" applyNumberFormat="1" applyFont="1" applyFill="1"/>
    <xf numFmtId="0" fontId="2" fillId="9" borderId="11" xfId="0" applyFont="1" applyFill="1" applyBorder="1" applyAlignment="1">
      <alignment horizontal="left" vertical="center"/>
    </xf>
    <xf numFmtId="0" fontId="2" fillId="9" borderId="10" xfId="0" applyFont="1" applyFill="1" applyBorder="1" applyAlignment="1">
      <alignment horizontal="left" vertical="center" wrapText="1"/>
    </xf>
    <xf numFmtId="2" fontId="2" fillId="9" borderId="12" xfId="0" applyNumberFormat="1" applyFont="1" applyFill="1" applyBorder="1" applyAlignment="1">
      <alignment horizontal="left" vertical="center"/>
    </xf>
    <xf numFmtId="0" fontId="15" fillId="9" borderId="0" xfId="0" applyFont="1" applyFill="1" applyBorder="1" applyAlignment="1">
      <alignment horizontal="left" vertical="center"/>
    </xf>
    <xf numFmtId="2" fontId="2" fillId="9" borderId="10" xfId="0" applyNumberFormat="1" applyFont="1" applyFill="1" applyBorder="1" applyAlignment="1">
      <alignment horizontal="left" vertical="center"/>
    </xf>
    <xf numFmtId="0" fontId="2" fillId="9" borderId="10" xfId="0" applyFont="1" applyFill="1" applyBorder="1" applyAlignment="1">
      <alignment vertical="center" wrapText="1"/>
    </xf>
    <xf numFmtId="0" fontId="2" fillId="23" borderId="2" xfId="0" applyFont="1" applyFill="1" applyBorder="1"/>
    <xf numFmtId="0" fontId="2" fillId="23" borderId="1" xfId="0" applyFont="1" applyFill="1" applyBorder="1"/>
    <xf numFmtId="0" fontId="2" fillId="15" borderId="10" xfId="0" applyFont="1" applyFill="1" applyBorder="1" applyAlignment="1">
      <alignment vertical="center"/>
    </xf>
    <xf numFmtId="0" fontId="2" fillId="15" borderId="10" xfId="0" applyFont="1" applyFill="1" applyBorder="1"/>
    <xf numFmtId="0" fontId="2" fillId="7" borderId="0" xfId="0" applyFont="1" applyFill="1" applyAlignment="1">
      <alignment horizontal="left"/>
    </xf>
    <xf numFmtId="0" fontId="2" fillId="11" borderId="0" xfId="0" applyFont="1" applyFill="1" applyAlignment="1">
      <alignment horizontal="left"/>
    </xf>
    <xf numFmtId="0" fontId="2" fillId="2" borderId="16" xfId="0" applyFont="1" applyFill="1" applyBorder="1" applyAlignment="1">
      <alignment vertical="center"/>
    </xf>
    <xf numFmtId="165" fontId="2" fillId="5" borderId="17" xfId="0" applyNumberFormat="1" applyFont="1" applyFill="1" applyBorder="1" applyAlignment="1">
      <alignment horizontal="left" vertical="center"/>
    </xf>
    <xf numFmtId="165" fontId="2" fillId="5" borderId="18" xfId="0" applyNumberFormat="1" applyFont="1" applyFill="1" applyBorder="1" applyAlignment="1">
      <alignment horizontal="left" vertical="center"/>
    </xf>
    <xf numFmtId="9" fontId="2" fillId="9" borderId="11" xfId="0" applyNumberFormat="1" applyFont="1" applyFill="1" applyBorder="1" applyAlignment="1">
      <alignment horizontal="center" vertical="center"/>
    </xf>
    <xf numFmtId="0" fontId="2" fillId="9" borderId="12" xfId="0" applyFont="1" applyFill="1" applyBorder="1" applyAlignment="1">
      <alignment horizontal="center" vertical="center" wrapText="1"/>
    </xf>
    <xf numFmtId="165" fontId="2" fillId="11" borderId="2" xfId="0" applyNumberFormat="1" applyFont="1" applyFill="1" applyBorder="1" applyAlignment="1">
      <alignment horizontal="left"/>
    </xf>
    <xf numFmtId="165" fontId="2" fillId="11" borderId="0" xfId="0" applyNumberFormat="1" applyFont="1" applyFill="1" applyBorder="1" applyAlignment="1">
      <alignment horizontal="left"/>
    </xf>
    <xf numFmtId="165" fontId="2" fillId="11" borderId="1" xfId="0" applyNumberFormat="1" applyFont="1" applyFill="1" applyBorder="1" applyAlignment="1">
      <alignment horizontal="left"/>
    </xf>
    <xf numFmtId="0" fontId="2" fillId="7" borderId="10" xfId="0" applyFont="1" applyFill="1" applyBorder="1" applyAlignment="1">
      <alignment horizontal="left" vertical="center" wrapText="1"/>
    </xf>
    <xf numFmtId="0" fontId="2" fillId="15" borderId="10" xfId="0" applyFont="1" applyFill="1" applyBorder="1" applyAlignment="1">
      <alignment horizontal="left" vertical="center" wrapText="1"/>
    </xf>
    <xf numFmtId="0" fontId="35" fillId="0" borderId="0" xfId="0" applyFont="1"/>
    <xf numFmtId="0" fontId="6" fillId="0" borderId="0" xfId="0" applyFont="1"/>
    <xf numFmtId="0" fontId="2" fillId="33" borderId="10" xfId="0" applyFont="1" applyFill="1" applyBorder="1" applyAlignment="1">
      <alignment vertical="center" wrapText="1"/>
    </xf>
    <xf numFmtId="0" fontId="15" fillId="2" borderId="0" xfId="0" applyFont="1" applyFill="1" applyAlignment="1">
      <alignment horizontal="left"/>
    </xf>
    <xf numFmtId="0" fontId="40" fillId="2" borderId="0" xfId="0" applyFont="1" applyFill="1" applyAlignment="1">
      <alignment horizontal="left"/>
    </xf>
    <xf numFmtId="0" fontId="2" fillId="2" borderId="12" xfId="0" applyFont="1" applyFill="1" applyBorder="1"/>
    <xf numFmtId="11" fontId="2" fillId="0" borderId="0" xfId="0" applyNumberFormat="1" applyFont="1" applyAlignment="1">
      <alignment horizontal="left"/>
    </xf>
    <xf numFmtId="2" fontId="15" fillId="2" borderId="0" xfId="0" applyNumberFormat="1" applyFont="1" applyFill="1" applyAlignment="1">
      <alignment horizontal="left"/>
    </xf>
    <xf numFmtId="0" fontId="2" fillId="20" borderId="0" xfId="0" applyFont="1" applyFill="1" applyAlignment="1"/>
    <xf numFmtId="165" fontId="15" fillId="2" borderId="0" xfId="0" applyNumberFormat="1" applyFont="1" applyFill="1" applyAlignment="1">
      <alignment horizontal="left"/>
    </xf>
    <xf numFmtId="0" fontId="36" fillId="20" borderId="0" xfId="0" applyFont="1" applyFill="1" applyAlignment="1">
      <alignment horizontal="left" vertical="center"/>
    </xf>
    <xf numFmtId="0" fontId="2" fillId="0" borderId="0" xfId="0" applyFont="1" applyFill="1" applyAlignment="1">
      <alignment horizontal="right"/>
    </xf>
    <xf numFmtId="0" fontId="21" fillId="2" borderId="7" xfId="0" applyFont="1" applyFill="1" applyBorder="1"/>
    <xf numFmtId="0" fontId="1" fillId="9" borderId="10" xfId="0" applyFont="1" applyFill="1" applyBorder="1" applyAlignment="1">
      <alignment horizontal="left" vertical="center" wrapText="1"/>
    </xf>
    <xf numFmtId="0" fontId="43" fillId="31" borderId="0" xfId="0" applyFont="1" applyFill="1"/>
    <xf numFmtId="0" fontId="4" fillId="9" borderId="0" xfId="0" applyFont="1" applyFill="1" applyAlignment="1">
      <alignment horizontal="center" vertical="center"/>
    </xf>
    <xf numFmtId="0" fontId="11" fillId="11" borderId="0" xfId="0" applyFont="1" applyFill="1"/>
    <xf numFmtId="0" fontId="1" fillId="11" borderId="0" xfId="0" applyFont="1" applyFill="1" applyAlignment="1">
      <alignment horizontal="left" vertical="center"/>
    </xf>
    <xf numFmtId="0" fontId="2" fillId="11" borderId="0" xfId="0" applyFont="1" applyFill="1" applyBorder="1" applyAlignment="1">
      <alignment vertical="center"/>
    </xf>
    <xf numFmtId="0" fontId="45" fillId="9" borderId="0" xfId="0" applyFont="1" applyFill="1"/>
    <xf numFmtId="0" fontId="48" fillId="9" borderId="0" xfId="1" applyFont="1" applyFill="1"/>
    <xf numFmtId="0" fontId="45" fillId="9" borderId="0" xfId="0" applyFont="1" applyFill="1" applyAlignment="1">
      <alignment wrapText="1"/>
    </xf>
    <xf numFmtId="0" fontId="2" fillId="12" borderId="0" xfId="0" applyFont="1" applyFill="1" applyAlignment="1">
      <alignment horizontal="left"/>
    </xf>
    <xf numFmtId="0" fontId="22" fillId="2" borderId="0" xfId="0" applyFont="1" applyFill="1" applyAlignment="1">
      <alignment horizontal="left"/>
    </xf>
    <xf numFmtId="0" fontId="1" fillId="11" borderId="0" xfId="0" applyFont="1" applyFill="1" applyAlignment="1">
      <alignment horizontal="left"/>
    </xf>
    <xf numFmtId="0" fontId="7" fillId="29" borderId="0" xfId="0" applyFont="1" applyFill="1" applyBorder="1" applyAlignment="1">
      <alignment horizontal="left"/>
    </xf>
    <xf numFmtId="0" fontId="4" fillId="11" borderId="1" xfId="0" applyFont="1" applyFill="1" applyBorder="1" applyAlignment="1">
      <alignment horizontal="left" vertical="top"/>
    </xf>
    <xf numFmtId="0" fontId="36" fillId="20" borderId="0" xfId="0" applyFont="1" applyFill="1" applyAlignment="1">
      <alignment horizontal="left" vertical="center"/>
    </xf>
    <xf numFmtId="0" fontId="11" fillId="2" borderId="10" xfId="0" applyFont="1" applyFill="1" applyBorder="1" applyAlignment="1">
      <alignment horizontal="left" vertical="top"/>
    </xf>
    <xf numFmtId="0" fontId="2" fillId="2" borderId="0" xfId="0" applyFont="1" applyFill="1" applyAlignment="1">
      <alignment horizontal="left" vertical="top"/>
    </xf>
    <xf numFmtId="0" fontId="41" fillId="2" borderId="0" xfId="1" quotePrefix="1" applyFill="1" applyAlignment="1">
      <alignment horizontal="left" vertical="top"/>
    </xf>
    <xf numFmtId="49" fontId="41" fillId="2" borderId="0" xfId="1" quotePrefix="1" applyNumberFormat="1" applyFill="1" applyAlignment="1">
      <alignment horizontal="left" vertical="top"/>
    </xf>
    <xf numFmtId="49" fontId="4" fillId="2" borderId="0" xfId="0" applyNumberFormat="1" applyFont="1" applyFill="1" applyAlignment="1">
      <alignment horizontal="left" vertical="top"/>
    </xf>
    <xf numFmtId="49" fontId="41" fillId="2" borderId="0" xfId="1" applyNumberFormat="1" applyFill="1" applyAlignment="1">
      <alignment horizontal="left" vertical="top"/>
    </xf>
    <xf numFmtId="2" fontId="2" fillId="10" borderId="0" xfId="0" applyNumberFormat="1" applyFont="1" applyFill="1" applyAlignment="1">
      <alignment horizontal="left"/>
    </xf>
    <xf numFmtId="2" fontId="2" fillId="11" borderId="1" xfId="0" applyNumberFormat="1" applyFont="1" applyFill="1" applyBorder="1" applyAlignment="1">
      <alignment horizontal="left"/>
    </xf>
    <xf numFmtId="2" fontId="2" fillId="12" borderId="0" xfId="0" applyNumberFormat="1" applyFont="1" applyFill="1" applyAlignment="1">
      <alignment horizontal="left"/>
    </xf>
    <xf numFmtId="0" fontId="1" fillId="0" borderId="0" xfId="0" applyFont="1"/>
    <xf numFmtId="0" fontId="1" fillId="9" borderId="0" xfId="0" applyFont="1" applyFill="1"/>
    <xf numFmtId="0" fontId="2" fillId="9" borderId="0" xfId="0" applyFont="1" applyFill="1" applyBorder="1"/>
    <xf numFmtId="0" fontId="2" fillId="9" borderId="0" xfId="0" applyFont="1" applyFill="1" applyAlignment="1">
      <alignment horizontal="left"/>
    </xf>
    <xf numFmtId="165" fontId="2" fillId="9" borderId="0" xfId="0" applyNumberFormat="1" applyFont="1" applyFill="1" applyAlignment="1">
      <alignment horizontal="left"/>
    </xf>
    <xf numFmtId="1" fontId="2" fillId="9" borderId="0" xfId="0" applyNumberFormat="1" applyFont="1" applyFill="1" applyAlignment="1">
      <alignment horizontal="left"/>
    </xf>
    <xf numFmtId="0" fontId="1" fillId="0" borderId="0" xfId="0" applyFont="1" applyFill="1"/>
    <xf numFmtId="1" fontId="1" fillId="9" borderId="0" xfId="0" applyNumberFormat="1" applyFont="1" applyFill="1"/>
    <xf numFmtId="165" fontId="1" fillId="9" borderId="0" xfId="0" applyNumberFormat="1" applyFont="1" applyFill="1"/>
    <xf numFmtId="0" fontId="1" fillId="2" borderId="0" xfId="0" applyFont="1" applyFill="1"/>
    <xf numFmtId="2" fontId="1" fillId="9" borderId="0" xfId="0" applyNumberFormat="1" applyFont="1" applyFill="1" applyAlignment="1">
      <alignment horizontal="left" vertical="center"/>
    </xf>
    <xf numFmtId="164" fontId="1" fillId="9" borderId="0" xfId="0" applyNumberFormat="1" applyFont="1" applyFill="1" applyAlignment="1">
      <alignment horizontal="left" vertical="center"/>
    </xf>
    <xf numFmtId="2" fontId="1" fillId="9" borderId="0" xfId="0" applyNumberFormat="1" applyFont="1" applyFill="1" applyBorder="1" applyAlignment="1">
      <alignment horizontal="left" vertical="center"/>
    </xf>
    <xf numFmtId="164" fontId="1" fillId="9" borderId="0" xfId="0" applyNumberFormat="1" applyFont="1" applyFill="1" applyBorder="1" applyAlignment="1">
      <alignment horizontal="left" vertical="center"/>
    </xf>
    <xf numFmtId="0" fontId="4" fillId="11" borderId="1" xfId="0" applyFont="1" applyFill="1" applyBorder="1" applyAlignment="1">
      <alignment vertical="top"/>
    </xf>
    <xf numFmtId="0" fontId="11" fillId="11" borderId="2" xfId="0" applyFont="1" applyFill="1" applyBorder="1" applyAlignment="1">
      <alignment vertical="top"/>
    </xf>
    <xf numFmtId="0" fontId="2" fillId="0" borderId="0" xfId="0" applyFont="1" applyFill="1" applyBorder="1" applyAlignment="1">
      <alignment horizontal="left" vertical="top"/>
    </xf>
    <xf numFmtId="0" fontId="11" fillId="0" borderId="0" xfId="0" applyFont="1" applyFill="1" applyBorder="1" applyAlignment="1">
      <alignment vertical="top"/>
    </xf>
    <xf numFmtId="0" fontId="4" fillId="0" borderId="0" xfId="0" applyFont="1" applyFill="1" applyBorder="1" applyAlignment="1">
      <alignment horizontal="left" vertical="top" wrapText="1"/>
    </xf>
    <xf numFmtId="0" fontId="0" fillId="0" borderId="0" xfId="0" applyFill="1" applyBorder="1"/>
    <xf numFmtId="0" fontId="16" fillId="9" borderId="0" xfId="0" applyFont="1" applyFill="1"/>
    <xf numFmtId="0" fontId="2" fillId="20" borderId="5" xfId="0" applyFont="1" applyFill="1" applyBorder="1" applyAlignment="1">
      <alignment horizontal="left" vertical="center"/>
    </xf>
    <xf numFmtId="0" fontId="1" fillId="20" borderId="9" xfId="0" applyFont="1" applyFill="1" applyBorder="1" applyAlignment="1">
      <alignment horizontal="left" vertical="center"/>
    </xf>
    <xf numFmtId="0" fontId="2" fillId="20" borderId="4" xfId="0" applyFont="1" applyFill="1" applyBorder="1" applyAlignment="1">
      <alignment horizontal="left" vertical="center"/>
    </xf>
    <xf numFmtId="0" fontId="1" fillId="20" borderId="8" xfId="0" applyFont="1" applyFill="1" applyBorder="1" applyAlignment="1">
      <alignment horizontal="left" vertical="center"/>
    </xf>
    <xf numFmtId="0" fontId="2" fillId="20" borderId="8" xfId="0" applyFont="1" applyFill="1" applyBorder="1" applyAlignment="1">
      <alignment horizontal="left" vertical="center"/>
    </xf>
    <xf numFmtId="0" fontId="2" fillId="20" borderId="9" xfId="0" applyFont="1" applyFill="1" applyBorder="1" applyAlignment="1">
      <alignment horizontal="left" vertical="center"/>
    </xf>
    <xf numFmtId="0" fontId="2" fillId="20" borderId="1" xfId="0" applyFont="1" applyFill="1" applyBorder="1" applyAlignment="1">
      <alignment horizontal="left" vertical="center"/>
    </xf>
    <xf numFmtId="0" fontId="2" fillId="20" borderId="7" xfId="0" applyFont="1" applyFill="1" applyBorder="1" applyAlignment="1">
      <alignment horizontal="left" vertical="center"/>
    </xf>
    <xf numFmtId="0" fontId="1" fillId="20" borderId="10" xfId="0" applyFont="1" applyFill="1" applyBorder="1"/>
    <xf numFmtId="0" fontId="2" fillId="20" borderId="10" xfId="0" applyFont="1" applyFill="1" applyBorder="1" applyAlignment="1">
      <alignment horizontal="left" vertical="center"/>
    </xf>
    <xf numFmtId="0" fontId="2" fillId="20" borderId="12" xfId="0" applyFont="1" applyFill="1" applyBorder="1" applyAlignment="1">
      <alignment horizontal="left" vertical="center"/>
    </xf>
    <xf numFmtId="0" fontId="2" fillId="20" borderId="14" xfId="0" applyFont="1" applyFill="1" applyBorder="1" applyAlignment="1">
      <alignment horizontal="left" vertical="center"/>
    </xf>
    <xf numFmtId="0" fontId="1" fillId="9" borderId="0" xfId="0" applyFont="1" applyFill="1" applyBorder="1"/>
    <xf numFmtId="0" fontId="1" fillId="20" borderId="10" xfId="0" applyFont="1" applyFill="1" applyBorder="1" applyAlignment="1">
      <alignment horizontal="left" vertical="center"/>
    </xf>
    <xf numFmtId="0" fontId="1" fillId="20" borderId="12" xfId="0" applyFont="1" applyFill="1" applyBorder="1" applyAlignment="1">
      <alignment horizontal="left" vertical="center"/>
    </xf>
    <xf numFmtId="0" fontId="2" fillId="20" borderId="15" xfId="0" applyFont="1" applyFill="1" applyBorder="1" applyAlignment="1">
      <alignment horizontal="left" vertical="center"/>
    </xf>
    <xf numFmtId="0" fontId="1" fillId="20" borderId="14" xfId="0" applyFont="1" applyFill="1" applyBorder="1" applyAlignment="1">
      <alignment horizontal="left" vertical="center"/>
    </xf>
    <xf numFmtId="0" fontId="15" fillId="2" borderId="0" xfId="0" applyFont="1" applyFill="1"/>
    <xf numFmtId="0" fontId="20" fillId="20" borderId="8" xfId="0" applyFont="1" applyFill="1" applyBorder="1" applyAlignment="1">
      <alignment horizontal="left" vertical="center"/>
    </xf>
    <xf numFmtId="0" fontId="20" fillId="20" borderId="1" xfId="0" applyFont="1" applyFill="1" applyBorder="1" applyAlignment="1">
      <alignment horizontal="left" vertical="center"/>
    </xf>
    <xf numFmtId="0" fontId="20" fillId="20" borderId="10" xfId="0" applyFont="1" applyFill="1" applyBorder="1"/>
    <xf numFmtId="0" fontId="20" fillId="20" borderId="10" xfId="0" applyFont="1" applyFill="1" applyBorder="1" applyAlignment="1">
      <alignment horizontal="left" vertical="center"/>
    </xf>
    <xf numFmtId="0" fontId="20" fillId="20" borderId="12" xfId="0" applyFont="1" applyFill="1" applyBorder="1" applyAlignment="1">
      <alignment horizontal="left" vertical="center"/>
    </xf>
    <xf numFmtId="0" fontId="20" fillId="20" borderId="0" xfId="0" applyFont="1" applyFill="1" applyAlignment="1">
      <alignment horizontal="left" vertical="center"/>
    </xf>
    <xf numFmtId="0" fontId="20" fillId="20" borderId="1" xfId="0" applyFont="1" applyFill="1" applyBorder="1"/>
    <xf numFmtId="0" fontId="20" fillId="20" borderId="8" xfId="0" applyFont="1" applyFill="1" applyBorder="1" applyAlignment="1">
      <alignment vertical="center"/>
    </xf>
    <xf numFmtId="0" fontId="20" fillId="20" borderId="2" xfId="0" applyFont="1" applyFill="1" applyBorder="1" applyAlignment="1">
      <alignment vertical="center"/>
    </xf>
    <xf numFmtId="0" fontId="20" fillId="20" borderId="2" xfId="0" applyFont="1" applyFill="1" applyBorder="1"/>
    <xf numFmtId="0" fontId="20" fillId="20" borderId="12" xfId="0" applyFont="1" applyFill="1" applyBorder="1" applyAlignment="1">
      <alignment vertical="center"/>
    </xf>
    <xf numFmtId="0" fontId="20" fillId="20" borderId="14" xfId="0" applyFont="1" applyFill="1" applyBorder="1" applyAlignment="1">
      <alignment horizontal="left" vertical="center"/>
    </xf>
    <xf numFmtId="0" fontId="20" fillId="20" borderId="9" xfId="0" applyFont="1" applyFill="1" applyBorder="1" applyAlignment="1">
      <alignment horizontal="left" vertical="center"/>
    </xf>
    <xf numFmtId="0" fontId="20" fillId="20" borderId="7" xfId="0" applyFont="1" applyFill="1" applyBorder="1" applyAlignment="1">
      <alignment horizontal="left" vertical="center"/>
    </xf>
    <xf numFmtId="0" fontId="0" fillId="2" borderId="4" xfId="0" applyFill="1" applyBorder="1" applyAlignment="1">
      <alignment horizontal="left"/>
    </xf>
    <xf numFmtId="0" fontId="0" fillId="2" borderId="2" xfId="0" applyFill="1" applyBorder="1" applyAlignment="1">
      <alignment horizontal="left"/>
    </xf>
    <xf numFmtId="0" fontId="0" fillId="2" borderId="5" xfId="0" applyFill="1" applyBorder="1" applyAlignment="1">
      <alignment horizontal="left"/>
    </xf>
    <xf numFmtId="0" fontId="51" fillId="2" borderId="6" xfId="0" applyFont="1" applyFill="1" applyBorder="1" applyAlignment="1">
      <alignment horizontal="left"/>
    </xf>
    <xf numFmtId="0" fontId="51" fillId="2" borderId="1" xfId="0" applyFont="1" applyFill="1" applyBorder="1" applyAlignment="1">
      <alignment horizontal="left"/>
    </xf>
    <xf numFmtId="0" fontId="51" fillId="2" borderId="7" xfId="0" applyFont="1" applyFill="1" applyBorder="1" applyAlignment="1">
      <alignment horizontal="left"/>
    </xf>
    <xf numFmtId="0" fontId="52" fillId="0" borderId="0" xfId="0" applyFont="1"/>
    <xf numFmtId="0" fontId="11" fillId="11" borderId="2" xfId="0" applyFont="1" applyFill="1" applyBorder="1" applyAlignment="1">
      <alignment horizontal="left" vertical="top"/>
    </xf>
    <xf numFmtId="0" fontId="2" fillId="15" borderId="2" xfId="0" applyFont="1" applyFill="1" applyBorder="1" applyAlignment="1">
      <alignment horizontal="center" vertical="top"/>
    </xf>
    <xf numFmtId="0" fontId="32" fillId="2" borderId="0" xfId="0" applyFont="1" applyFill="1" applyBorder="1" applyAlignment="1">
      <alignment horizontal="left" vertical="top" wrapText="1"/>
    </xf>
    <xf numFmtId="0" fontId="32" fillId="2" borderId="1" xfId="0" applyFont="1" applyFill="1" applyBorder="1" applyAlignment="1">
      <alignment horizontal="left" vertical="top" wrapText="1"/>
    </xf>
    <xf numFmtId="0" fontId="11" fillId="11" borderId="5" xfId="0" applyFont="1" applyFill="1" applyBorder="1" applyAlignment="1">
      <alignment horizontal="left" vertical="top"/>
    </xf>
    <xf numFmtId="0" fontId="2" fillId="15" borderId="0" xfId="0" applyFont="1" applyFill="1" applyBorder="1" applyAlignment="1">
      <alignment horizontal="center" vertical="top"/>
    </xf>
    <xf numFmtId="0" fontId="4" fillId="11" borderId="1" xfId="0" applyFont="1" applyFill="1" applyBorder="1" applyAlignment="1">
      <alignment horizontal="left" vertical="top"/>
    </xf>
    <xf numFmtId="0" fontId="2" fillId="23" borderId="2" xfId="0" applyFont="1" applyFill="1" applyBorder="1" applyAlignment="1">
      <alignment horizontal="center" vertical="top"/>
    </xf>
    <xf numFmtId="0" fontId="2" fillId="9" borderId="0" xfId="0" applyFont="1" applyFill="1" applyBorder="1" applyAlignment="1">
      <alignment horizontal="left" vertical="top" wrapText="1"/>
    </xf>
    <xf numFmtId="0" fontId="11" fillId="32" borderId="1" xfId="0" applyFont="1" applyFill="1" applyBorder="1" applyAlignment="1">
      <alignment horizontal="left" vertical="top"/>
    </xf>
    <xf numFmtId="0" fontId="11" fillId="32" borderId="0" xfId="0" applyFont="1" applyFill="1" applyBorder="1" applyAlignment="1">
      <alignment horizontal="left" vertical="top"/>
    </xf>
    <xf numFmtId="0" fontId="2" fillId="9" borderId="0" xfId="0" applyFont="1" applyFill="1" applyAlignment="1">
      <alignment horizontal="left" vertical="center" wrapText="1"/>
    </xf>
    <xf numFmtId="0" fontId="2" fillId="2" borderId="10" xfId="0" applyFont="1" applyFill="1" applyBorder="1" applyAlignment="1">
      <alignment horizontal="left" vertical="center"/>
    </xf>
    <xf numFmtId="0" fontId="2" fillId="2" borderId="0" xfId="0" applyFont="1" applyFill="1" applyAlignment="1">
      <alignment horizontal="left" wrapText="1"/>
    </xf>
    <xf numFmtId="0" fontId="36" fillId="20" borderId="0" xfId="0" applyFont="1" applyFill="1" applyAlignment="1">
      <alignment horizontal="left" vertical="center"/>
    </xf>
    <xf numFmtId="0" fontId="1" fillId="9" borderId="0" xfId="0" applyFont="1" applyFill="1" applyAlignment="1">
      <alignment horizontal="left" vertical="center" wrapText="1"/>
    </xf>
    <xf numFmtId="0" fontId="11" fillId="9" borderId="10" xfId="0" applyFont="1" applyFill="1" applyBorder="1" applyAlignment="1">
      <alignment horizontal="center" vertical="center" wrapText="1"/>
    </xf>
    <xf numFmtId="0" fontId="2" fillId="2" borderId="0" xfId="0" applyFont="1" applyFill="1" applyAlignment="1">
      <alignment horizontal="left" vertical="center" wrapText="1"/>
    </xf>
    <xf numFmtId="0" fontId="25" fillId="30" borderId="0" xfId="0" applyFont="1" applyFill="1" applyAlignment="1">
      <alignment horizontal="center" vertical="center" wrapText="1"/>
    </xf>
    <xf numFmtId="0" fontId="2" fillId="9" borderId="0" xfId="0" applyFont="1" applyFill="1" applyAlignment="1">
      <alignment horizontal="center"/>
    </xf>
  </cellXfs>
  <cellStyles count="2">
    <cellStyle name="Hyperlink" xfId="1" builtinId="8"/>
    <cellStyle name="Normal" xfId="0" builtinId="0"/>
  </cellStyles>
  <dxfs count="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009A46"/>
      <color rgb="FFE7F6FF"/>
      <color rgb="FFFF9999"/>
      <color rgb="FFE8E5D8"/>
      <color rgb="FFFFFF99"/>
      <color rgb="FFF2DBDA"/>
      <color rgb="FF996633"/>
      <color rgb="FFE1EA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match good solvents</c:v>
          </c:tx>
          <c:spPr>
            <a:ln w="28575">
              <a:noFill/>
            </a:ln>
          </c:spPr>
          <c:marker>
            <c:symbol val="circle"/>
            <c:size val="3"/>
            <c:spPr>
              <a:solidFill>
                <a:schemeClr val="accent2">
                  <a:lumMod val="60000"/>
                  <a:lumOff val="40000"/>
                </a:schemeClr>
              </a:solidFill>
              <a:ln>
                <a:noFill/>
              </a:ln>
            </c:spPr>
          </c:marker>
          <c:xVal>
            <c:numRef>
              <c:f>'Surface tension'!$C$4:$C$195</c:f>
              <c:numCache>
                <c:formatCode>General</c:formatCode>
                <c:ptCount val="192"/>
                <c:pt idx="0">
                  <c:v>38.200000000000003</c:v>
                </c:pt>
                <c:pt idx="1">
                  <c:v>38</c:v>
                </c:pt>
                <c:pt idx="2" formatCode="0.00">
                  <c:v>38</c:v>
                </c:pt>
                <c:pt idx="3">
                  <c:v>37.96</c:v>
                </c:pt>
                <c:pt idx="4">
                  <c:v>37.799999999999997</c:v>
                </c:pt>
                <c:pt idx="5">
                  <c:v>37.700000000000003</c:v>
                </c:pt>
                <c:pt idx="6">
                  <c:v>38.79</c:v>
                </c:pt>
                <c:pt idx="7">
                  <c:v>38.82</c:v>
                </c:pt>
                <c:pt idx="8">
                  <c:v>37.58</c:v>
                </c:pt>
                <c:pt idx="9">
                  <c:v>37.5</c:v>
                </c:pt>
                <c:pt idx="10">
                  <c:v>37.5</c:v>
                </c:pt>
                <c:pt idx="11">
                  <c:v>39</c:v>
                </c:pt>
                <c:pt idx="12">
                  <c:v>39</c:v>
                </c:pt>
                <c:pt idx="13">
                  <c:v>37.19</c:v>
                </c:pt>
                <c:pt idx="14">
                  <c:v>37</c:v>
                </c:pt>
                <c:pt idx="15">
                  <c:v>39.700000000000003</c:v>
                </c:pt>
                <c:pt idx="16">
                  <c:v>36.61</c:v>
                </c:pt>
                <c:pt idx="17">
                  <c:v>39.799999999999997</c:v>
                </c:pt>
                <c:pt idx="18">
                  <c:v>36.6</c:v>
                </c:pt>
                <c:pt idx="19">
                  <c:v>36.5</c:v>
                </c:pt>
                <c:pt idx="20">
                  <c:v>40.1</c:v>
                </c:pt>
                <c:pt idx="21">
                  <c:v>36.200000000000003</c:v>
                </c:pt>
                <c:pt idx="22">
                  <c:v>36</c:v>
                </c:pt>
                <c:pt idx="23">
                  <c:v>40.43</c:v>
                </c:pt>
                <c:pt idx="24">
                  <c:v>40.700000000000003</c:v>
                </c:pt>
                <c:pt idx="25">
                  <c:v>35.520000000000003</c:v>
                </c:pt>
                <c:pt idx="26">
                  <c:v>35.5</c:v>
                </c:pt>
                <c:pt idx="27">
                  <c:v>35.5</c:v>
                </c:pt>
                <c:pt idx="28">
                  <c:v>41.12</c:v>
                </c:pt>
                <c:pt idx="29">
                  <c:v>35.17</c:v>
                </c:pt>
                <c:pt idx="30">
                  <c:v>35.049999999999997</c:v>
                </c:pt>
                <c:pt idx="31">
                  <c:v>41.39</c:v>
                </c:pt>
                <c:pt idx="32">
                  <c:v>35</c:v>
                </c:pt>
                <c:pt idx="33">
                  <c:v>35</c:v>
                </c:pt>
                <c:pt idx="34">
                  <c:v>35</c:v>
                </c:pt>
                <c:pt idx="35">
                  <c:v>34.72</c:v>
                </c:pt>
                <c:pt idx="36">
                  <c:v>33.909999999999997</c:v>
                </c:pt>
                <c:pt idx="37">
                  <c:v>33.869999999999997</c:v>
                </c:pt>
                <c:pt idx="38">
                  <c:v>33.67</c:v>
                </c:pt>
                <c:pt idx="39">
                  <c:v>33.6</c:v>
                </c:pt>
                <c:pt idx="40">
                  <c:v>42.98</c:v>
                </c:pt>
                <c:pt idx="41">
                  <c:v>33.4</c:v>
                </c:pt>
                <c:pt idx="42">
                  <c:v>43.4</c:v>
                </c:pt>
                <c:pt idx="43">
                  <c:v>33</c:v>
                </c:pt>
                <c:pt idx="44">
                  <c:v>43.5</c:v>
                </c:pt>
                <c:pt idx="45">
                  <c:v>32.799999999999997</c:v>
                </c:pt>
                <c:pt idx="46">
                  <c:v>32.799999999999997</c:v>
                </c:pt>
                <c:pt idx="47">
                  <c:v>32.799999999999997</c:v>
                </c:pt>
                <c:pt idx="48">
                  <c:v>32.700000000000003</c:v>
                </c:pt>
                <c:pt idx="49">
                  <c:v>32.659999999999997</c:v>
                </c:pt>
                <c:pt idx="50">
                  <c:v>32.43</c:v>
                </c:pt>
                <c:pt idx="51">
                  <c:v>44.13</c:v>
                </c:pt>
                <c:pt idx="52">
                  <c:v>32.200000000000003</c:v>
                </c:pt>
                <c:pt idx="53">
                  <c:v>32.1</c:v>
                </c:pt>
                <c:pt idx="54">
                  <c:v>32</c:v>
                </c:pt>
                <c:pt idx="55">
                  <c:v>31.925000000000001</c:v>
                </c:pt>
                <c:pt idx="56">
                  <c:v>44.5</c:v>
                </c:pt>
                <c:pt idx="57">
                  <c:v>44.6</c:v>
                </c:pt>
                <c:pt idx="58">
                  <c:v>31.8</c:v>
                </c:pt>
                <c:pt idx="59">
                  <c:v>31.6</c:v>
                </c:pt>
                <c:pt idx="60" formatCode="#,#00">
                  <c:v>45</c:v>
                </c:pt>
                <c:pt idx="61">
                  <c:v>31.4</c:v>
                </c:pt>
                <c:pt idx="62">
                  <c:v>31.3</c:v>
                </c:pt>
                <c:pt idx="63">
                  <c:v>31.3</c:v>
                </c:pt>
                <c:pt idx="64">
                  <c:v>45.2</c:v>
                </c:pt>
                <c:pt idx="65">
                  <c:v>31.2</c:v>
                </c:pt>
                <c:pt idx="66">
                  <c:v>30.928999999999998</c:v>
                </c:pt>
                <c:pt idx="67">
                  <c:v>30.84</c:v>
                </c:pt>
                <c:pt idx="68">
                  <c:v>30.812999999999999</c:v>
                </c:pt>
                <c:pt idx="69">
                  <c:v>30.564</c:v>
                </c:pt>
                <c:pt idx="70">
                  <c:v>30</c:v>
                </c:pt>
                <c:pt idx="71">
                  <c:v>29.879000000000001</c:v>
                </c:pt>
                <c:pt idx="72">
                  <c:v>29.53</c:v>
                </c:pt>
                <c:pt idx="73">
                  <c:v>29.5</c:v>
                </c:pt>
                <c:pt idx="74">
                  <c:v>29.49</c:v>
                </c:pt>
                <c:pt idx="75">
                  <c:v>29.4</c:v>
                </c:pt>
                <c:pt idx="76" formatCode="0.00">
                  <c:v>29.2</c:v>
                </c:pt>
                <c:pt idx="77">
                  <c:v>29</c:v>
                </c:pt>
                <c:pt idx="78">
                  <c:v>28.9</c:v>
                </c:pt>
                <c:pt idx="79">
                  <c:v>28.84</c:v>
                </c:pt>
                <c:pt idx="80">
                  <c:v>28.8</c:v>
                </c:pt>
                <c:pt idx="81">
                  <c:v>28.8</c:v>
                </c:pt>
                <c:pt idx="82">
                  <c:v>28.6</c:v>
                </c:pt>
                <c:pt idx="83">
                  <c:v>28.49</c:v>
                </c:pt>
                <c:pt idx="84">
                  <c:v>28.48</c:v>
                </c:pt>
                <c:pt idx="85">
                  <c:v>28.22</c:v>
                </c:pt>
                <c:pt idx="86">
                  <c:v>28.2</c:v>
                </c:pt>
                <c:pt idx="87">
                  <c:v>28.1</c:v>
                </c:pt>
                <c:pt idx="88">
                  <c:v>28.09</c:v>
                </c:pt>
                <c:pt idx="89">
                  <c:v>28</c:v>
                </c:pt>
                <c:pt idx="90">
                  <c:v>27.92</c:v>
                </c:pt>
                <c:pt idx="91">
                  <c:v>48.49</c:v>
                </c:pt>
                <c:pt idx="92">
                  <c:v>48.5</c:v>
                </c:pt>
                <c:pt idx="93">
                  <c:v>27.89</c:v>
                </c:pt>
                <c:pt idx="94">
                  <c:v>27.8</c:v>
                </c:pt>
                <c:pt idx="95">
                  <c:v>27.76</c:v>
                </c:pt>
                <c:pt idx="96">
                  <c:v>27.69</c:v>
                </c:pt>
                <c:pt idx="97">
                  <c:v>27.55</c:v>
                </c:pt>
                <c:pt idx="98">
                  <c:v>27.42</c:v>
                </c:pt>
                <c:pt idx="99">
                  <c:v>27.33</c:v>
                </c:pt>
                <c:pt idx="100">
                  <c:v>27.25</c:v>
                </c:pt>
                <c:pt idx="101">
                  <c:v>27.21</c:v>
                </c:pt>
                <c:pt idx="102">
                  <c:v>27</c:v>
                </c:pt>
                <c:pt idx="103">
                  <c:v>27</c:v>
                </c:pt>
                <c:pt idx="104">
                  <c:v>26.92</c:v>
                </c:pt>
                <c:pt idx="105">
                  <c:v>26.92</c:v>
                </c:pt>
                <c:pt idx="106">
                  <c:v>26.87</c:v>
                </c:pt>
                <c:pt idx="107">
                  <c:v>26.85</c:v>
                </c:pt>
                <c:pt idx="108">
                  <c:v>26.74</c:v>
                </c:pt>
                <c:pt idx="109">
                  <c:v>26.68</c:v>
                </c:pt>
                <c:pt idx="110">
                  <c:v>26.6</c:v>
                </c:pt>
                <c:pt idx="111">
                  <c:v>26.6</c:v>
                </c:pt>
                <c:pt idx="112">
                  <c:v>26.56</c:v>
                </c:pt>
                <c:pt idx="113">
                  <c:v>26.53</c:v>
                </c:pt>
                <c:pt idx="114">
                  <c:v>26.5</c:v>
                </c:pt>
                <c:pt idx="115">
                  <c:v>26.4</c:v>
                </c:pt>
                <c:pt idx="116">
                  <c:v>26.38</c:v>
                </c:pt>
                <c:pt idx="117">
                  <c:v>26.2</c:v>
                </c:pt>
                <c:pt idx="118">
                  <c:v>26.17</c:v>
                </c:pt>
                <c:pt idx="119">
                  <c:v>26.14</c:v>
                </c:pt>
                <c:pt idx="120">
                  <c:v>26</c:v>
                </c:pt>
                <c:pt idx="121">
                  <c:v>25.9</c:v>
                </c:pt>
                <c:pt idx="122">
                  <c:v>25.87</c:v>
                </c:pt>
                <c:pt idx="123">
                  <c:v>25.73</c:v>
                </c:pt>
                <c:pt idx="124">
                  <c:v>25.6</c:v>
                </c:pt>
                <c:pt idx="125">
                  <c:v>25.56</c:v>
                </c:pt>
                <c:pt idx="126">
                  <c:v>25.5</c:v>
                </c:pt>
                <c:pt idx="127">
                  <c:v>25.33</c:v>
                </c:pt>
                <c:pt idx="128">
                  <c:v>25.13</c:v>
                </c:pt>
                <c:pt idx="129">
                  <c:v>24.98</c:v>
                </c:pt>
                <c:pt idx="130">
                  <c:v>24.9</c:v>
                </c:pt>
                <c:pt idx="131">
                  <c:v>24.75</c:v>
                </c:pt>
                <c:pt idx="132">
                  <c:v>24.67</c:v>
                </c:pt>
                <c:pt idx="133">
                  <c:v>24.61</c:v>
                </c:pt>
                <c:pt idx="134">
                  <c:v>24.6</c:v>
                </c:pt>
                <c:pt idx="135">
                  <c:v>24.5</c:v>
                </c:pt>
                <c:pt idx="136">
                  <c:v>24.5</c:v>
                </c:pt>
                <c:pt idx="137">
                  <c:v>24.46</c:v>
                </c:pt>
                <c:pt idx="138">
                  <c:v>24.3</c:v>
                </c:pt>
                <c:pt idx="139">
                  <c:v>24.28</c:v>
                </c:pt>
                <c:pt idx="140">
                  <c:v>24.27</c:v>
                </c:pt>
                <c:pt idx="141">
                  <c:v>24.1</c:v>
                </c:pt>
                <c:pt idx="142">
                  <c:v>24</c:v>
                </c:pt>
                <c:pt idx="143">
                  <c:v>24</c:v>
                </c:pt>
                <c:pt idx="144">
                  <c:v>24</c:v>
                </c:pt>
                <c:pt idx="145">
                  <c:v>23.92</c:v>
                </c:pt>
                <c:pt idx="146">
                  <c:v>23.8</c:v>
                </c:pt>
                <c:pt idx="147">
                  <c:v>23.75</c:v>
                </c:pt>
                <c:pt idx="148">
                  <c:v>23.7</c:v>
                </c:pt>
                <c:pt idx="149">
                  <c:v>23.45</c:v>
                </c:pt>
                <c:pt idx="150">
                  <c:v>23.37</c:v>
                </c:pt>
                <c:pt idx="151">
                  <c:v>23.37</c:v>
                </c:pt>
                <c:pt idx="152">
                  <c:v>23.29</c:v>
                </c:pt>
                <c:pt idx="153">
                  <c:v>23.17</c:v>
                </c:pt>
                <c:pt idx="154">
                  <c:v>22.98</c:v>
                </c:pt>
                <c:pt idx="155">
                  <c:v>22.77</c:v>
                </c:pt>
                <c:pt idx="156">
                  <c:v>22.68</c:v>
                </c:pt>
                <c:pt idx="157">
                  <c:v>22.4</c:v>
                </c:pt>
                <c:pt idx="158">
                  <c:v>22.3</c:v>
                </c:pt>
                <c:pt idx="159">
                  <c:v>22.1</c:v>
                </c:pt>
                <c:pt idx="160">
                  <c:v>21.99</c:v>
                </c:pt>
                <c:pt idx="161">
                  <c:v>21.99</c:v>
                </c:pt>
                <c:pt idx="162">
                  <c:v>21.78</c:v>
                </c:pt>
                <c:pt idx="163">
                  <c:v>21.7</c:v>
                </c:pt>
                <c:pt idx="164">
                  <c:v>21.62</c:v>
                </c:pt>
                <c:pt idx="165">
                  <c:v>21.62</c:v>
                </c:pt>
                <c:pt idx="166">
                  <c:v>21.6</c:v>
                </c:pt>
                <c:pt idx="167">
                  <c:v>21.2</c:v>
                </c:pt>
                <c:pt idx="168">
                  <c:v>21.1</c:v>
                </c:pt>
                <c:pt idx="169">
                  <c:v>20.93</c:v>
                </c:pt>
                <c:pt idx="170">
                  <c:v>20.66</c:v>
                </c:pt>
                <c:pt idx="171">
                  <c:v>19.850000000000001</c:v>
                </c:pt>
                <c:pt idx="172">
                  <c:v>19.8</c:v>
                </c:pt>
                <c:pt idx="173">
                  <c:v>19.7</c:v>
                </c:pt>
                <c:pt idx="174">
                  <c:v>19.07</c:v>
                </c:pt>
                <c:pt idx="175">
                  <c:v>18.329999999999998</c:v>
                </c:pt>
                <c:pt idx="176">
                  <c:v>18.09</c:v>
                </c:pt>
                <c:pt idx="177">
                  <c:v>58.35</c:v>
                </c:pt>
                <c:pt idx="178">
                  <c:v>18.04</c:v>
                </c:pt>
                <c:pt idx="179">
                  <c:v>17.940000000000001</c:v>
                </c:pt>
                <c:pt idx="180">
                  <c:v>17.93</c:v>
                </c:pt>
                <c:pt idx="181">
                  <c:v>17.34</c:v>
                </c:pt>
                <c:pt idx="182">
                  <c:v>16.95</c:v>
                </c:pt>
                <c:pt idx="183">
                  <c:v>16.5</c:v>
                </c:pt>
                <c:pt idx="184">
                  <c:v>16</c:v>
                </c:pt>
                <c:pt idx="185">
                  <c:v>15.7</c:v>
                </c:pt>
                <c:pt idx="186">
                  <c:v>15.48</c:v>
                </c:pt>
                <c:pt idx="187">
                  <c:v>14.5</c:v>
                </c:pt>
                <c:pt idx="188">
                  <c:v>63.4</c:v>
                </c:pt>
                <c:pt idx="189">
                  <c:v>63.62</c:v>
                </c:pt>
                <c:pt idx="190">
                  <c:v>67.3</c:v>
                </c:pt>
                <c:pt idx="191">
                  <c:v>72.75</c:v>
                </c:pt>
              </c:numCache>
            </c:numRef>
          </c:xVal>
          <c:yVal>
            <c:numRef>
              <c:f>'Surface tension'!$G$4:$G$195</c:f>
              <c:numCache>
                <c:formatCode>#,#00</c:formatCode>
                <c:ptCount val="192"/>
                <c:pt idx="0">
                  <c:v>0</c:v>
                </c:pt>
                <c:pt idx="1">
                  <c:v>0.20000000000000284</c:v>
                </c:pt>
                <c:pt idx="2">
                  <c:v>0.20000000000000284</c:v>
                </c:pt>
                <c:pt idx="3">
                  <c:v>0.24000000000000199</c:v>
                </c:pt>
                <c:pt idx="4">
                  <c:v>0.40000000000000568</c:v>
                </c:pt>
                <c:pt idx="5">
                  <c:v>0.5</c:v>
                </c:pt>
                <c:pt idx="6">
                  <c:v>0.58999999999999631</c:v>
                </c:pt>
                <c:pt idx="7">
                  <c:v>0.61999999999999744</c:v>
                </c:pt>
                <c:pt idx="8">
                  <c:v>0.62000000000000455</c:v>
                </c:pt>
                <c:pt idx="9">
                  <c:v>0.70000000000000284</c:v>
                </c:pt>
                <c:pt idx="10">
                  <c:v>0.70000000000000284</c:v>
                </c:pt>
                <c:pt idx="11">
                  <c:v>0.79999999999999716</c:v>
                </c:pt>
                <c:pt idx="12">
                  <c:v>0.79999999999999716</c:v>
                </c:pt>
                <c:pt idx="13">
                  <c:v>1.0100000000000051</c:v>
                </c:pt>
                <c:pt idx="14">
                  <c:v>1.2000000000000028</c:v>
                </c:pt>
                <c:pt idx="15">
                  <c:v>1.5</c:v>
                </c:pt>
                <c:pt idx="16">
                  <c:v>1.5900000000000034</c:v>
                </c:pt>
                <c:pt idx="17">
                  <c:v>1.5999999999999943</c:v>
                </c:pt>
                <c:pt idx="18">
                  <c:v>1.6000000000000014</c:v>
                </c:pt>
                <c:pt idx="19">
                  <c:v>1.7000000000000028</c:v>
                </c:pt>
                <c:pt idx="20">
                  <c:v>1.8999999999999986</c:v>
                </c:pt>
                <c:pt idx="21">
                  <c:v>2</c:v>
                </c:pt>
                <c:pt idx="22">
                  <c:v>2.2000000000000028</c:v>
                </c:pt>
                <c:pt idx="23">
                  <c:v>2.2299999999999969</c:v>
                </c:pt>
                <c:pt idx="24">
                  <c:v>2.5</c:v>
                </c:pt>
                <c:pt idx="25">
                  <c:v>2.6799999999999997</c:v>
                </c:pt>
                <c:pt idx="26">
                  <c:v>2.7000000000000028</c:v>
                </c:pt>
                <c:pt idx="27">
                  <c:v>2.7000000000000028</c:v>
                </c:pt>
                <c:pt idx="28">
                  <c:v>2.9199999999999946</c:v>
                </c:pt>
                <c:pt idx="29">
                  <c:v>3.0300000000000011</c:v>
                </c:pt>
                <c:pt idx="30">
                  <c:v>3.1500000000000057</c:v>
                </c:pt>
                <c:pt idx="31">
                  <c:v>3.1899999999999977</c:v>
                </c:pt>
                <c:pt idx="32">
                  <c:v>3.2000000000000028</c:v>
                </c:pt>
                <c:pt idx="33">
                  <c:v>3.2000000000000028</c:v>
                </c:pt>
                <c:pt idx="34">
                  <c:v>3.2000000000000028</c:v>
                </c:pt>
                <c:pt idx="35">
                  <c:v>3.480000000000004</c:v>
                </c:pt>
                <c:pt idx="36">
                  <c:v>4.2900000000000063</c:v>
                </c:pt>
                <c:pt idx="37">
                  <c:v>4.3300000000000054</c:v>
                </c:pt>
                <c:pt idx="38">
                  <c:v>4.5300000000000011</c:v>
                </c:pt>
                <c:pt idx="39">
                  <c:v>4.6000000000000014</c:v>
                </c:pt>
                <c:pt idx="40">
                  <c:v>4.779999999999994</c:v>
                </c:pt>
                <c:pt idx="41">
                  <c:v>4.8000000000000043</c:v>
                </c:pt>
                <c:pt idx="42">
                  <c:v>5.1999999999999957</c:v>
                </c:pt>
                <c:pt idx="43">
                  <c:v>5.2000000000000028</c:v>
                </c:pt>
                <c:pt idx="44">
                  <c:v>5.2999999999999972</c:v>
                </c:pt>
                <c:pt idx="45">
                  <c:v>5.4000000000000057</c:v>
                </c:pt>
                <c:pt idx="46">
                  <c:v>5.4000000000000057</c:v>
                </c:pt>
                <c:pt idx="47">
                  <c:v>5.4000000000000057</c:v>
                </c:pt>
                <c:pt idx="48">
                  <c:v>5.5</c:v>
                </c:pt>
                <c:pt idx="49">
                  <c:v>5.5400000000000063</c:v>
                </c:pt>
                <c:pt idx="50">
                  <c:v>5.7700000000000031</c:v>
                </c:pt>
                <c:pt idx="51">
                  <c:v>5.93</c:v>
                </c:pt>
                <c:pt idx="52">
                  <c:v>6</c:v>
                </c:pt>
                <c:pt idx="53">
                  <c:v>6.1000000000000014</c:v>
                </c:pt>
                <c:pt idx="54">
                  <c:v>6.2000000000000028</c:v>
                </c:pt>
                <c:pt idx="55">
                  <c:v>6.2750000000000021</c:v>
                </c:pt>
                <c:pt idx="56">
                  <c:v>6.2999999999999972</c:v>
                </c:pt>
                <c:pt idx="57">
                  <c:v>6.3999999999999986</c:v>
                </c:pt>
                <c:pt idx="58">
                  <c:v>6.4000000000000021</c:v>
                </c:pt>
                <c:pt idx="59">
                  <c:v>6.6000000000000014</c:v>
                </c:pt>
                <c:pt idx="60">
                  <c:v>6.7999999999999972</c:v>
                </c:pt>
                <c:pt idx="61">
                  <c:v>6.8000000000000043</c:v>
                </c:pt>
                <c:pt idx="62">
                  <c:v>6.9000000000000021</c:v>
                </c:pt>
                <c:pt idx="63">
                  <c:v>6.9000000000000021</c:v>
                </c:pt>
                <c:pt idx="64">
                  <c:v>7</c:v>
                </c:pt>
                <c:pt idx="65">
                  <c:v>7.0000000000000036</c:v>
                </c:pt>
                <c:pt idx="66">
                  <c:v>7.2710000000000043</c:v>
                </c:pt>
                <c:pt idx="67">
                  <c:v>7.360000000000003</c:v>
                </c:pt>
                <c:pt idx="68">
                  <c:v>7.387000000000004</c:v>
                </c:pt>
                <c:pt idx="69">
                  <c:v>7.6360000000000028</c:v>
                </c:pt>
                <c:pt idx="70">
                  <c:v>8.2000000000000028</c:v>
                </c:pt>
                <c:pt idx="71">
                  <c:v>8.3210000000000015</c:v>
                </c:pt>
                <c:pt idx="72">
                  <c:v>8.6700000000000017</c:v>
                </c:pt>
                <c:pt idx="73">
                  <c:v>8.7000000000000028</c:v>
                </c:pt>
                <c:pt idx="74">
                  <c:v>8.7100000000000044</c:v>
                </c:pt>
                <c:pt idx="75">
                  <c:v>8.8000000000000043</c:v>
                </c:pt>
                <c:pt idx="76">
                  <c:v>9.0000000000000036</c:v>
                </c:pt>
                <c:pt idx="77">
                  <c:v>9.2000000000000028</c:v>
                </c:pt>
                <c:pt idx="78">
                  <c:v>9.3000000000000043</c:v>
                </c:pt>
                <c:pt idx="79">
                  <c:v>9.360000000000003</c:v>
                </c:pt>
                <c:pt idx="80">
                  <c:v>9.4000000000000021</c:v>
                </c:pt>
                <c:pt idx="81">
                  <c:v>9.4000000000000021</c:v>
                </c:pt>
                <c:pt idx="82">
                  <c:v>9.6000000000000014</c:v>
                </c:pt>
                <c:pt idx="83">
                  <c:v>9.7100000000000044</c:v>
                </c:pt>
                <c:pt idx="84">
                  <c:v>9.7200000000000024</c:v>
                </c:pt>
                <c:pt idx="85">
                  <c:v>9.980000000000004</c:v>
                </c:pt>
                <c:pt idx="86">
                  <c:v>10.000000000000004</c:v>
                </c:pt>
                <c:pt idx="87">
                  <c:v>10.100000000000001</c:v>
                </c:pt>
                <c:pt idx="88">
                  <c:v>10.110000000000003</c:v>
                </c:pt>
                <c:pt idx="89">
                  <c:v>10.200000000000003</c:v>
                </c:pt>
                <c:pt idx="90">
                  <c:v>10.280000000000001</c:v>
                </c:pt>
                <c:pt idx="91">
                  <c:v>10.29</c:v>
                </c:pt>
                <c:pt idx="92">
                  <c:v>10.299999999999997</c:v>
                </c:pt>
                <c:pt idx="93">
                  <c:v>10.310000000000002</c:v>
                </c:pt>
                <c:pt idx="94">
                  <c:v>10.400000000000002</c:v>
                </c:pt>
                <c:pt idx="95">
                  <c:v>10.440000000000001</c:v>
                </c:pt>
                <c:pt idx="96">
                  <c:v>10.510000000000002</c:v>
                </c:pt>
                <c:pt idx="97">
                  <c:v>10.650000000000002</c:v>
                </c:pt>
                <c:pt idx="98">
                  <c:v>10.780000000000001</c:v>
                </c:pt>
                <c:pt idx="99">
                  <c:v>10.870000000000005</c:v>
                </c:pt>
                <c:pt idx="100">
                  <c:v>10.950000000000003</c:v>
                </c:pt>
                <c:pt idx="101">
                  <c:v>10.990000000000002</c:v>
                </c:pt>
                <c:pt idx="102">
                  <c:v>11.200000000000003</c:v>
                </c:pt>
                <c:pt idx="103">
                  <c:v>11.200000000000003</c:v>
                </c:pt>
                <c:pt idx="104">
                  <c:v>11.280000000000001</c:v>
                </c:pt>
                <c:pt idx="105">
                  <c:v>11.280000000000001</c:v>
                </c:pt>
                <c:pt idx="106">
                  <c:v>11.330000000000002</c:v>
                </c:pt>
                <c:pt idx="107">
                  <c:v>11.350000000000001</c:v>
                </c:pt>
                <c:pt idx="108">
                  <c:v>11.460000000000004</c:v>
                </c:pt>
                <c:pt idx="109">
                  <c:v>11.520000000000003</c:v>
                </c:pt>
                <c:pt idx="110">
                  <c:v>11.600000000000001</c:v>
                </c:pt>
                <c:pt idx="111">
                  <c:v>11.600000000000001</c:v>
                </c:pt>
                <c:pt idx="112">
                  <c:v>11.640000000000004</c:v>
                </c:pt>
                <c:pt idx="113">
                  <c:v>11.670000000000002</c:v>
                </c:pt>
                <c:pt idx="114">
                  <c:v>11.700000000000003</c:v>
                </c:pt>
                <c:pt idx="115">
                  <c:v>11.800000000000004</c:v>
                </c:pt>
                <c:pt idx="116">
                  <c:v>11.820000000000004</c:v>
                </c:pt>
                <c:pt idx="117">
                  <c:v>12.000000000000004</c:v>
                </c:pt>
                <c:pt idx="118">
                  <c:v>12.030000000000001</c:v>
                </c:pt>
                <c:pt idx="119">
                  <c:v>12.060000000000002</c:v>
                </c:pt>
                <c:pt idx="120">
                  <c:v>12.200000000000003</c:v>
                </c:pt>
                <c:pt idx="121">
                  <c:v>12.300000000000004</c:v>
                </c:pt>
                <c:pt idx="122">
                  <c:v>12.330000000000002</c:v>
                </c:pt>
                <c:pt idx="123">
                  <c:v>12.470000000000002</c:v>
                </c:pt>
                <c:pt idx="124">
                  <c:v>12.600000000000001</c:v>
                </c:pt>
                <c:pt idx="125">
                  <c:v>12.640000000000004</c:v>
                </c:pt>
                <c:pt idx="126">
                  <c:v>12.700000000000003</c:v>
                </c:pt>
                <c:pt idx="127">
                  <c:v>12.870000000000005</c:v>
                </c:pt>
                <c:pt idx="128">
                  <c:v>13.070000000000004</c:v>
                </c:pt>
                <c:pt idx="129">
                  <c:v>13.220000000000002</c:v>
                </c:pt>
                <c:pt idx="130">
                  <c:v>13.300000000000004</c:v>
                </c:pt>
                <c:pt idx="131">
                  <c:v>13.450000000000003</c:v>
                </c:pt>
                <c:pt idx="132">
                  <c:v>13.530000000000001</c:v>
                </c:pt>
                <c:pt idx="133">
                  <c:v>13.590000000000003</c:v>
                </c:pt>
                <c:pt idx="134">
                  <c:v>13.600000000000001</c:v>
                </c:pt>
                <c:pt idx="135">
                  <c:v>13.700000000000003</c:v>
                </c:pt>
                <c:pt idx="136">
                  <c:v>13.700000000000003</c:v>
                </c:pt>
                <c:pt idx="137">
                  <c:v>13.740000000000002</c:v>
                </c:pt>
                <c:pt idx="138">
                  <c:v>13.900000000000002</c:v>
                </c:pt>
                <c:pt idx="139">
                  <c:v>13.920000000000002</c:v>
                </c:pt>
                <c:pt idx="140">
                  <c:v>13.930000000000003</c:v>
                </c:pt>
                <c:pt idx="141">
                  <c:v>14.100000000000001</c:v>
                </c:pt>
                <c:pt idx="142">
                  <c:v>14.200000000000003</c:v>
                </c:pt>
                <c:pt idx="143">
                  <c:v>14.200000000000003</c:v>
                </c:pt>
                <c:pt idx="144">
                  <c:v>14.200000000000003</c:v>
                </c:pt>
                <c:pt idx="145">
                  <c:v>14.280000000000001</c:v>
                </c:pt>
                <c:pt idx="146">
                  <c:v>14.400000000000002</c:v>
                </c:pt>
                <c:pt idx="147">
                  <c:v>14.450000000000003</c:v>
                </c:pt>
                <c:pt idx="148">
                  <c:v>14.500000000000004</c:v>
                </c:pt>
                <c:pt idx="149">
                  <c:v>14.750000000000004</c:v>
                </c:pt>
                <c:pt idx="150">
                  <c:v>14.830000000000002</c:v>
                </c:pt>
                <c:pt idx="151">
                  <c:v>14.830000000000002</c:v>
                </c:pt>
                <c:pt idx="152">
                  <c:v>14.910000000000004</c:v>
                </c:pt>
                <c:pt idx="153">
                  <c:v>15.030000000000001</c:v>
                </c:pt>
                <c:pt idx="154">
                  <c:v>15.220000000000002</c:v>
                </c:pt>
                <c:pt idx="155">
                  <c:v>15.430000000000003</c:v>
                </c:pt>
                <c:pt idx="156">
                  <c:v>15.520000000000003</c:v>
                </c:pt>
                <c:pt idx="157">
                  <c:v>15.800000000000004</c:v>
                </c:pt>
                <c:pt idx="158">
                  <c:v>15.900000000000002</c:v>
                </c:pt>
                <c:pt idx="159">
                  <c:v>16.100000000000001</c:v>
                </c:pt>
                <c:pt idx="160">
                  <c:v>16.210000000000004</c:v>
                </c:pt>
                <c:pt idx="161">
                  <c:v>16.210000000000004</c:v>
                </c:pt>
                <c:pt idx="162">
                  <c:v>16.420000000000002</c:v>
                </c:pt>
                <c:pt idx="163">
                  <c:v>16.500000000000004</c:v>
                </c:pt>
                <c:pt idx="164">
                  <c:v>16.580000000000002</c:v>
                </c:pt>
                <c:pt idx="165">
                  <c:v>16.580000000000002</c:v>
                </c:pt>
                <c:pt idx="166">
                  <c:v>16.600000000000001</c:v>
                </c:pt>
                <c:pt idx="167">
                  <c:v>17.000000000000004</c:v>
                </c:pt>
                <c:pt idx="168">
                  <c:v>17.100000000000001</c:v>
                </c:pt>
                <c:pt idx="169">
                  <c:v>17.270000000000003</c:v>
                </c:pt>
                <c:pt idx="170">
                  <c:v>17.540000000000003</c:v>
                </c:pt>
                <c:pt idx="171">
                  <c:v>18.350000000000001</c:v>
                </c:pt>
                <c:pt idx="172">
                  <c:v>18.400000000000002</c:v>
                </c:pt>
                <c:pt idx="173">
                  <c:v>18.500000000000004</c:v>
                </c:pt>
                <c:pt idx="174">
                  <c:v>19.130000000000003</c:v>
                </c:pt>
                <c:pt idx="175">
                  <c:v>19.870000000000005</c:v>
                </c:pt>
                <c:pt idx="176">
                  <c:v>20.110000000000003</c:v>
                </c:pt>
                <c:pt idx="177">
                  <c:v>20.149999999999999</c:v>
                </c:pt>
                <c:pt idx="178">
                  <c:v>20.160000000000004</c:v>
                </c:pt>
                <c:pt idx="179">
                  <c:v>20.260000000000002</c:v>
                </c:pt>
                <c:pt idx="180">
                  <c:v>20.270000000000003</c:v>
                </c:pt>
                <c:pt idx="181">
                  <c:v>20.860000000000003</c:v>
                </c:pt>
                <c:pt idx="182">
                  <c:v>21.250000000000004</c:v>
                </c:pt>
                <c:pt idx="183">
                  <c:v>21.700000000000003</c:v>
                </c:pt>
                <c:pt idx="184">
                  <c:v>22.200000000000003</c:v>
                </c:pt>
                <c:pt idx="185">
                  <c:v>22.500000000000004</c:v>
                </c:pt>
                <c:pt idx="186">
                  <c:v>22.720000000000002</c:v>
                </c:pt>
                <c:pt idx="187">
                  <c:v>23.700000000000003</c:v>
                </c:pt>
                <c:pt idx="188">
                  <c:v>25.199999999999996</c:v>
                </c:pt>
                <c:pt idx="189">
                  <c:v>25.419999999999995</c:v>
                </c:pt>
                <c:pt idx="190">
                  <c:v>29.099999999999994</c:v>
                </c:pt>
                <c:pt idx="191">
                  <c:v>34.549999999999997</c:v>
                </c:pt>
              </c:numCache>
            </c:numRef>
          </c:yVal>
          <c:smooth val="0"/>
        </c:ser>
        <c:ser>
          <c:idx val="8"/>
          <c:order val="1"/>
          <c:tx>
            <c:v>Threshold</c:v>
          </c:tx>
          <c:spPr>
            <a:ln w="19050">
              <a:solidFill>
                <a:schemeClr val="tx1"/>
              </a:solidFill>
              <a:prstDash val="dash"/>
            </a:ln>
          </c:spPr>
          <c:marker>
            <c:symbol val="none"/>
          </c:marker>
          <c:xVal>
            <c:numRef>
              <c:f>'Surface tension'!$S$32:$S$33</c:f>
              <c:numCache>
                <c:formatCode>General</c:formatCode>
                <c:ptCount val="2"/>
                <c:pt idx="0">
                  <c:v>0</c:v>
                </c:pt>
                <c:pt idx="1">
                  <c:v>80</c:v>
                </c:pt>
              </c:numCache>
            </c:numRef>
          </c:xVal>
          <c:yVal>
            <c:numRef>
              <c:f>'Surface tension'!$T$32:$T$33</c:f>
              <c:numCache>
                <c:formatCode>#,#00</c:formatCode>
                <c:ptCount val="2"/>
                <c:pt idx="0">
                  <c:v>6</c:v>
                </c:pt>
                <c:pt idx="1">
                  <c:v>6</c:v>
                </c:pt>
              </c:numCache>
            </c:numRef>
          </c:yVal>
          <c:smooth val="0"/>
        </c:ser>
        <c:ser>
          <c:idx val="2"/>
          <c:order val="2"/>
          <c:tx>
            <c:strRef>
              <c:f>'Surface tension'!$B$10</c:f>
              <c:strCache>
                <c:ptCount val="1"/>
                <c:pt idx="0">
                  <c:v>Benzonitrile</c:v>
                </c:pt>
              </c:strCache>
            </c:strRef>
          </c:tx>
          <c:spPr>
            <a:ln w="28575">
              <a:noFill/>
            </a:ln>
          </c:spPr>
          <c:marker>
            <c:symbol val="circle"/>
            <c:size val="9"/>
            <c:spPr>
              <a:solidFill>
                <a:schemeClr val="accent6"/>
              </a:solidFill>
              <a:ln>
                <a:noFill/>
              </a:ln>
            </c:spPr>
          </c:marker>
          <c:dLbls>
            <c:showLegendKey val="0"/>
            <c:showVal val="0"/>
            <c:showCatName val="0"/>
            <c:showSerName val="1"/>
            <c:showPercent val="0"/>
            <c:showBubbleSize val="0"/>
            <c:showLeaderLines val="0"/>
          </c:dLbls>
          <c:xVal>
            <c:numRef>
              <c:f>'Surface tension'!$C$10</c:f>
              <c:numCache>
                <c:formatCode>General</c:formatCode>
                <c:ptCount val="1"/>
                <c:pt idx="0">
                  <c:v>38.79</c:v>
                </c:pt>
              </c:numCache>
            </c:numRef>
          </c:xVal>
          <c:yVal>
            <c:numRef>
              <c:f>'Surface tension'!$G$10</c:f>
              <c:numCache>
                <c:formatCode>#,#00</c:formatCode>
                <c:ptCount val="1"/>
                <c:pt idx="0">
                  <c:v>0.58999999999999631</c:v>
                </c:pt>
              </c:numCache>
            </c:numRef>
          </c:yVal>
          <c:smooth val="0"/>
        </c:ser>
        <c:ser>
          <c:idx val="3"/>
          <c:order val="3"/>
          <c:tx>
            <c:strRef>
              <c:f>'Surface tension'!$B$28</c:f>
              <c:strCache>
                <c:ptCount val="1"/>
                <c:pt idx="0">
                  <c:v>NMP</c:v>
                </c:pt>
              </c:strCache>
            </c:strRef>
          </c:tx>
          <c:spPr>
            <a:ln w="28575">
              <a:noFill/>
            </a:ln>
          </c:spPr>
          <c:marker>
            <c:symbol val="circle"/>
            <c:size val="9"/>
            <c:spPr>
              <a:solidFill>
                <a:schemeClr val="accent6"/>
              </a:solidFill>
              <a:ln>
                <a:noFill/>
              </a:ln>
            </c:spPr>
          </c:marker>
          <c:dLbls>
            <c:showLegendKey val="0"/>
            <c:showVal val="0"/>
            <c:showCatName val="0"/>
            <c:showSerName val="1"/>
            <c:showPercent val="0"/>
            <c:showBubbleSize val="0"/>
            <c:showLeaderLines val="0"/>
          </c:dLbls>
          <c:xVal>
            <c:numRef>
              <c:f>'Surface tension'!$C$28</c:f>
              <c:numCache>
                <c:formatCode>General</c:formatCode>
                <c:ptCount val="1"/>
                <c:pt idx="0">
                  <c:v>40.700000000000003</c:v>
                </c:pt>
              </c:numCache>
            </c:numRef>
          </c:xVal>
          <c:yVal>
            <c:numRef>
              <c:f>'Surface tension'!$G$28</c:f>
              <c:numCache>
                <c:formatCode>#,#00</c:formatCode>
                <c:ptCount val="1"/>
                <c:pt idx="0">
                  <c:v>2.5</c:v>
                </c:pt>
              </c:numCache>
            </c:numRef>
          </c:yVal>
          <c:smooth val="0"/>
        </c:ser>
        <c:ser>
          <c:idx val="4"/>
          <c:order val="4"/>
          <c:tx>
            <c:strRef>
              <c:f>'Surface tension'!$B$43</c:f>
              <c:strCache>
                <c:ptCount val="1"/>
                <c:pt idx="0">
                  <c:v>Cyrene</c:v>
                </c:pt>
              </c:strCache>
            </c:strRef>
          </c:tx>
          <c:spPr>
            <a:ln w="28575">
              <a:noFill/>
            </a:ln>
          </c:spPr>
          <c:marker>
            <c:symbol val="circle"/>
            <c:size val="9"/>
            <c:spPr>
              <a:solidFill>
                <a:schemeClr val="accent6"/>
              </a:solidFill>
              <a:ln>
                <a:noFill/>
              </a:ln>
            </c:spPr>
          </c:marker>
          <c:dLbls>
            <c:dLblPos val="l"/>
            <c:showLegendKey val="0"/>
            <c:showVal val="0"/>
            <c:showCatName val="0"/>
            <c:showSerName val="1"/>
            <c:showPercent val="0"/>
            <c:showBubbleSize val="0"/>
            <c:showLeaderLines val="0"/>
          </c:dLbls>
          <c:xVal>
            <c:numRef>
              <c:f>'Surface tension'!$C$43</c:f>
              <c:numCache>
                <c:formatCode>General</c:formatCode>
                <c:ptCount val="1"/>
                <c:pt idx="0">
                  <c:v>33.6</c:v>
                </c:pt>
              </c:numCache>
            </c:numRef>
          </c:xVal>
          <c:yVal>
            <c:numRef>
              <c:f>'Surface tension'!$G$43</c:f>
              <c:numCache>
                <c:formatCode>#,#00</c:formatCode>
                <c:ptCount val="1"/>
                <c:pt idx="0">
                  <c:v>4.6000000000000014</c:v>
                </c:pt>
              </c:numCache>
            </c:numRef>
          </c:yVal>
          <c:smooth val="0"/>
        </c:ser>
        <c:ser>
          <c:idx val="5"/>
          <c:order val="5"/>
          <c:tx>
            <c:strRef>
              <c:f>'Surface tension'!$B$162</c:f>
              <c:strCache>
                <c:ptCount val="1"/>
                <c:pt idx="0">
                  <c:v>Methanol</c:v>
                </c:pt>
              </c:strCache>
            </c:strRef>
          </c:tx>
          <c:spPr>
            <a:ln w="28575">
              <a:noFill/>
            </a:ln>
          </c:spPr>
          <c:marker>
            <c:symbol val="circle"/>
            <c:size val="9"/>
            <c:spPr>
              <a:solidFill>
                <a:schemeClr val="accent6"/>
              </a:solidFill>
              <a:ln>
                <a:noFill/>
              </a:ln>
            </c:spPr>
          </c:marker>
          <c:dLbls>
            <c:showLegendKey val="0"/>
            <c:showVal val="0"/>
            <c:showCatName val="0"/>
            <c:showSerName val="1"/>
            <c:showPercent val="0"/>
            <c:showBubbleSize val="0"/>
            <c:showLeaderLines val="0"/>
          </c:dLbls>
          <c:xVal>
            <c:numRef>
              <c:f>'Surface tension'!$C$162</c:f>
              <c:numCache>
                <c:formatCode>General</c:formatCode>
                <c:ptCount val="1"/>
                <c:pt idx="0">
                  <c:v>22.3</c:v>
                </c:pt>
              </c:numCache>
            </c:numRef>
          </c:xVal>
          <c:yVal>
            <c:numRef>
              <c:f>'Surface tension'!$G$162</c:f>
              <c:numCache>
                <c:formatCode>#,#00</c:formatCode>
                <c:ptCount val="1"/>
                <c:pt idx="0">
                  <c:v>15.900000000000002</c:v>
                </c:pt>
              </c:numCache>
            </c:numRef>
          </c:yVal>
          <c:smooth val="0"/>
        </c:ser>
        <c:ser>
          <c:idx val="6"/>
          <c:order val="6"/>
          <c:tx>
            <c:strRef>
              <c:f>'Surface tension'!$B$195</c:f>
              <c:strCache>
                <c:ptCount val="1"/>
                <c:pt idx="0">
                  <c:v>Water</c:v>
                </c:pt>
              </c:strCache>
            </c:strRef>
          </c:tx>
          <c:spPr>
            <a:ln w="28575">
              <a:noFill/>
            </a:ln>
          </c:spPr>
          <c:marker>
            <c:symbol val="circle"/>
            <c:size val="9"/>
            <c:spPr>
              <a:solidFill>
                <a:schemeClr val="accent6"/>
              </a:solidFill>
              <a:ln>
                <a:noFill/>
              </a:ln>
            </c:spPr>
          </c:marker>
          <c:dLbls>
            <c:showLegendKey val="0"/>
            <c:showVal val="0"/>
            <c:showCatName val="0"/>
            <c:showSerName val="1"/>
            <c:showPercent val="0"/>
            <c:showBubbleSize val="0"/>
            <c:showLeaderLines val="0"/>
          </c:dLbls>
          <c:xVal>
            <c:numRef>
              <c:f>'Surface tension'!$C$195</c:f>
              <c:numCache>
                <c:formatCode>General</c:formatCode>
                <c:ptCount val="1"/>
                <c:pt idx="0">
                  <c:v>72.75</c:v>
                </c:pt>
              </c:numCache>
            </c:numRef>
          </c:xVal>
          <c:yVal>
            <c:numRef>
              <c:f>'Surface tension'!$G$195</c:f>
              <c:numCache>
                <c:formatCode>#,#00</c:formatCode>
                <c:ptCount val="1"/>
                <c:pt idx="0">
                  <c:v>34.549999999999997</c:v>
                </c:pt>
              </c:numCache>
            </c:numRef>
          </c:yVal>
          <c:smooth val="0"/>
        </c:ser>
        <c:ser>
          <c:idx val="1"/>
          <c:order val="7"/>
          <c:tx>
            <c:strRef>
              <c:f>'Surface tension'!$B$36</c:f>
              <c:strCache>
                <c:ptCount val="1"/>
                <c:pt idx="0">
                  <c:v>Butyl lactate</c:v>
                </c:pt>
              </c:strCache>
            </c:strRef>
          </c:tx>
          <c:spPr>
            <a:ln w="28575">
              <a:noFill/>
            </a:ln>
          </c:spPr>
          <c:marker>
            <c:symbol val="circle"/>
            <c:size val="9"/>
            <c:spPr>
              <a:solidFill>
                <a:schemeClr val="accent6"/>
              </a:solidFill>
              <a:ln>
                <a:noFill/>
              </a:ln>
            </c:spPr>
          </c:marker>
          <c:dLbls>
            <c:showLegendKey val="0"/>
            <c:showVal val="0"/>
            <c:showCatName val="0"/>
            <c:showSerName val="1"/>
            <c:showPercent val="0"/>
            <c:showBubbleSize val="0"/>
            <c:showLeaderLines val="0"/>
          </c:dLbls>
          <c:xVal>
            <c:numRef>
              <c:f>'Surface tension'!$C$36</c:f>
              <c:numCache>
                <c:formatCode>General</c:formatCode>
                <c:ptCount val="1"/>
                <c:pt idx="0">
                  <c:v>35</c:v>
                </c:pt>
              </c:numCache>
            </c:numRef>
          </c:xVal>
          <c:yVal>
            <c:numRef>
              <c:f>'Surface tension'!$G$36</c:f>
              <c:numCache>
                <c:formatCode>#,#00</c:formatCode>
                <c:ptCount val="1"/>
                <c:pt idx="0">
                  <c:v>3.2000000000000028</c:v>
                </c:pt>
              </c:numCache>
            </c:numRef>
          </c:yVal>
          <c:smooth val="0"/>
        </c:ser>
        <c:ser>
          <c:idx val="7"/>
          <c:order val="8"/>
          <c:tx>
            <c:strRef>
              <c:f>'Surface tension'!$B$29</c:f>
              <c:strCache>
                <c:ptCount val="1"/>
                <c:pt idx="0">
                  <c:v>Triacetin</c:v>
                </c:pt>
              </c:strCache>
            </c:strRef>
          </c:tx>
          <c:spPr>
            <a:ln w="28575">
              <a:noFill/>
            </a:ln>
          </c:spPr>
          <c:marker>
            <c:symbol val="circle"/>
            <c:size val="9"/>
            <c:spPr>
              <a:solidFill>
                <a:schemeClr val="accent6"/>
              </a:solidFill>
              <a:ln>
                <a:noFill/>
              </a:ln>
            </c:spPr>
          </c:marker>
          <c:dLbls>
            <c:dLblPos val="l"/>
            <c:showLegendKey val="0"/>
            <c:showVal val="0"/>
            <c:showCatName val="0"/>
            <c:showSerName val="1"/>
            <c:showPercent val="0"/>
            <c:showBubbleSize val="0"/>
            <c:showLeaderLines val="0"/>
          </c:dLbls>
          <c:xVal>
            <c:numRef>
              <c:f>'Surface tension'!$C$29</c:f>
              <c:numCache>
                <c:formatCode>General</c:formatCode>
                <c:ptCount val="1"/>
                <c:pt idx="0">
                  <c:v>35.520000000000003</c:v>
                </c:pt>
              </c:numCache>
            </c:numRef>
          </c:xVal>
          <c:yVal>
            <c:numRef>
              <c:f>'Surface tension'!$G$29</c:f>
              <c:numCache>
                <c:formatCode>#,#00</c:formatCode>
                <c:ptCount val="1"/>
                <c:pt idx="0">
                  <c:v>2.6799999999999997</c:v>
                </c:pt>
              </c:numCache>
            </c:numRef>
          </c:yVal>
          <c:smooth val="0"/>
        </c:ser>
        <c:dLbls>
          <c:showLegendKey val="0"/>
          <c:showVal val="0"/>
          <c:showCatName val="0"/>
          <c:showSerName val="0"/>
          <c:showPercent val="0"/>
          <c:showBubbleSize val="0"/>
        </c:dLbls>
        <c:axId val="316242944"/>
        <c:axId val="316482304"/>
      </c:scatterChart>
      <c:valAx>
        <c:axId val="316242944"/>
        <c:scaling>
          <c:orientation val="minMax"/>
          <c:max val="80"/>
          <c:min val="0"/>
        </c:scaling>
        <c:delete val="0"/>
        <c:axPos val="b"/>
        <c:title>
          <c:tx>
            <c:rich>
              <a:bodyPr/>
              <a:lstStyle/>
              <a:p>
                <a:pPr>
                  <a:defRPr sz="1500"/>
                </a:pPr>
                <a:r>
                  <a:rPr lang="en-US" sz="1500"/>
                  <a:t>Surface tension (dynes/cm)</a:t>
                </a:r>
              </a:p>
            </c:rich>
          </c:tx>
          <c:layout>
            <c:manualLayout>
              <c:xMode val="edge"/>
              <c:yMode val="edge"/>
              <c:x val="0.42007358669207445"/>
              <c:y val="0.92543869472454765"/>
            </c:manualLayout>
          </c:layout>
          <c:overlay val="0"/>
        </c:title>
        <c:numFmt formatCode="General" sourceLinked="1"/>
        <c:majorTickMark val="out"/>
        <c:minorTickMark val="none"/>
        <c:tickLblPos val="nextTo"/>
        <c:crossAx val="316482304"/>
        <c:crossesAt val="-10"/>
        <c:crossBetween val="midCat"/>
        <c:majorUnit val="10"/>
      </c:valAx>
      <c:valAx>
        <c:axId val="316482304"/>
        <c:scaling>
          <c:orientation val="minMax"/>
          <c:max val="35"/>
          <c:min val="-5"/>
        </c:scaling>
        <c:delete val="0"/>
        <c:axPos val="l"/>
        <c:title>
          <c:tx>
            <c:rich>
              <a:bodyPr rot="-5400000" vert="horz"/>
              <a:lstStyle/>
              <a:p>
                <a:pPr>
                  <a:defRPr sz="1500"/>
                </a:pPr>
                <a:r>
                  <a:rPr lang="en-US" sz="1500"/>
                  <a:t>Surface tension target matching</a:t>
                </a:r>
              </a:p>
            </c:rich>
          </c:tx>
          <c:layout>
            <c:manualLayout>
              <c:xMode val="edge"/>
              <c:yMode val="edge"/>
              <c:x val="9.0149690192835481E-3"/>
              <c:y val="0.1835205573086201"/>
            </c:manualLayout>
          </c:layout>
          <c:overlay val="0"/>
        </c:title>
        <c:numFmt formatCode="#,#00" sourceLinked="1"/>
        <c:majorTickMark val="out"/>
        <c:minorTickMark val="none"/>
        <c:tickLblPos val="nextTo"/>
        <c:crossAx val="316242944"/>
        <c:crosses val="autoZero"/>
        <c:crossBetween val="midCat"/>
        <c:majorUnit val="5"/>
      </c:val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32296431659853"/>
          <c:y val="5.8666666666666666E-2"/>
          <c:w val="0.76464907168102936"/>
          <c:h val="0.88266666666666671"/>
        </c:manualLayout>
      </c:layout>
      <c:scatterChart>
        <c:scatterStyle val="lineMarker"/>
        <c:varyColors val="0"/>
        <c:ser>
          <c:idx val="1"/>
          <c:order val="0"/>
          <c:tx>
            <c:strRef>
              <c:f>'Final decision'!$O$7</c:f>
              <c:strCache>
                <c:ptCount val="1"/>
                <c:pt idx="0">
                  <c:v>LD50 oral (mg/kg, rat)</c:v>
                </c:pt>
              </c:strCache>
            </c:strRef>
          </c:tx>
          <c:spPr>
            <a:ln w="28575">
              <a:noFill/>
            </a:ln>
          </c:spPr>
          <c:marker>
            <c:symbol val="circle"/>
            <c:size val="8"/>
            <c:spPr>
              <a:noFill/>
              <a:ln w="25400">
                <a:solidFill>
                  <a:srgbClr val="FF0000"/>
                </a:solidFill>
              </a:ln>
            </c:spPr>
          </c:marker>
          <c:dPt>
            <c:idx val="4"/>
            <c:bubble3D val="0"/>
          </c:dPt>
          <c:dPt>
            <c:idx val="5"/>
            <c:marker>
              <c:spPr>
                <a:solidFill>
                  <a:schemeClr val="accent2">
                    <a:lumMod val="40000"/>
                    <a:lumOff val="60000"/>
                  </a:schemeClr>
                </a:solidFill>
                <a:ln w="19050">
                  <a:solidFill>
                    <a:srgbClr val="FF0000"/>
                  </a:solidFill>
                </a:ln>
              </c:spPr>
            </c:marker>
            <c:bubble3D val="0"/>
          </c:dPt>
          <c:dPt>
            <c:idx val="6"/>
            <c:bubble3D val="0"/>
          </c:dPt>
          <c:dPt>
            <c:idx val="7"/>
            <c:bubble3D val="0"/>
          </c:dPt>
          <c:xVal>
            <c:numRef>
              <c:f>'Final decision'!$K$84:$K$91</c:f>
              <c:numCache>
                <c:formatCode>General</c:formatCode>
                <c:ptCount val="8"/>
                <c:pt idx="0">
                  <c:v>2</c:v>
                </c:pt>
                <c:pt idx="1">
                  <c:v>3</c:v>
                </c:pt>
                <c:pt idx="2">
                  <c:v>4</c:v>
                </c:pt>
                <c:pt idx="3">
                  <c:v>5</c:v>
                </c:pt>
                <c:pt idx="4">
                  <c:v>6</c:v>
                </c:pt>
                <c:pt idx="5">
                  <c:v>7</c:v>
                </c:pt>
                <c:pt idx="6">
                  <c:v>8</c:v>
                </c:pt>
                <c:pt idx="7">
                  <c:v>9</c:v>
                </c:pt>
              </c:numCache>
            </c:numRef>
          </c:xVal>
          <c:yVal>
            <c:numRef>
              <c:f>'Final decision'!$O$8:$O$15</c:f>
              <c:numCache>
                <c:formatCode>General</c:formatCode>
                <c:ptCount val="8"/>
                <c:pt idx="0">
                  <c:v>500</c:v>
                </c:pt>
                <c:pt idx="1">
                  <c:v>971</c:v>
                </c:pt>
                <c:pt idx="2">
                  <c:v>2000</c:v>
                </c:pt>
                <c:pt idx="3">
                  <c:v>1535</c:v>
                </c:pt>
                <c:pt idx="4">
                  <c:v>1180</c:v>
                </c:pt>
                <c:pt idx="5">
                  <c:v>2000</c:v>
                </c:pt>
                <c:pt idx="6">
                  <c:v>891</c:v>
                </c:pt>
                <c:pt idx="7">
                  <c:v>3000</c:v>
                </c:pt>
              </c:numCache>
            </c:numRef>
          </c:yVal>
          <c:smooth val="0"/>
        </c:ser>
        <c:ser>
          <c:idx val="2"/>
          <c:order val="1"/>
          <c:tx>
            <c:v>CLP limit</c:v>
          </c:tx>
          <c:marker>
            <c:symbol val="none"/>
          </c:marker>
          <c:xVal>
            <c:numRef>
              <c:f>'Final decision'!$L$57:$L$58</c:f>
              <c:numCache>
                <c:formatCode>General</c:formatCode>
                <c:ptCount val="2"/>
                <c:pt idx="0">
                  <c:v>2</c:v>
                </c:pt>
                <c:pt idx="1">
                  <c:v>10</c:v>
                </c:pt>
              </c:numCache>
            </c:numRef>
          </c:xVal>
          <c:yVal>
            <c:numRef>
              <c:f>('Final decision'!$O$25,'Final decision'!$O$25)</c:f>
              <c:numCache>
                <c:formatCode>General</c:formatCode>
                <c:ptCount val="2"/>
                <c:pt idx="0">
                  <c:v>2000</c:v>
                </c:pt>
                <c:pt idx="1">
                  <c:v>2000</c:v>
                </c:pt>
              </c:numCache>
            </c:numRef>
          </c:yVal>
          <c:smooth val="0"/>
        </c:ser>
        <c:ser>
          <c:idx val="3"/>
          <c:order val="2"/>
          <c:tx>
            <c:v>NMP</c:v>
          </c:tx>
          <c:xVal>
            <c:numRef>
              <c:f>'Final decision'!$L$84</c:f>
              <c:numCache>
                <c:formatCode>General</c:formatCode>
                <c:ptCount val="1"/>
                <c:pt idx="0">
                  <c:v>10</c:v>
                </c:pt>
              </c:numCache>
            </c:numRef>
          </c:xVal>
          <c:yVal>
            <c:numRef>
              <c:f>'Final decision'!$O$22</c:f>
              <c:numCache>
                <c:formatCode>General</c:formatCode>
                <c:ptCount val="1"/>
                <c:pt idx="0">
                  <c:v>3914</c:v>
                </c:pt>
              </c:numCache>
            </c:numRef>
          </c:yVal>
          <c:smooth val="0"/>
        </c:ser>
        <c:dLbls>
          <c:showLegendKey val="0"/>
          <c:showVal val="0"/>
          <c:showCatName val="0"/>
          <c:showSerName val="0"/>
          <c:showPercent val="0"/>
          <c:showBubbleSize val="0"/>
        </c:dLbls>
        <c:axId val="315332480"/>
        <c:axId val="315334016"/>
      </c:scatterChart>
      <c:valAx>
        <c:axId val="315332480"/>
        <c:scaling>
          <c:orientation val="minMax"/>
          <c:max val="10"/>
          <c:min val="1"/>
        </c:scaling>
        <c:delete val="1"/>
        <c:axPos val="b"/>
        <c:numFmt formatCode="General" sourceLinked="1"/>
        <c:majorTickMark val="out"/>
        <c:minorTickMark val="none"/>
        <c:tickLblPos val="nextTo"/>
        <c:crossAx val="315334016"/>
        <c:crossesAt val="-2"/>
        <c:crossBetween val="midCat"/>
      </c:valAx>
      <c:valAx>
        <c:axId val="315334016"/>
        <c:scaling>
          <c:orientation val="minMax"/>
          <c:max val="4000"/>
        </c:scaling>
        <c:delete val="0"/>
        <c:axPos val="l"/>
        <c:title>
          <c:tx>
            <c:rich>
              <a:bodyPr rot="-5400000" vert="horz"/>
              <a:lstStyle/>
              <a:p>
                <a:pPr>
                  <a:defRPr sz="1400" b="0"/>
                </a:pPr>
                <a:r>
                  <a:rPr lang="en-US" sz="1400" b="0"/>
                  <a:t>LD</a:t>
                </a:r>
                <a:r>
                  <a:rPr lang="en-US" sz="1400" b="0" baseline="-25000"/>
                  <a:t>50</a:t>
                </a:r>
                <a:r>
                  <a:rPr lang="en-US" sz="1400" b="0"/>
                  <a:t> (mg/kg)</a:t>
                </a:r>
              </a:p>
            </c:rich>
          </c:tx>
          <c:layout>
            <c:manualLayout>
              <c:xMode val="edge"/>
              <c:yMode val="edge"/>
              <c:x val="1.1922202615969636E-2"/>
              <c:y val="0.30299968503937008"/>
            </c:manualLayout>
          </c:layout>
          <c:overlay val="0"/>
        </c:title>
        <c:numFmt formatCode="General" sourceLinked="1"/>
        <c:majorTickMark val="out"/>
        <c:minorTickMark val="none"/>
        <c:tickLblPos val="nextTo"/>
        <c:crossAx val="315332480"/>
        <c:crosses val="autoZero"/>
        <c:crossBetween val="midCat"/>
        <c:majorUnit val="1000"/>
      </c:valAx>
    </c:plotArea>
    <c:legend>
      <c:legendPos val="r"/>
      <c:legendEntry>
        <c:idx val="1"/>
        <c:delete val="1"/>
      </c:legendEntry>
      <c:legendEntry>
        <c:idx val="2"/>
        <c:delete val="1"/>
      </c:legendEntry>
      <c:layout>
        <c:manualLayout>
          <c:xMode val="edge"/>
          <c:yMode val="edge"/>
          <c:x val="0.71492101951904363"/>
          <c:y val="0.87311202099737528"/>
          <c:w val="0.26378206113378783"/>
          <c:h val="9.6442204724409453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902887139107605E-2"/>
          <c:y val="3.3913771730361919E-2"/>
          <c:w val="0.88349999999999995"/>
          <c:h val="0.84346304351501777"/>
        </c:manualLayout>
      </c:layout>
      <c:scatterChart>
        <c:scatterStyle val="lineMarker"/>
        <c:varyColors val="0"/>
        <c:ser>
          <c:idx val="0"/>
          <c:order val="0"/>
          <c:spPr>
            <a:ln w="28575">
              <a:noFill/>
            </a:ln>
          </c:spPr>
          <c:marker>
            <c:symbol val="circle"/>
            <c:size val="7"/>
            <c:spPr>
              <a:solidFill>
                <a:srgbClr val="00B050"/>
              </a:solidFill>
              <a:ln>
                <a:noFill/>
              </a:ln>
            </c:spPr>
          </c:marker>
          <c:dPt>
            <c:idx val="10"/>
            <c:marker>
              <c:spPr>
                <a:solidFill>
                  <a:srgbClr val="00B050"/>
                </a:solidFill>
                <a:ln w="12700">
                  <a:solidFill>
                    <a:schemeClr val="tx1"/>
                  </a:solidFill>
                </a:ln>
              </c:spPr>
            </c:marker>
            <c:bubble3D val="0"/>
          </c:dPt>
          <c:dPt>
            <c:idx val="15"/>
            <c:marker>
              <c:spPr>
                <a:solidFill>
                  <a:srgbClr val="00B050"/>
                </a:solidFill>
                <a:ln w="12700">
                  <a:solidFill>
                    <a:schemeClr val="tx1"/>
                  </a:solidFill>
                </a:ln>
              </c:spPr>
            </c:marker>
            <c:bubble3D val="0"/>
          </c:dPt>
          <c:dPt>
            <c:idx val="21"/>
            <c:marker>
              <c:spPr>
                <a:solidFill>
                  <a:srgbClr val="00B050"/>
                </a:solidFill>
                <a:ln w="12700">
                  <a:solidFill>
                    <a:schemeClr val="tx1"/>
                  </a:solidFill>
                </a:ln>
              </c:spPr>
            </c:marker>
            <c:bubble3D val="0"/>
          </c:dPt>
          <c:xVal>
            <c:numRef>
              <c:f>'Preliminary shortlist'!$T$11:$T$39</c:f>
              <c:numCache>
                <c:formatCode>General</c:formatCode>
                <c:ptCount val="29"/>
                <c:pt idx="0">
                  <c:v>0</c:v>
                </c:pt>
                <c:pt idx="1">
                  <c:v>-0.20000000000000284</c:v>
                </c:pt>
                <c:pt idx="2">
                  <c:v>-0.5</c:v>
                </c:pt>
                <c:pt idx="3">
                  <c:v>0.58999999999999631</c:v>
                </c:pt>
                <c:pt idx="4">
                  <c:v>-0.70000000000000284</c:v>
                </c:pt>
                <c:pt idx="5">
                  <c:v>-0.70000000000000284</c:v>
                </c:pt>
                <c:pt idx="6">
                  <c:v>-1.2000000000000028</c:v>
                </c:pt>
                <c:pt idx="7">
                  <c:v>1.5</c:v>
                </c:pt>
                <c:pt idx="8">
                  <c:v>-1.5900000000000034</c:v>
                </c:pt>
                <c:pt idx="9">
                  <c:v>1.5999999999999943</c:v>
                </c:pt>
                <c:pt idx="10">
                  <c:v>-1.6000000000000014</c:v>
                </c:pt>
                <c:pt idx="11">
                  <c:v>-2.2000000000000028</c:v>
                </c:pt>
                <c:pt idx="12">
                  <c:v>2.5</c:v>
                </c:pt>
                <c:pt idx="13">
                  <c:v>-2.6799999999999997</c:v>
                </c:pt>
                <c:pt idx="14">
                  <c:v>2.9199999999999946</c:v>
                </c:pt>
                <c:pt idx="15">
                  <c:v>-3.1500000000000057</c:v>
                </c:pt>
                <c:pt idx="16">
                  <c:v>-3.2000000000000028</c:v>
                </c:pt>
                <c:pt idx="17">
                  <c:v>-3.2000000000000028</c:v>
                </c:pt>
                <c:pt idx="18">
                  <c:v>-3.2000000000000028</c:v>
                </c:pt>
                <c:pt idx="19">
                  <c:v>-3.480000000000004</c:v>
                </c:pt>
                <c:pt idx="20">
                  <c:v>-4.3300000000000054</c:v>
                </c:pt>
                <c:pt idx="21">
                  <c:v>-4.6000000000000014</c:v>
                </c:pt>
                <c:pt idx="22">
                  <c:v>-4.8000000000000043</c:v>
                </c:pt>
                <c:pt idx="23">
                  <c:v>5.1999999999999957</c:v>
                </c:pt>
                <c:pt idx="24">
                  <c:v>5.2999999999999972</c:v>
                </c:pt>
                <c:pt idx="25">
                  <c:v>-5.4000000000000057</c:v>
                </c:pt>
                <c:pt idx="26">
                  <c:v>-5.7700000000000031</c:v>
                </c:pt>
                <c:pt idx="27">
                  <c:v>-6</c:v>
                </c:pt>
                <c:pt idx="28">
                  <c:v>-5.5</c:v>
                </c:pt>
              </c:numCache>
            </c:numRef>
          </c:xVal>
          <c:yVal>
            <c:numRef>
              <c:f>'Preliminary shortlist'!$U$11:$U$39</c:f>
              <c:numCache>
                <c:formatCode>#,#00</c:formatCode>
                <c:ptCount val="29"/>
                <c:pt idx="0">
                  <c:v>3.66</c:v>
                </c:pt>
                <c:pt idx="1">
                  <c:v>4.1500000000000004</c:v>
                </c:pt>
                <c:pt idx="2">
                  <c:v>5.26</c:v>
                </c:pt>
                <c:pt idx="3">
                  <c:v>5.4</c:v>
                </c:pt>
                <c:pt idx="4">
                  <c:v>5.5</c:v>
                </c:pt>
                <c:pt idx="5">
                  <c:v>3.31</c:v>
                </c:pt>
                <c:pt idx="6">
                  <c:v>5.33</c:v>
                </c:pt>
                <c:pt idx="7" formatCode="General">
                  <c:v>6.17</c:v>
                </c:pt>
                <c:pt idx="8">
                  <c:v>4.07</c:v>
                </c:pt>
                <c:pt idx="9">
                  <c:v>4.04</c:v>
                </c:pt>
                <c:pt idx="10">
                  <c:v>2.74</c:v>
                </c:pt>
                <c:pt idx="11">
                  <c:v>5.76</c:v>
                </c:pt>
                <c:pt idx="12">
                  <c:v>3.04</c:v>
                </c:pt>
                <c:pt idx="13">
                  <c:v>5.83</c:v>
                </c:pt>
                <c:pt idx="14">
                  <c:v>6.49</c:v>
                </c:pt>
                <c:pt idx="15">
                  <c:v>2.78</c:v>
                </c:pt>
                <c:pt idx="16">
                  <c:v>5.78</c:v>
                </c:pt>
                <c:pt idx="17">
                  <c:v>5.81</c:v>
                </c:pt>
                <c:pt idx="18">
                  <c:v>4.9800000000000004</c:v>
                </c:pt>
                <c:pt idx="19">
                  <c:v>5.0999999999999996</c:v>
                </c:pt>
                <c:pt idx="20">
                  <c:v>5.28</c:v>
                </c:pt>
                <c:pt idx="21">
                  <c:v>2.2113344387495983</c:v>
                </c:pt>
                <c:pt idx="22">
                  <c:v>3.61</c:v>
                </c:pt>
                <c:pt idx="23">
                  <c:v>6.23</c:v>
                </c:pt>
                <c:pt idx="24">
                  <c:v>6.29</c:v>
                </c:pt>
                <c:pt idx="25">
                  <c:v>5.45</c:v>
                </c:pt>
                <c:pt idx="26">
                  <c:v>3.67</c:v>
                </c:pt>
                <c:pt idx="27">
                  <c:v>4.07</c:v>
                </c:pt>
                <c:pt idx="28">
                  <c:v>5.29</c:v>
                </c:pt>
              </c:numCache>
            </c:numRef>
          </c:yVal>
          <c:smooth val="0"/>
        </c:ser>
        <c:ser>
          <c:idx val="1"/>
          <c:order val="1"/>
          <c:tx>
            <c:v>NMP</c:v>
          </c:tx>
          <c:spPr>
            <a:ln w="28575">
              <a:noFill/>
            </a:ln>
          </c:spPr>
          <c:marker>
            <c:symbol val="square"/>
            <c:size val="8"/>
            <c:spPr>
              <a:solidFill>
                <a:srgbClr val="7030A0"/>
              </a:solidFill>
              <a:ln>
                <a:noFill/>
              </a:ln>
            </c:spPr>
          </c:marker>
          <c:dLbls>
            <c:dLblPos val="t"/>
            <c:showLegendKey val="0"/>
            <c:showVal val="0"/>
            <c:showCatName val="0"/>
            <c:showSerName val="1"/>
            <c:showPercent val="0"/>
            <c:showBubbleSize val="0"/>
            <c:showLeaderLines val="0"/>
          </c:dLbls>
          <c:xVal>
            <c:numRef>
              <c:f>'Preliminary shortlist'!$T$23</c:f>
              <c:numCache>
                <c:formatCode>General</c:formatCode>
                <c:ptCount val="1"/>
                <c:pt idx="0">
                  <c:v>2.5</c:v>
                </c:pt>
              </c:numCache>
            </c:numRef>
          </c:xVal>
          <c:yVal>
            <c:numRef>
              <c:f>'Preliminary shortlist'!$U$23</c:f>
              <c:numCache>
                <c:formatCode>#,#00</c:formatCode>
                <c:ptCount val="1"/>
                <c:pt idx="0">
                  <c:v>3.04</c:v>
                </c:pt>
              </c:numCache>
            </c:numRef>
          </c:yVal>
          <c:smooth val="0"/>
        </c:ser>
        <c:ser>
          <c:idx val="2"/>
          <c:order val="2"/>
          <c:tx>
            <c:strRef>
              <c:f>'Preliminary shortlist'!$P$32</c:f>
              <c:strCache>
                <c:ptCount val="1"/>
                <c:pt idx="0">
                  <c:v>Cyrene</c:v>
                </c:pt>
              </c:strCache>
            </c:strRef>
          </c:tx>
          <c:spPr>
            <a:ln w="28575">
              <a:noFill/>
            </a:ln>
          </c:spPr>
          <c:marker>
            <c:symbol val="none"/>
          </c:marker>
          <c:dLbls>
            <c:dLblPos val="b"/>
            <c:showLegendKey val="0"/>
            <c:showVal val="0"/>
            <c:showCatName val="0"/>
            <c:showSerName val="1"/>
            <c:showPercent val="0"/>
            <c:showBubbleSize val="0"/>
            <c:showLeaderLines val="0"/>
          </c:dLbls>
          <c:xVal>
            <c:numRef>
              <c:f>'Preliminary shortlist'!$T$32</c:f>
              <c:numCache>
                <c:formatCode>General</c:formatCode>
                <c:ptCount val="1"/>
                <c:pt idx="0">
                  <c:v>-4.6000000000000014</c:v>
                </c:pt>
              </c:numCache>
            </c:numRef>
          </c:xVal>
          <c:yVal>
            <c:numRef>
              <c:f>'Preliminary shortlist'!$U$32</c:f>
              <c:numCache>
                <c:formatCode>#,#00</c:formatCode>
                <c:ptCount val="1"/>
                <c:pt idx="0">
                  <c:v>2.2113344387495983</c:v>
                </c:pt>
              </c:numCache>
            </c:numRef>
          </c:yVal>
          <c:smooth val="0"/>
        </c:ser>
        <c:ser>
          <c:idx val="3"/>
          <c:order val="3"/>
          <c:tx>
            <c:strRef>
              <c:f>'Preliminary shortlist'!$P$21</c:f>
              <c:strCache>
                <c:ptCount val="1"/>
                <c:pt idx="0">
                  <c:v>Pyridine</c:v>
                </c:pt>
              </c:strCache>
            </c:strRef>
          </c:tx>
          <c:spPr>
            <a:ln w="28575">
              <a:noFill/>
            </a:ln>
          </c:spPr>
          <c:marker>
            <c:symbol val="none"/>
          </c:marker>
          <c:dLbls>
            <c:dLblPos val="b"/>
            <c:showLegendKey val="0"/>
            <c:showVal val="0"/>
            <c:showCatName val="0"/>
            <c:showSerName val="1"/>
            <c:showPercent val="0"/>
            <c:showBubbleSize val="0"/>
            <c:showLeaderLines val="0"/>
          </c:dLbls>
          <c:xVal>
            <c:numRef>
              <c:f>'Preliminary shortlist'!$T$21</c:f>
              <c:numCache>
                <c:formatCode>General</c:formatCode>
                <c:ptCount val="1"/>
                <c:pt idx="0">
                  <c:v>-1.6000000000000014</c:v>
                </c:pt>
              </c:numCache>
            </c:numRef>
          </c:xVal>
          <c:yVal>
            <c:numRef>
              <c:f>'Preliminary shortlist'!$U$21</c:f>
              <c:numCache>
                <c:formatCode>#,#00</c:formatCode>
                <c:ptCount val="1"/>
                <c:pt idx="0">
                  <c:v>2.74</c:v>
                </c:pt>
              </c:numCache>
            </c:numRef>
          </c:yVal>
          <c:smooth val="0"/>
        </c:ser>
        <c:ser>
          <c:idx val="4"/>
          <c:order val="4"/>
          <c:tx>
            <c:strRef>
              <c:f>'Preliminary shortlist'!$P$26</c:f>
              <c:strCache>
                <c:ptCount val="1"/>
                <c:pt idx="0">
                  <c:v>Cyclohexanone</c:v>
                </c:pt>
              </c:strCache>
            </c:strRef>
          </c:tx>
          <c:spPr>
            <a:ln w="28575">
              <a:noFill/>
            </a:ln>
          </c:spPr>
          <c:marker>
            <c:symbol val="none"/>
          </c:marker>
          <c:dLbls>
            <c:dLblPos val="t"/>
            <c:showLegendKey val="0"/>
            <c:showVal val="0"/>
            <c:showCatName val="0"/>
            <c:showSerName val="1"/>
            <c:showPercent val="0"/>
            <c:showBubbleSize val="0"/>
            <c:showLeaderLines val="0"/>
          </c:dLbls>
          <c:xVal>
            <c:numRef>
              <c:f>'Preliminary shortlist'!$T$26</c:f>
              <c:numCache>
                <c:formatCode>General</c:formatCode>
                <c:ptCount val="1"/>
                <c:pt idx="0">
                  <c:v>-3.1500000000000057</c:v>
                </c:pt>
              </c:numCache>
            </c:numRef>
          </c:xVal>
          <c:yVal>
            <c:numRef>
              <c:f>'Preliminary shortlist'!$U$26</c:f>
              <c:numCache>
                <c:formatCode>#,#00</c:formatCode>
                <c:ptCount val="1"/>
                <c:pt idx="0">
                  <c:v>2.78</c:v>
                </c:pt>
              </c:numCache>
            </c:numRef>
          </c:yVal>
          <c:smooth val="0"/>
        </c:ser>
        <c:dLbls>
          <c:showLegendKey val="0"/>
          <c:showVal val="0"/>
          <c:showCatName val="0"/>
          <c:showSerName val="0"/>
          <c:showPercent val="0"/>
          <c:showBubbleSize val="0"/>
        </c:dLbls>
        <c:axId val="332919552"/>
        <c:axId val="332922240"/>
      </c:scatterChart>
      <c:valAx>
        <c:axId val="332919552"/>
        <c:scaling>
          <c:orientation val="minMax"/>
          <c:max val="6"/>
          <c:min val="-6"/>
        </c:scaling>
        <c:delete val="0"/>
        <c:axPos val="b"/>
        <c:title>
          <c:tx>
            <c:rich>
              <a:bodyPr/>
              <a:lstStyle/>
              <a:p>
                <a:pPr>
                  <a:defRPr sz="1400"/>
                </a:pPr>
                <a:r>
                  <a:rPr lang="el-GR" sz="1400"/>
                  <a:t>Δ</a:t>
                </a:r>
                <a:r>
                  <a:rPr lang="en-US" sz="1400"/>
                  <a:t>Surface energy /mN m</a:t>
                </a:r>
                <a:r>
                  <a:rPr lang="en-US" sz="1400" baseline="30000"/>
                  <a:t>-1</a:t>
                </a:r>
              </a:p>
            </c:rich>
          </c:tx>
          <c:layout>
            <c:manualLayout>
              <c:xMode val="edge"/>
              <c:yMode val="edge"/>
              <c:x val="0.40357637795275592"/>
              <c:y val="0.94439086105967185"/>
            </c:manualLayout>
          </c:layout>
          <c:overlay val="0"/>
        </c:title>
        <c:numFmt formatCode="#,##0.0" sourceLinked="0"/>
        <c:majorTickMark val="out"/>
        <c:minorTickMark val="none"/>
        <c:tickLblPos val="nextTo"/>
        <c:crossAx val="332922240"/>
        <c:crosses val="autoZero"/>
        <c:crossBetween val="midCat"/>
        <c:majorUnit val="1"/>
      </c:valAx>
      <c:valAx>
        <c:axId val="332922240"/>
        <c:scaling>
          <c:orientation val="minMax"/>
          <c:max val="6.5"/>
          <c:min val="0"/>
        </c:scaling>
        <c:delete val="0"/>
        <c:axPos val="l"/>
        <c:title>
          <c:tx>
            <c:rich>
              <a:bodyPr rot="-5400000" vert="horz"/>
              <a:lstStyle/>
              <a:p>
                <a:pPr>
                  <a:defRPr sz="1400"/>
                </a:pPr>
                <a:r>
                  <a:rPr lang="en-US" sz="1400"/>
                  <a:t>Hansen radius /MPa</a:t>
                </a:r>
                <a:r>
                  <a:rPr lang="en-US" sz="1400" baseline="30000"/>
                  <a:t>½</a:t>
                </a:r>
              </a:p>
            </c:rich>
          </c:tx>
          <c:layout>
            <c:manualLayout>
              <c:xMode val="edge"/>
              <c:yMode val="edge"/>
              <c:x val="1.0555511811023622E-2"/>
              <c:y val="0.30109318681544872"/>
            </c:manualLayout>
          </c:layout>
          <c:overlay val="0"/>
        </c:title>
        <c:numFmt formatCode="#,#00" sourceLinked="1"/>
        <c:majorTickMark val="out"/>
        <c:minorTickMark val="none"/>
        <c:tickLblPos val="nextTo"/>
        <c:crossAx val="332919552"/>
        <c:crosses val="autoZero"/>
        <c:crossBetween val="midCat"/>
        <c:majorUnit val="0.5"/>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7055656086837E-2"/>
          <c:y val="4.0668570274869489E-2"/>
          <c:w val="0.89187704123222999"/>
          <c:h val="0.76753050099506792"/>
        </c:manualLayout>
      </c:layout>
      <c:scatterChart>
        <c:scatterStyle val="lineMarker"/>
        <c:varyColors val="0"/>
        <c:ser>
          <c:idx val="0"/>
          <c:order val="0"/>
          <c:spPr>
            <a:ln w="28575">
              <a:noFill/>
            </a:ln>
          </c:spPr>
          <c:xVal>
            <c:numRef>
              <c:f>'Viscosity and density'!$F$4:$F$202</c:f>
              <c:numCache>
                <c:formatCode>0.00</c:formatCode>
                <c:ptCount val="199"/>
                <c:pt idx="0">
                  <c:v>2.9795483747040952</c:v>
                </c:pt>
                <c:pt idx="1">
                  <c:v>2.0293837776852097</c:v>
                </c:pt>
                <c:pt idx="2">
                  <c:v>1.9925535178321356</c:v>
                </c:pt>
                <c:pt idx="3">
                  <c:v>1.9289076902439528</c:v>
                </c:pt>
                <c:pt idx="4">
                  <c:v>1.9294189257142926</c:v>
                </c:pt>
                <c:pt idx="5">
                  <c:v>1.7916906490201179</c:v>
                </c:pt>
                <c:pt idx="6">
                  <c:v>1.7481880270062005</c:v>
                </c:pt>
                <c:pt idx="7">
                  <c:v>1.6901960800285136</c:v>
                </c:pt>
                <c:pt idx="8">
                  <c:v>1.6304278750250238</c:v>
                </c:pt>
                <c:pt idx="9">
                  <c:v>1.5622928644564746</c:v>
                </c:pt>
                <c:pt idx="10">
                  <c:v>1.5854607295085006</c:v>
                </c:pt>
                <c:pt idx="11">
                  <c:v>1.546542663478131</c:v>
                </c:pt>
                <c:pt idx="12">
                  <c:v>1.4082399653118496</c:v>
                </c:pt>
                <c:pt idx="13">
                  <c:v>1.2776092143040911</c:v>
                </c:pt>
                <c:pt idx="14">
                  <c:v>1.1473671077937864</c:v>
                </c:pt>
                <c:pt idx="15">
                  <c:v>1.1176026916900843</c:v>
                </c:pt>
                <c:pt idx="16">
                  <c:v>1.2405492482825997</c:v>
                </c:pt>
                <c:pt idx="17">
                  <c:v>1.2068258760318498</c:v>
                </c:pt>
                <c:pt idx="18">
                  <c:v>1.2355284469075489</c:v>
                </c:pt>
                <c:pt idx="19">
                  <c:v>1.110589710299249</c:v>
                </c:pt>
                <c:pt idx="20">
                  <c:v>1.1238516409670858</c:v>
                </c:pt>
                <c:pt idx="21">
                  <c:v>0.99122607569249488</c:v>
                </c:pt>
                <c:pt idx="22">
                  <c:v>1.1522883443830565</c:v>
                </c:pt>
                <c:pt idx="23">
                  <c:v>1.110589710299249</c:v>
                </c:pt>
                <c:pt idx="24">
                  <c:v>1.0413926851582251</c:v>
                </c:pt>
                <c:pt idx="25">
                  <c:v>0.86923171973097624</c:v>
                </c:pt>
                <c:pt idx="26">
                  <c:v>0.86705480047670169</c:v>
                </c:pt>
                <c:pt idx="27">
                  <c:v>1.0425755124401905</c:v>
                </c:pt>
                <c:pt idx="28">
                  <c:v>0.86332286012045589</c:v>
                </c:pt>
                <c:pt idx="29">
                  <c:v>0.94046667766352887</c:v>
                </c:pt>
                <c:pt idx="30">
                  <c:v>1.0124153747624329</c:v>
                </c:pt>
                <c:pt idx="31">
                  <c:v>0.81224469680036926</c:v>
                </c:pt>
                <c:pt idx="32">
                  <c:v>0.91865929342182318</c:v>
                </c:pt>
                <c:pt idx="33">
                  <c:v>0.89304011195711797</c:v>
                </c:pt>
                <c:pt idx="34">
                  <c:v>0.87366929270679439</c:v>
                </c:pt>
                <c:pt idx="35">
                  <c:v>0.75891189239797352</c:v>
                </c:pt>
                <c:pt idx="36">
                  <c:v>0.795184589682424</c:v>
                </c:pt>
                <c:pt idx="37">
                  <c:v>0.76117581315573135</c:v>
                </c:pt>
                <c:pt idx="38">
                  <c:v>0.67237497874607954</c:v>
                </c:pt>
                <c:pt idx="39">
                  <c:v>0.68841982200271057</c:v>
                </c:pt>
                <c:pt idx="40">
                  <c:v>0.7383047930741049</c:v>
                </c:pt>
                <c:pt idx="41">
                  <c:v>0.62324929039790045</c:v>
                </c:pt>
                <c:pt idx="42">
                  <c:v>0.69019608002851374</c:v>
                </c:pt>
                <c:pt idx="43">
                  <c:v>0.66275783168157409</c:v>
                </c:pt>
                <c:pt idx="44">
                  <c:v>0.57863920996807239</c:v>
                </c:pt>
                <c:pt idx="45">
                  <c:v>0.6273658565927327</c:v>
                </c:pt>
                <c:pt idx="46">
                  <c:v>0.69897000433601886</c:v>
                </c:pt>
                <c:pt idx="47">
                  <c:v>0.54555450723406496</c:v>
                </c:pt>
                <c:pt idx="48">
                  <c:v>0.64345267648618742</c:v>
                </c:pt>
                <c:pt idx="49">
                  <c:v>0.66464197555612547</c:v>
                </c:pt>
                <c:pt idx="50">
                  <c:v>0.63346845557958653</c:v>
                </c:pt>
                <c:pt idx="51">
                  <c:v>0.5854607295085007</c:v>
                </c:pt>
                <c:pt idx="52">
                  <c:v>0.57978359661681012</c:v>
                </c:pt>
                <c:pt idx="53">
                  <c:v>0.56820172406699498</c:v>
                </c:pt>
                <c:pt idx="54">
                  <c:v>0.57978359661681012</c:v>
                </c:pt>
                <c:pt idx="55">
                  <c:v>0.56229286445647475</c:v>
                </c:pt>
                <c:pt idx="56">
                  <c:v>0.47683162851226069</c:v>
                </c:pt>
                <c:pt idx="57">
                  <c:v>0.53147891704225514</c:v>
                </c:pt>
                <c:pt idx="58">
                  <c:v>0.54406804435027567</c:v>
                </c:pt>
                <c:pt idx="59">
                  <c:v>0.49831055378960049</c:v>
                </c:pt>
                <c:pt idx="60">
                  <c:v>0.53019969820308221</c:v>
                </c:pt>
                <c:pt idx="61">
                  <c:v>0.54157924394658097</c:v>
                </c:pt>
                <c:pt idx="62">
                  <c:v>0.47567118832442967</c:v>
                </c:pt>
                <c:pt idx="63">
                  <c:v>0.54293740823261982</c:v>
                </c:pt>
                <c:pt idx="64">
                  <c:v>0.40551710697637627</c:v>
                </c:pt>
                <c:pt idx="65">
                  <c:v>0.39269695325966575</c:v>
                </c:pt>
                <c:pt idx="66">
                  <c:v>0.35333909531130464</c:v>
                </c:pt>
                <c:pt idx="67">
                  <c:v>0.47668674294564473</c:v>
                </c:pt>
                <c:pt idx="68">
                  <c:v>0.37839790094813769</c:v>
                </c:pt>
                <c:pt idx="69">
                  <c:v>0.46239799789895608</c:v>
                </c:pt>
                <c:pt idx="70">
                  <c:v>0.43136376415898736</c:v>
                </c:pt>
                <c:pt idx="71">
                  <c:v>0.30920417967040753</c:v>
                </c:pt>
                <c:pt idx="72">
                  <c:v>0.44054701911644151</c:v>
                </c:pt>
                <c:pt idx="73">
                  <c:v>0.34242268082220628</c:v>
                </c:pt>
                <c:pt idx="74">
                  <c:v>0.34044411484011833</c:v>
                </c:pt>
                <c:pt idx="75">
                  <c:v>0.34242268082220628</c:v>
                </c:pt>
                <c:pt idx="76">
                  <c:v>0.40312052117581787</c:v>
                </c:pt>
                <c:pt idx="77">
                  <c:v>0.33845649360460484</c:v>
                </c:pt>
                <c:pt idx="78">
                  <c:v>0.27875360095282892</c:v>
                </c:pt>
                <c:pt idx="79">
                  <c:v>0.26481782300953649</c:v>
                </c:pt>
                <c:pt idx="80">
                  <c:v>0.27646180417324412</c:v>
                </c:pt>
                <c:pt idx="81">
                  <c:v>0.31369852956031147</c:v>
                </c:pt>
                <c:pt idx="82">
                  <c:v>0.29907126002740958</c:v>
                </c:pt>
                <c:pt idx="83">
                  <c:v>0.39880773020326449</c:v>
                </c:pt>
                <c:pt idx="84">
                  <c:v>0.18241465243455401</c:v>
                </c:pt>
                <c:pt idx="85">
                  <c:v>0.13033376849500614</c:v>
                </c:pt>
                <c:pt idx="86">
                  <c:v>0.24054924828259971</c:v>
                </c:pt>
                <c:pt idx="87">
                  <c:v>0.17609125905568124</c:v>
                </c:pt>
                <c:pt idx="88">
                  <c:v>0.29358351349611683</c:v>
                </c:pt>
                <c:pt idx="89">
                  <c:v>0.19589965240923377</c:v>
                </c:pt>
                <c:pt idx="90">
                  <c:v>0.22167499707076876</c:v>
                </c:pt>
                <c:pt idx="91">
                  <c:v>0.14612803567823801</c:v>
                </c:pt>
                <c:pt idx="92">
                  <c:v>0.11494441571258467</c:v>
                </c:pt>
                <c:pt idx="93">
                  <c:v>0.23044892137827391</c:v>
                </c:pt>
                <c:pt idx="94">
                  <c:v>0.25527250510330607</c:v>
                </c:pt>
                <c:pt idx="95">
                  <c:v>0.15411952551584673</c:v>
                </c:pt>
                <c:pt idx="96">
                  <c:v>0.20057692675484817</c:v>
                </c:pt>
                <c:pt idx="97">
                  <c:v>0.3344537511509309</c:v>
                </c:pt>
                <c:pt idx="98">
                  <c:v>0.12057393120584989</c:v>
                </c:pt>
                <c:pt idx="99">
                  <c:v>3.342375548694973E-2</c:v>
                </c:pt>
                <c:pt idx="100">
                  <c:v>0.11058971029924898</c:v>
                </c:pt>
                <c:pt idx="101">
                  <c:v>0.12090281761452719</c:v>
                </c:pt>
                <c:pt idx="102">
                  <c:v>-8.7739243075051505E-3</c:v>
                </c:pt>
                <c:pt idx="103">
                  <c:v>3.1408464251624121E-2</c:v>
                </c:pt>
                <c:pt idx="104">
                  <c:v>9.691001300805642E-2</c:v>
                </c:pt>
                <c:pt idx="105">
                  <c:v>3.342375548694973E-2</c:v>
                </c:pt>
                <c:pt idx="106">
                  <c:v>-7.6755981369723517E-2</c:v>
                </c:pt>
                <c:pt idx="107">
                  <c:v>0.24797326636180664</c:v>
                </c:pt>
                <c:pt idx="108">
                  <c:v>-4.7691990337874794E-2</c:v>
                </c:pt>
                <c:pt idx="109">
                  <c:v>-3.4798298974087927E-2</c:v>
                </c:pt>
                <c:pt idx="110">
                  <c:v>-4.3685067891077595E-2</c:v>
                </c:pt>
                <c:pt idx="111">
                  <c:v>3.6229544086294529E-2</c:v>
                </c:pt>
                <c:pt idx="112">
                  <c:v>-4.8037084028205992E-3</c:v>
                </c:pt>
                <c:pt idx="113">
                  <c:v>-7.0581074285707285E-2</c:v>
                </c:pt>
                <c:pt idx="114">
                  <c:v>8.6001717619175692E-3</c:v>
                </c:pt>
                <c:pt idx="115">
                  <c:v>0.12188798510368115</c:v>
                </c:pt>
                <c:pt idx="116">
                  <c:v>2.3663918197793475E-2</c:v>
                </c:pt>
                <c:pt idx="117">
                  <c:v>-8.8842391260023412E-2</c:v>
                </c:pt>
                <c:pt idx="118">
                  <c:v>-5.9483515067432782E-2</c:v>
                </c:pt>
                <c:pt idx="119">
                  <c:v>-3.2920265855502902E-2</c:v>
                </c:pt>
                <c:pt idx="120">
                  <c:v>-6.4492734175287211E-2</c:v>
                </c:pt>
                <c:pt idx="121">
                  <c:v>-5.551732784983137E-2</c:v>
                </c:pt>
                <c:pt idx="122">
                  <c:v>-5.0609993355087209E-2</c:v>
                </c:pt>
                <c:pt idx="123">
                  <c:v>-8.6186147616283335E-2</c:v>
                </c:pt>
                <c:pt idx="124">
                  <c:v>-0.11918640771920865</c:v>
                </c:pt>
                <c:pt idx="125">
                  <c:v>-0.13253251214094852</c:v>
                </c:pt>
                <c:pt idx="126">
                  <c:v>-0.15490195998574319</c:v>
                </c:pt>
                <c:pt idx="127">
                  <c:v>-0.14813039927023372</c:v>
                </c:pt>
                <c:pt idx="128">
                  <c:v>1.8700498666243369E-2</c:v>
                </c:pt>
                <c:pt idx="129">
                  <c:v>-0.24336389175415199</c:v>
                </c:pt>
                <c:pt idx="130">
                  <c:v>-0.10292299679057967</c:v>
                </c:pt>
                <c:pt idx="131">
                  <c:v>-0.22040350874217546</c:v>
                </c:pt>
                <c:pt idx="132">
                  <c:v>-7.4172425375257686E-2</c:v>
                </c:pt>
                <c:pt idx="133">
                  <c:v>-0.17005330405836405</c:v>
                </c:pt>
                <c:pt idx="134">
                  <c:v>-0.24108810760202651</c:v>
                </c:pt>
                <c:pt idx="135">
                  <c:v>-0.16430942850757441</c:v>
                </c:pt>
                <c:pt idx="136">
                  <c:v>-0.20411998265592479</c:v>
                </c:pt>
                <c:pt idx="137">
                  <c:v>-0.22184874961635639</c:v>
                </c:pt>
                <c:pt idx="138">
                  <c:v>5.0766311233042323E-2</c:v>
                </c:pt>
                <c:pt idx="139">
                  <c:v>-0.13076828026902382</c:v>
                </c:pt>
                <c:pt idx="140">
                  <c:v>-0.19382002601611281</c:v>
                </c:pt>
                <c:pt idx="141">
                  <c:v>-0.22767829327708025</c:v>
                </c:pt>
                <c:pt idx="142">
                  <c:v>-0.23358715288760054</c:v>
                </c:pt>
                <c:pt idx="143">
                  <c:v>-9.6910013008056392E-2</c:v>
                </c:pt>
                <c:pt idx="144">
                  <c:v>-0.3010299956639812</c:v>
                </c:pt>
                <c:pt idx="145">
                  <c:v>-0.21968268785984871</c:v>
                </c:pt>
                <c:pt idx="146">
                  <c:v>-0.26440110030182007</c:v>
                </c:pt>
                <c:pt idx="147">
                  <c:v>-0.21896306137886817</c:v>
                </c:pt>
                <c:pt idx="148">
                  <c:v>-0.32148162095988608</c:v>
                </c:pt>
                <c:pt idx="149">
                  <c:v>-0.26256879948541756</c:v>
                </c:pt>
                <c:pt idx="150">
                  <c:v>-7.6238039171299746E-2</c:v>
                </c:pt>
                <c:pt idx="151">
                  <c:v>-0.23582386760966931</c:v>
                </c:pt>
                <c:pt idx="152">
                  <c:v>-7.5720713938118356E-2</c:v>
                </c:pt>
                <c:pt idx="153">
                  <c:v>-0.3010299956639812</c:v>
                </c:pt>
                <c:pt idx="154">
                  <c:v>-6.6512712151294562E-2</c:v>
                </c:pt>
                <c:pt idx="155">
                  <c:v>-0.25181197299379954</c:v>
                </c:pt>
                <c:pt idx="156">
                  <c:v>-0.17979854051435976</c:v>
                </c:pt>
                <c:pt idx="157">
                  <c:v>-0.1778319206319825</c:v>
                </c:pt>
                <c:pt idx="158">
                  <c:v>-0.22184874961635639</c:v>
                </c:pt>
                <c:pt idx="159">
                  <c:v>-0.26440110030182007</c:v>
                </c:pt>
                <c:pt idx="160">
                  <c:v>-1.322826573375516E-2</c:v>
                </c:pt>
                <c:pt idx="161">
                  <c:v>-0.25963731050575611</c:v>
                </c:pt>
                <c:pt idx="162">
                  <c:v>-0.27572413039921095</c:v>
                </c:pt>
                <c:pt idx="163">
                  <c:v>-0.32513885926218844</c:v>
                </c:pt>
                <c:pt idx="164">
                  <c:v>-0.34294414714289606</c:v>
                </c:pt>
                <c:pt idx="165">
                  <c:v>-0.35654732351381258</c:v>
                </c:pt>
                <c:pt idx="166">
                  <c:v>-0.40120949323688493</c:v>
                </c:pt>
                <c:pt idx="167">
                  <c:v>-0.30980391997148632</c:v>
                </c:pt>
                <c:pt idx="168">
                  <c:v>-0.35261702988538018</c:v>
                </c:pt>
                <c:pt idx="169">
                  <c:v>-0.21183162885883233</c:v>
                </c:pt>
                <c:pt idx="170">
                  <c:v>-0.33724216831842591</c:v>
                </c:pt>
                <c:pt idx="171">
                  <c:v>-0.32513885926218844</c:v>
                </c:pt>
                <c:pt idx="172">
                  <c:v>-0.42136079003192767</c:v>
                </c:pt>
                <c:pt idx="173">
                  <c:v>-7.6238039171299746E-2</c:v>
                </c:pt>
                <c:pt idx="174">
                  <c:v>-0.34678748622465633</c:v>
                </c:pt>
                <c:pt idx="175">
                  <c:v>-0.44009337496388751</c:v>
                </c:pt>
                <c:pt idx="176">
                  <c:v>-0.3979400086720376</c:v>
                </c:pt>
                <c:pt idx="177">
                  <c:v>-0.36301089818777088</c:v>
                </c:pt>
                <c:pt idx="178">
                  <c:v>-0.48678239993206096</c:v>
                </c:pt>
                <c:pt idx="179">
                  <c:v>-0.35654732351381258</c:v>
                </c:pt>
                <c:pt idx="180">
                  <c:v>-0.42021640338318983</c:v>
                </c:pt>
                <c:pt idx="181">
                  <c:v>-0.21752737583371382</c:v>
                </c:pt>
                <c:pt idx="182">
                  <c:v>-0.46852108295774486</c:v>
                </c:pt>
                <c:pt idx="183">
                  <c:v>-0.41907502432438071</c:v>
                </c:pt>
                <c:pt idx="184">
                  <c:v>-0.42021640338318983</c:v>
                </c:pt>
                <c:pt idx="185">
                  <c:v>-0.49485002168009401</c:v>
                </c:pt>
                <c:pt idx="186">
                  <c:v>-0.24949160514865382</c:v>
                </c:pt>
                <c:pt idx="187">
                  <c:v>-0.31875876262441277</c:v>
                </c:pt>
                <c:pt idx="188">
                  <c:v>-0.49485002168009401</c:v>
                </c:pt>
                <c:pt idx="189">
                  <c:v>-0.25963731050575611</c:v>
                </c:pt>
                <c:pt idx="190">
                  <c:v>-0.64781748188863753</c:v>
                </c:pt>
                <c:pt idx="191">
                  <c:v>-0.61118858652647645</c:v>
                </c:pt>
                <c:pt idx="192">
                  <c:v>-0.48811663902112562</c:v>
                </c:pt>
                <c:pt idx="193">
                  <c:v>-0.42021640338318983</c:v>
                </c:pt>
                <c:pt idx="194">
                  <c:v>-0.36653154442041347</c:v>
                </c:pt>
                <c:pt idx="195">
                  <c:v>-0.60977163753086994</c:v>
                </c:pt>
                <c:pt idx="196">
                  <c:v>-0.44369749923271273</c:v>
                </c:pt>
                <c:pt idx="197">
                  <c:v>-0.48122293107322517</c:v>
                </c:pt>
                <c:pt idx="198">
                  <c:v>-0.42136079003192767</c:v>
                </c:pt>
              </c:numCache>
            </c:numRef>
          </c:xVal>
          <c:yVal>
            <c:numRef>
              <c:f>'Viscosity and density'!$C$4:$C$202</c:f>
              <c:numCache>
                <c:formatCode>0.00</c:formatCode>
                <c:ptCount val="199"/>
                <c:pt idx="0">
                  <c:v>1.25</c:v>
                </c:pt>
                <c:pt idx="1">
                  <c:v>1.0229999999999999</c:v>
                </c:pt>
                <c:pt idx="2">
                  <c:v>1</c:v>
                </c:pt>
                <c:pt idx="3">
                  <c:v>1.0169999999999999</c:v>
                </c:pt>
                <c:pt idx="4" formatCode="General">
                  <c:v>1.4</c:v>
                </c:pt>
                <c:pt idx="5">
                  <c:v>1.1299999999999999</c:v>
                </c:pt>
                <c:pt idx="6">
                  <c:v>1.04</c:v>
                </c:pt>
                <c:pt idx="7">
                  <c:v>1.1194999999999999</c:v>
                </c:pt>
                <c:pt idx="8">
                  <c:v>1.05</c:v>
                </c:pt>
                <c:pt idx="9">
                  <c:v>0.93640000000000001</c:v>
                </c:pt>
                <c:pt idx="10">
                  <c:v>1.1200000000000001</c:v>
                </c:pt>
                <c:pt idx="11">
                  <c:v>1.137</c:v>
                </c:pt>
                <c:pt idx="12">
                  <c:v>0.89</c:v>
                </c:pt>
                <c:pt idx="13">
                  <c:v>1.012</c:v>
                </c:pt>
                <c:pt idx="14">
                  <c:v>0.83189000000000002</c:v>
                </c:pt>
                <c:pt idx="15">
                  <c:v>0.82899999999999996</c:v>
                </c:pt>
                <c:pt idx="16">
                  <c:v>1.155</c:v>
                </c:pt>
                <c:pt idx="17">
                  <c:v>1.1100000000000001</c:v>
                </c:pt>
                <c:pt idx="18">
                  <c:v>1.19</c:v>
                </c:pt>
                <c:pt idx="19">
                  <c:v>1.034</c:v>
                </c:pt>
                <c:pt idx="20">
                  <c:v>1.1200000000000001</c:v>
                </c:pt>
                <c:pt idx="21">
                  <c:v>0.83440000000000003</c:v>
                </c:pt>
                <c:pt idx="22" formatCode="General">
                  <c:v>1.2150000000000001</c:v>
                </c:pt>
                <c:pt idx="23">
                  <c:v>1.1200000000000001</c:v>
                </c:pt>
                <c:pt idx="24" formatCode="General">
                  <c:v>1.0660000000000001</c:v>
                </c:pt>
                <c:pt idx="25">
                  <c:v>0.82</c:v>
                </c:pt>
                <c:pt idx="26">
                  <c:v>0.82157000000000002</c:v>
                </c:pt>
                <c:pt idx="27">
                  <c:v>1.25</c:v>
                </c:pt>
                <c:pt idx="28">
                  <c:v>0.8679</c:v>
                </c:pt>
                <c:pt idx="29">
                  <c:v>1.0429999999999999</c:v>
                </c:pt>
                <c:pt idx="30">
                  <c:v>1.2604</c:v>
                </c:pt>
                <c:pt idx="31">
                  <c:v>0.81710000000000005</c:v>
                </c:pt>
                <c:pt idx="32">
                  <c:v>1.1180000000000001</c:v>
                </c:pt>
                <c:pt idx="33">
                  <c:v>1.0669999999999999</c:v>
                </c:pt>
                <c:pt idx="34">
                  <c:v>1.0840000000000001</c:v>
                </c:pt>
                <c:pt idx="35">
                  <c:v>0.91</c:v>
                </c:pt>
                <c:pt idx="36">
                  <c:v>1.0483</c:v>
                </c:pt>
                <c:pt idx="37">
                  <c:v>0.97099999999999997</c:v>
                </c:pt>
                <c:pt idx="38">
                  <c:v>0.79779999999999995</c:v>
                </c:pt>
                <c:pt idx="39">
                  <c:v>0.874</c:v>
                </c:pt>
                <c:pt idx="40">
                  <c:v>1.0449999999999999</c:v>
                </c:pt>
                <c:pt idx="41">
                  <c:v>0.80900000000000005</c:v>
                </c:pt>
                <c:pt idx="42">
                  <c:v>0.95299999999999996</c:v>
                </c:pt>
                <c:pt idx="43">
                  <c:v>0.96840000000000004</c:v>
                </c:pt>
                <c:pt idx="44">
                  <c:v>0.80959999999999999</c:v>
                </c:pt>
                <c:pt idx="45">
                  <c:v>0.96599999999999997</c:v>
                </c:pt>
                <c:pt idx="46">
                  <c:v>1.1499999999999999</c:v>
                </c:pt>
                <c:pt idx="47">
                  <c:v>0.81079999999999997</c:v>
                </c:pt>
                <c:pt idx="48">
                  <c:v>1.022</c:v>
                </c:pt>
                <c:pt idx="49">
                  <c:v>1.1285000000000001</c:v>
                </c:pt>
                <c:pt idx="50">
                  <c:v>1.071</c:v>
                </c:pt>
                <c:pt idx="51">
                  <c:v>0.98409999999999997</c:v>
                </c:pt>
                <c:pt idx="52">
                  <c:v>0.98</c:v>
                </c:pt>
                <c:pt idx="53">
                  <c:v>0.95799999999999996</c:v>
                </c:pt>
                <c:pt idx="54">
                  <c:v>0.99</c:v>
                </c:pt>
                <c:pt idx="55">
                  <c:v>0.95699999999999996</c:v>
                </c:pt>
                <c:pt idx="56">
                  <c:v>0.80240999999999996</c:v>
                </c:pt>
                <c:pt idx="57">
                  <c:v>0.91800000000000004</c:v>
                </c:pt>
                <c:pt idx="58">
                  <c:v>0.95</c:v>
                </c:pt>
                <c:pt idx="59">
                  <c:v>0.89624999999999999</c:v>
                </c:pt>
                <c:pt idx="60">
                  <c:v>0.97899999999999998</c:v>
                </c:pt>
                <c:pt idx="61">
                  <c:v>1.0166999999999999</c:v>
                </c:pt>
                <c:pt idx="62">
                  <c:v>0.89700000000000002</c:v>
                </c:pt>
                <c:pt idx="63">
                  <c:v>1.0661099999999999</c:v>
                </c:pt>
                <c:pt idx="64">
                  <c:v>0.80574999999999997</c:v>
                </c:pt>
                <c:pt idx="65">
                  <c:v>0.80500000000000005</c:v>
                </c:pt>
                <c:pt idx="66">
                  <c:v>0.79959999999999998</c:v>
                </c:pt>
                <c:pt idx="67">
                  <c:v>1.093</c:v>
                </c:pt>
                <c:pt idx="68">
                  <c:v>0.89</c:v>
                </c:pt>
                <c:pt idx="69">
                  <c:v>1.0900000000000001</c:v>
                </c:pt>
                <c:pt idx="70">
                  <c:v>1.03</c:v>
                </c:pt>
                <c:pt idx="71">
                  <c:v>0.79</c:v>
                </c:pt>
                <c:pt idx="72">
                  <c:v>1.0900000000000001</c:v>
                </c:pt>
                <c:pt idx="73">
                  <c:v>0.94520000000000004</c:v>
                </c:pt>
                <c:pt idx="74">
                  <c:v>0.95599999999999996</c:v>
                </c:pt>
                <c:pt idx="75">
                  <c:v>0.996</c:v>
                </c:pt>
                <c:pt idx="76">
                  <c:v>1.1951000000000001</c:v>
                </c:pt>
                <c:pt idx="77">
                  <c:v>1.05</c:v>
                </c:pt>
                <c:pt idx="78" formatCode="General">
                  <c:v>0.92400000000000004</c:v>
                </c:pt>
                <c:pt idx="79">
                  <c:v>0.92520000000000002</c:v>
                </c:pt>
                <c:pt idx="80">
                  <c:v>0.95599999999999996</c:v>
                </c:pt>
                <c:pt idx="81">
                  <c:v>1.056</c:v>
                </c:pt>
                <c:pt idx="82">
                  <c:v>1.09537</c:v>
                </c:pt>
                <c:pt idx="83">
                  <c:v>1.387</c:v>
                </c:pt>
                <c:pt idx="84">
                  <c:v>0.86</c:v>
                </c:pt>
                <c:pt idx="85">
                  <c:v>0.77800000000000002</c:v>
                </c:pt>
                <c:pt idx="86">
                  <c:v>1.03</c:v>
                </c:pt>
                <c:pt idx="87">
                  <c:v>0.89900000000000002</c:v>
                </c:pt>
                <c:pt idx="88">
                  <c:v>1.2140500000000001</c:v>
                </c:pt>
                <c:pt idx="89">
                  <c:v>0.97</c:v>
                </c:pt>
                <c:pt idx="90">
                  <c:v>1.0329999999999999</c:v>
                </c:pt>
                <c:pt idx="91">
                  <c:v>0.90629999999999999</c:v>
                </c:pt>
                <c:pt idx="92">
                  <c:v>0.85799999999999998</c:v>
                </c:pt>
                <c:pt idx="93">
                  <c:v>1.1254</c:v>
                </c:pt>
                <c:pt idx="94">
                  <c:v>1.196</c:v>
                </c:pt>
                <c:pt idx="95">
                  <c:v>0.95799999999999996</c:v>
                </c:pt>
                <c:pt idx="96">
                  <c:v>1.1545000000000001</c:v>
                </c:pt>
                <c:pt idx="97">
                  <c:v>1.58</c:v>
                </c:pt>
                <c:pt idx="98">
                  <c:v>0.96760999999999997</c:v>
                </c:pt>
                <c:pt idx="99">
                  <c:v>0.79369999999999996</c:v>
                </c:pt>
                <c:pt idx="100">
                  <c:v>0.95099999999999996</c:v>
                </c:pt>
                <c:pt idx="101">
                  <c:v>1.0449999999999999</c:v>
                </c:pt>
                <c:pt idx="102">
                  <c:v>0.77900000000000003</c:v>
                </c:pt>
                <c:pt idx="103">
                  <c:v>0.86809999999999998</c:v>
                </c:pt>
                <c:pt idx="104">
                  <c:v>1.01</c:v>
                </c:pt>
                <c:pt idx="105">
                  <c:v>0.91</c:v>
                </c:pt>
                <c:pt idx="106">
                  <c:v>0.73</c:v>
                </c:pt>
                <c:pt idx="107">
                  <c:v>1.5860000000000001</c:v>
                </c:pt>
                <c:pt idx="108">
                  <c:v>0.80800000000000005</c:v>
                </c:pt>
                <c:pt idx="109">
                  <c:v>0.83830000000000005</c:v>
                </c:pt>
                <c:pt idx="110">
                  <c:v>0.83499999999999996</c:v>
                </c:pt>
                <c:pt idx="111">
                  <c:v>1.0279700000000001</c:v>
                </c:pt>
                <c:pt idx="112">
                  <c:v>0.93840000000000001</c:v>
                </c:pt>
                <c:pt idx="113">
                  <c:v>0.82</c:v>
                </c:pt>
                <c:pt idx="114">
                  <c:v>0.99199999999999999</c:v>
                </c:pt>
                <c:pt idx="115">
                  <c:v>1.306</c:v>
                </c:pt>
                <c:pt idx="116">
                  <c:v>1.04392</c:v>
                </c:pt>
                <c:pt idx="117">
                  <c:v>0.81123000000000001</c:v>
                </c:pt>
                <c:pt idx="118">
                  <c:v>0.876</c:v>
                </c:pt>
                <c:pt idx="119">
                  <c:v>0.93600000000000005</c:v>
                </c:pt>
                <c:pt idx="120">
                  <c:v>0.87190000000000001</c:v>
                </c:pt>
                <c:pt idx="121">
                  <c:v>0.97799999999999998</c:v>
                </c:pt>
                <c:pt idx="122">
                  <c:v>1</c:v>
                </c:pt>
                <c:pt idx="123">
                  <c:v>0.94499999999999995</c:v>
                </c:pt>
                <c:pt idx="124">
                  <c:v>0.87594000000000005</c:v>
                </c:pt>
                <c:pt idx="125">
                  <c:v>0.86399999999999999</c:v>
                </c:pt>
                <c:pt idx="126">
                  <c:v>0.83509999999999995</c:v>
                </c:pt>
                <c:pt idx="127">
                  <c:v>0.875</c:v>
                </c:pt>
                <c:pt idx="128">
                  <c:v>1.288</c:v>
                </c:pt>
                <c:pt idx="129">
                  <c:v>0.70699999999999996</c:v>
                </c:pt>
                <c:pt idx="130">
                  <c:v>0.98931999999999998</c:v>
                </c:pt>
                <c:pt idx="131">
                  <c:v>0.7641</c:v>
                </c:pt>
                <c:pt idx="132">
                  <c:v>1.08</c:v>
                </c:pt>
                <c:pt idx="133">
                  <c:v>0.86699999999999999</c:v>
                </c:pt>
                <c:pt idx="134">
                  <c:v>0.73682999999999998</c:v>
                </c:pt>
                <c:pt idx="135">
                  <c:v>0.88</c:v>
                </c:pt>
                <c:pt idx="136">
                  <c:v>0.81100000000000005</c:v>
                </c:pt>
                <c:pt idx="137">
                  <c:v>0.79400000000000004</c:v>
                </c:pt>
                <c:pt idx="138">
                  <c:v>1.49</c:v>
                </c:pt>
                <c:pt idx="139">
                  <c:v>0.99199999999999999</c:v>
                </c:pt>
                <c:pt idx="140">
                  <c:v>0.86253000000000002</c:v>
                </c:pt>
                <c:pt idx="141">
                  <c:v>0.81533999999999995</c:v>
                </c:pt>
                <c:pt idx="142">
                  <c:v>0.80669999999999997</c:v>
                </c:pt>
                <c:pt idx="143">
                  <c:v>1.1060000000000001</c:v>
                </c:pt>
                <c:pt idx="144">
                  <c:v>0.70299999999999996</c:v>
                </c:pt>
                <c:pt idx="145">
                  <c:v>0.85660999999999998</c:v>
                </c:pt>
                <c:pt idx="146">
                  <c:v>0.78637000000000001</c:v>
                </c:pt>
                <c:pt idx="147">
                  <c:v>0.87360000000000004</c:v>
                </c:pt>
                <c:pt idx="148">
                  <c:v>0.69199999999999995</c:v>
                </c:pt>
                <c:pt idx="149">
                  <c:v>0.79630000000000001</c:v>
                </c:pt>
                <c:pt idx="150">
                  <c:v>1.2410000000000001</c:v>
                </c:pt>
                <c:pt idx="151">
                  <c:v>0.86009000000000002</c:v>
                </c:pt>
                <c:pt idx="152">
                  <c:v>1.256</c:v>
                </c:pt>
                <c:pt idx="153">
                  <c:v>0.76400000000000001</c:v>
                </c:pt>
                <c:pt idx="154">
                  <c:v>1.32</c:v>
                </c:pt>
                <c:pt idx="155">
                  <c:v>0.86219000000000001</c:v>
                </c:pt>
                <c:pt idx="156">
                  <c:v>1.0449999999999999</c:v>
                </c:pt>
                <c:pt idx="157">
                  <c:v>1.069</c:v>
                </c:pt>
                <c:pt idx="158">
                  <c:v>0.97499999999999998</c:v>
                </c:pt>
                <c:pt idx="159">
                  <c:v>0.88800000000000001</c:v>
                </c:pt>
                <c:pt idx="160">
                  <c:v>1.58436</c:v>
                </c:pt>
                <c:pt idx="161">
                  <c:v>0.9</c:v>
                </c:pt>
                <c:pt idx="162">
                  <c:v>0.88919999999999999</c:v>
                </c:pt>
                <c:pt idx="163">
                  <c:v>0.80149999999999999</c:v>
                </c:pt>
                <c:pt idx="164">
                  <c:v>0.77200000000000002</c:v>
                </c:pt>
                <c:pt idx="165">
                  <c:v>0.751</c:v>
                </c:pt>
                <c:pt idx="166">
                  <c:v>0.67945999999999995</c:v>
                </c:pt>
                <c:pt idx="167">
                  <c:v>0.87019999999999997</c:v>
                </c:pt>
                <c:pt idx="168">
                  <c:v>0.81299999999999994</c:v>
                </c:pt>
                <c:pt idx="169">
                  <c:v>1.127</c:v>
                </c:pt>
                <c:pt idx="170">
                  <c:v>0.85299999999999998</c:v>
                </c:pt>
                <c:pt idx="171">
                  <c:v>0.88400000000000001</c:v>
                </c:pt>
                <c:pt idx="172">
                  <c:v>0.71853999999999996</c:v>
                </c:pt>
                <c:pt idx="173">
                  <c:v>1.623</c:v>
                </c:pt>
                <c:pt idx="174">
                  <c:v>0.88600000000000001</c:v>
                </c:pt>
                <c:pt idx="175">
                  <c:v>0.72304999999999997</c:v>
                </c:pt>
                <c:pt idx="176">
                  <c:v>0.79969999999999997</c:v>
                </c:pt>
                <c:pt idx="177">
                  <c:v>0.86699999999999999</c:v>
                </c:pt>
                <c:pt idx="178">
                  <c:v>0.65483999999999998</c:v>
                </c:pt>
                <c:pt idx="179">
                  <c:v>0.89454999999999996</c:v>
                </c:pt>
                <c:pt idx="180">
                  <c:v>0.78600000000000003</c:v>
                </c:pt>
                <c:pt idx="181">
                  <c:v>1.276</c:v>
                </c:pt>
                <c:pt idx="182">
                  <c:v>0.76</c:v>
                </c:pt>
                <c:pt idx="183">
                  <c:v>0.92789999999999995</c:v>
                </c:pt>
                <c:pt idx="184">
                  <c:v>0.93600000000000005</c:v>
                </c:pt>
                <c:pt idx="185">
                  <c:v>0.79100000000000004</c:v>
                </c:pt>
                <c:pt idx="186">
                  <c:v>1.4797</c:v>
                </c:pt>
                <c:pt idx="187">
                  <c:v>1.284</c:v>
                </c:pt>
                <c:pt idx="188">
                  <c:v>0.85899999999999999</c:v>
                </c:pt>
                <c:pt idx="189">
                  <c:v>1.5</c:v>
                </c:pt>
                <c:pt idx="190">
                  <c:v>0.62139</c:v>
                </c:pt>
                <c:pt idx="191">
                  <c:v>0.70782</c:v>
                </c:pt>
                <c:pt idx="192">
                  <c:v>0.97399999999999998</c:v>
                </c:pt>
                <c:pt idx="193">
                  <c:v>1.17</c:v>
                </c:pt>
                <c:pt idx="194">
                  <c:v>1.325</c:v>
                </c:pt>
                <c:pt idx="195">
                  <c:v>0.78500000000000003</c:v>
                </c:pt>
                <c:pt idx="196">
                  <c:v>1.266</c:v>
                </c:pt>
                <c:pt idx="197">
                  <c:v>1.2130000000000001</c:v>
                </c:pt>
                <c:pt idx="198">
                  <c:v>1.46</c:v>
                </c:pt>
              </c:numCache>
            </c:numRef>
          </c:yVal>
          <c:smooth val="0"/>
        </c:ser>
        <c:ser>
          <c:idx val="1"/>
          <c:order val="1"/>
          <c:tx>
            <c:strRef>
              <c:f>'Viscosity and density'!$B$4</c:f>
              <c:strCache>
                <c:ptCount val="1"/>
                <c:pt idx="0">
                  <c:v>Glycerol</c:v>
                </c:pt>
              </c:strCache>
            </c:strRef>
          </c:tx>
          <c:spPr>
            <a:ln w="28575">
              <a:noFill/>
            </a:ln>
          </c:spPr>
          <c:marker>
            <c:symbol val="diamond"/>
            <c:size val="10"/>
            <c:spPr>
              <a:solidFill>
                <a:srgbClr val="FF0000"/>
              </a:solidFill>
              <a:ln w="12700">
                <a:solidFill>
                  <a:schemeClr val="tx1"/>
                </a:solidFill>
              </a:ln>
            </c:spPr>
          </c:marker>
          <c:dLbls>
            <c:dLblPos val="l"/>
            <c:showLegendKey val="0"/>
            <c:showVal val="0"/>
            <c:showCatName val="0"/>
            <c:showSerName val="1"/>
            <c:showPercent val="0"/>
            <c:showBubbleSize val="0"/>
            <c:showLeaderLines val="0"/>
          </c:dLbls>
          <c:xVal>
            <c:numRef>
              <c:f>'Viscosity and density'!$F$4</c:f>
              <c:numCache>
                <c:formatCode>0.00</c:formatCode>
                <c:ptCount val="1"/>
                <c:pt idx="0">
                  <c:v>2.9795483747040952</c:v>
                </c:pt>
              </c:numCache>
            </c:numRef>
          </c:xVal>
          <c:yVal>
            <c:numRef>
              <c:f>'Viscosity and density'!$C$4</c:f>
              <c:numCache>
                <c:formatCode>0.00</c:formatCode>
                <c:ptCount val="1"/>
                <c:pt idx="0">
                  <c:v>1.25</c:v>
                </c:pt>
              </c:numCache>
            </c:numRef>
          </c:yVal>
          <c:smooth val="0"/>
        </c:ser>
        <c:ser>
          <c:idx val="2"/>
          <c:order val="2"/>
          <c:tx>
            <c:strRef>
              <c:f>'Viscosity and density'!$B$20</c:f>
              <c:strCache>
                <c:ptCount val="1"/>
                <c:pt idx="0">
                  <c:v>Triacetin</c:v>
                </c:pt>
              </c:strCache>
            </c:strRef>
          </c:tx>
          <c:spPr>
            <a:ln w="28575">
              <a:noFill/>
            </a:ln>
          </c:spPr>
          <c:marker>
            <c:symbol val="diamond"/>
            <c:size val="10"/>
            <c:spPr>
              <a:solidFill>
                <a:srgbClr val="FF0000"/>
              </a:solidFill>
              <a:ln w="12700">
                <a:solidFill>
                  <a:schemeClr val="tx1"/>
                </a:solidFill>
              </a:ln>
            </c:spPr>
          </c:marker>
          <c:dLbls>
            <c:dLblPos val="l"/>
            <c:showLegendKey val="0"/>
            <c:showVal val="0"/>
            <c:showCatName val="0"/>
            <c:showSerName val="1"/>
            <c:showPercent val="0"/>
            <c:showBubbleSize val="0"/>
            <c:showLeaderLines val="0"/>
          </c:dLbls>
          <c:xVal>
            <c:numRef>
              <c:f>'Viscosity and density'!$F$20</c:f>
              <c:numCache>
                <c:formatCode>0.00</c:formatCode>
                <c:ptCount val="1"/>
                <c:pt idx="0">
                  <c:v>1.2405492482825997</c:v>
                </c:pt>
              </c:numCache>
            </c:numRef>
          </c:xVal>
          <c:yVal>
            <c:numRef>
              <c:f>'Viscosity and density'!$C$20</c:f>
              <c:numCache>
                <c:formatCode>0.00</c:formatCode>
                <c:ptCount val="1"/>
                <c:pt idx="0">
                  <c:v>1.155</c:v>
                </c:pt>
              </c:numCache>
            </c:numRef>
          </c:yVal>
          <c:smooth val="0"/>
        </c:ser>
        <c:ser>
          <c:idx val="3"/>
          <c:order val="3"/>
          <c:tx>
            <c:strRef>
              <c:f>'Viscosity and density'!$B$31</c:f>
              <c:strCache>
                <c:ptCount val="1"/>
                <c:pt idx="0">
                  <c:v>Cyrene</c:v>
                </c:pt>
              </c:strCache>
            </c:strRef>
          </c:tx>
          <c:spPr>
            <a:ln w="28575">
              <a:noFill/>
            </a:ln>
          </c:spPr>
          <c:marker>
            <c:symbol val="diamond"/>
            <c:size val="10"/>
            <c:spPr>
              <a:solidFill>
                <a:srgbClr val="FF0000"/>
              </a:solidFill>
              <a:ln w="12700">
                <a:solidFill>
                  <a:schemeClr val="tx1"/>
                </a:solidFill>
              </a:ln>
            </c:spPr>
          </c:marker>
          <c:dLbls>
            <c:dLblPos val="l"/>
            <c:showLegendKey val="0"/>
            <c:showVal val="0"/>
            <c:showCatName val="0"/>
            <c:showSerName val="1"/>
            <c:showPercent val="0"/>
            <c:showBubbleSize val="0"/>
            <c:showLeaderLines val="0"/>
          </c:dLbls>
          <c:xVal>
            <c:numRef>
              <c:f>'Viscosity and density'!$F$31</c:f>
              <c:numCache>
                <c:formatCode>0.00</c:formatCode>
                <c:ptCount val="1"/>
                <c:pt idx="0">
                  <c:v>1.0425755124401905</c:v>
                </c:pt>
              </c:numCache>
            </c:numRef>
          </c:xVal>
          <c:yVal>
            <c:numRef>
              <c:f>'Viscosity and density'!$C$31</c:f>
              <c:numCache>
                <c:formatCode>0.00</c:formatCode>
                <c:ptCount val="1"/>
                <c:pt idx="0">
                  <c:v>1.25</c:v>
                </c:pt>
              </c:numCache>
            </c:numRef>
          </c:yVal>
          <c:smooth val="0"/>
        </c:ser>
        <c:ser>
          <c:idx val="4"/>
          <c:order val="4"/>
          <c:tx>
            <c:strRef>
              <c:f>'Viscosity and density'!$B$94</c:f>
              <c:strCache>
                <c:ptCount val="1"/>
                <c:pt idx="0">
                  <c:v>NMP</c:v>
                </c:pt>
              </c:strCache>
            </c:strRef>
          </c:tx>
          <c:spPr>
            <a:ln w="28575">
              <a:noFill/>
            </a:ln>
          </c:spPr>
          <c:marker>
            <c:symbol val="diamond"/>
            <c:size val="10"/>
            <c:spPr>
              <a:solidFill>
                <a:srgbClr val="FF0000"/>
              </a:solidFill>
              <a:ln w="12700">
                <a:solidFill>
                  <a:schemeClr val="tx1"/>
                </a:solidFill>
              </a:ln>
            </c:spPr>
          </c:marker>
          <c:dLbls>
            <c:spPr>
              <a:solidFill>
                <a:schemeClr val="bg1">
                  <a:alpha val="50000"/>
                </a:schemeClr>
              </a:solidFill>
            </c:spPr>
            <c:dLblPos val="l"/>
            <c:showLegendKey val="0"/>
            <c:showVal val="0"/>
            <c:showCatName val="0"/>
            <c:showSerName val="1"/>
            <c:showPercent val="0"/>
            <c:showBubbleSize val="0"/>
            <c:showLeaderLines val="0"/>
          </c:dLbls>
          <c:xVal>
            <c:numRef>
              <c:f>'Viscosity and density'!$F$94</c:f>
              <c:numCache>
                <c:formatCode>0.00</c:formatCode>
                <c:ptCount val="1"/>
                <c:pt idx="0">
                  <c:v>0.22167499707076876</c:v>
                </c:pt>
              </c:numCache>
            </c:numRef>
          </c:xVal>
          <c:yVal>
            <c:numRef>
              <c:f>'Viscosity and density'!$C$94</c:f>
              <c:numCache>
                <c:formatCode>0.00</c:formatCode>
                <c:ptCount val="1"/>
                <c:pt idx="0">
                  <c:v>1.0329999999999999</c:v>
                </c:pt>
              </c:numCache>
            </c:numRef>
          </c:yVal>
          <c:smooth val="0"/>
        </c:ser>
        <c:ser>
          <c:idx val="5"/>
          <c:order val="5"/>
          <c:tx>
            <c:strRef>
              <c:f>'Viscosity and density'!$B$198</c:f>
              <c:strCache>
                <c:ptCount val="1"/>
                <c:pt idx="0">
                  <c:v>DCM</c:v>
                </c:pt>
              </c:strCache>
            </c:strRef>
          </c:tx>
          <c:spPr>
            <a:ln w="28575">
              <a:noFill/>
            </a:ln>
          </c:spPr>
          <c:marker>
            <c:symbol val="diamond"/>
            <c:size val="10"/>
            <c:spPr>
              <a:solidFill>
                <a:srgbClr val="FF0000"/>
              </a:solidFill>
              <a:ln w="12700">
                <a:solidFill>
                  <a:schemeClr val="tx1"/>
                </a:solidFill>
              </a:ln>
            </c:spPr>
          </c:marker>
          <c:dLbls>
            <c:dLblPos val="l"/>
            <c:showLegendKey val="0"/>
            <c:showVal val="0"/>
            <c:showCatName val="0"/>
            <c:showSerName val="1"/>
            <c:showPercent val="0"/>
            <c:showBubbleSize val="0"/>
            <c:showLeaderLines val="0"/>
          </c:dLbls>
          <c:xVal>
            <c:numRef>
              <c:f>'Viscosity and density'!$F$198</c:f>
              <c:numCache>
                <c:formatCode>0.00</c:formatCode>
                <c:ptCount val="1"/>
                <c:pt idx="0">
                  <c:v>-0.36653154442041347</c:v>
                </c:pt>
              </c:numCache>
            </c:numRef>
          </c:xVal>
          <c:yVal>
            <c:numRef>
              <c:f>'Viscosity and density'!$C$198</c:f>
              <c:numCache>
                <c:formatCode>0.00</c:formatCode>
                <c:ptCount val="1"/>
                <c:pt idx="0">
                  <c:v>1.325</c:v>
                </c:pt>
              </c:numCache>
            </c:numRef>
          </c:yVal>
          <c:smooth val="0"/>
        </c:ser>
        <c:ser>
          <c:idx val="6"/>
          <c:order val="6"/>
          <c:tx>
            <c:strRef>
              <c:f>'Viscosity and density'!$B$56</c:f>
              <c:strCache>
                <c:ptCount val="1"/>
                <c:pt idx="0">
                  <c:v>Butyl lactate</c:v>
                </c:pt>
              </c:strCache>
            </c:strRef>
          </c:tx>
          <c:spPr>
            <a:ln w="28575">
              <a:noFill/>
            </a:ln>
          </c:spPr>
          <c:marker>
            <c:symbol val="diamond"/>
            <c:size val="9"/>
            <c:spPr>
              <a:solidFill>
                <a:srgbClr val="FF0000"/>
              </a:solidFill>
              <a:ln w="12700">
                <a:solidFill>
                  <a:schemeClr val="tx1"/>
                </a:solidFill>
              </a:ln>
            </c:spPr>
          </c:marker>
          <c:dLbls>
            <c:spPr>
              <a:solidFill>
                <a:schemeClr val="bg1">
                  <a:alpha val="50000"/>
                </a:schemeClr>
              </a:solidFill>
            </c:spPr>
            <c:dLblPos val="r"/>
            <c:showLegendKey val="0"/>
            <c:showVal val="0"/>
            <c:showCatName val="0"/>
            <c:showSerName val="1"/>
            <c:showPercent val="0"/>
            <c:showBubbleSize val="0"/>
            <c:showLeaderLines val="0"/>
          </c:dLbls>
          <c:xVal>
            <c:numRef>
              <c:f>'Viscosity and density'!$F$56</c:f>
              <c:numCache>
                <c:formatCode>0.00</c:formatCode>
                <c:ptCount val="1"/>
                <c:pt idx="0">
                  <c:v>0.57978359661681012</c:v>
                </c:pt>
              </c:numCache>
            </c:numRef>
          </c:xVal>
          <c:yVal>
            <c:numRef>
              <c:f>'Viscosity and density'!$C$56</c:f>
              <c:numCache>
                <c:formatCode>0.00</c:formatCode>
                <c:ptCount val="1"/>
                <c:pt idx="0">
                  <c:v>0.98</c:v>
                </c:pt>
              </c:numCache>
            </c:numRef>
          </c:yVal>
          <c:smooth val="0"/>
        </c:ser>
        <c:dLbls>
          <c:showLegendKey val="0"/>
          <c:showVal val="0"/>
          <c:showCatName val="0"/>
          <c:showSerName val="0"/>
          <c:showPercent val="0"/>
          <c:showBubbleSize val="0"/>
        </c:dLbls>
        <c:axId val="335450880"/>
        <c:axId val="335452800"/>
      </c:scatterChart>
      <c:valAx>
        <c:axId val="335450880"/>
        <c:scaling>
          <c:orientation val="minMax"/>
          <c:max val="3"/>
          <c:min val="-1"/>
        </c:scaling>
        <c:delete val="0"/>
        <c:axPos val="b"/>
        <c:majorGridlines/>
        <c:title>
          <c:tx>
            <c:rich>
              <a:bodyPr/>
              <a:lstStyle/>
              <a:p>
                <a:pPr>
                  <a:defRPr sz="1500"/>
                </a:pPr>
                <a:r>
                  <a:rPr lang="en-US" sz="1500"/>
                  <a:t>log(Viscosity /cP)</a:t>
                </a:r>
              </a:p>
            </c:rich>
          </c:tx>
          <c:overlay val="0"/>
        </c:title>
        <c:numFmt formatCode="0.00" sourceLinked="1"/>
        <c:majorTickMark val="out"/>
        <c:minorTickMark val="none"/>
        <c:tickLblPos val="nextTo"/>
        <c:crossAx val="335452800"/>
        <c:crosses val="autoZero"/>
        <c:crossBetween val="midCat"/>
        <c:majorUnit val="1"/>
      </c:valAx>
      <c:valAx>
        <c:axId val="335452800"/>
        <c:scaling>
          <c:orientation val="minMax"/>
          <c:max val="2"/>
          <c:min val="0"/>
        </c:scaling>
        <c:delete val="0"/>
        <c:axPos val="l"/>
        <c:majorGridlines/>
        <c:title>
          <c:tx>
            <c:rich>
              <a:bodyPr rot="-5400000" vert="horz"/>
              <a:lstStyle/>
              <a:p>
                <a:pPr>
                  <a:defRPr sz="1500"/>
                </a:pPr>
                <a:r>
                  <a:rPr lang="en-US" sz="1500"/>
                  <a:t>Density /gcm-3</a:t>
                </a:r>
              </a:p>
            </c:rich>
          </c:tx>
          <c:overlay val="0"/>
        </c:title>
        <c:numFmt formatCode="0.00" sourceLinked="1"/>
        <c:majorTickMark val="out"/>
        <c:minorTickMark val="none"/>
        <c:tickLblPos val="nextTo"/>
        <c:crossAx val="335450880"/>
        <c:crossesAt val="-2"/>
        <c:crossBetween val="midCat"/>
        <c:majorUnit val="0.5"/>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902887139107609E-2"/>
          <c:y val="3.3913771730361919E-2"/>
          <c:w val="0.86350000000000005"/>
          <c:h val="0.84346304351501777"/>
        </c:manualLayout>
      </c:layout>
      <c:scatterChart>
        <c:scatterStyle val="lineMarker"/>
        <c:varyColors val="0"/>
        <c:ser>
          <c:idx val="0"/>
          <c:order val="0"/>
          <c:spPr>
            <a:ln w="28575">
              <a:noFill/>
            </a:ln>
          </c:spPr>
          <c:marker>
            <c:symbol val="circle"/>
            <c:size val="7"/>
            <c:spPr>
              <a:solidFill>
                <a:srgbClr val="00B050"/>
              </a:solidFill>
              <a:ln>
                <a:noFill/>
              </a:ln>
            </c:spPr>
          </c:marker>
          <c:dPt>
            <c:idx val="10"/>
            <c:marker>
              <c:spPr>
                <a:solidFill>
                  <a:srgbClr val="00B050"/>
                </a:solidFill>
                <a:ln w="12700">
                  <a:solidFill>
                    <a:schemeClr val="tx1"/>
                  </a:solidFill>
                </a:ln>
              </c:spPr>
            </c:marker>
            <c:bubble3D val="0"/>
          </c:dPt>
          <c:dPt>
            <c:idx val="13"/>
            <c:marker>
              <c:spPr>
                <a:solidFill>
                  <a:srgbClr val="00B050"/>
                </a:solidFill>
                <a:ln w="12700">
                  <a:solidFill>
                    <a:schemeClr val="tx1"/>
                  </a:solidFill>
                </a:ln>
              </c:spPr>
            </c:marker>
            <c:bubble3D val="0"/>
          </c:dPt>
          <c:dPt>
            <c:idx val="15"/>
            <c:marker>
              <c:spPr>
                <a:solidFill>
                  <a:srgbClr val="00B050"/>
                </a:solidFill>
                <a:ln w="12700">
                  <a:noFill/>
                </a:ln>
              </c:spPr>
            </c:marker>
            <c:bubble3D val="0"/>
          </c:dPt>
          <c:dPt>
            <c:idx val="16"/>
            <c:marker>
              <c:spPr>
                <a:solidFill>
                  <a:srgbClr val="00B050"/>
                </a:solidFill>
                <a:ln w="12700">
                  <a:solidFill>
                    <a:schemeClr val="tx1"/>
                  </a:solidFill>
                </a:ln>
              </c:spPr>
            </c:marker>
            <c:bubble3D val="0"/>
          </c:dPt>
          <c:dPt>
            <c:idx val="21"/>
            <c:marker>
              <c:spPr>
                <a:solidFill>
                  <a:srgbClr val="00B050"/>
                </a:solidFill>
                <a:ln w="12700">
                  <a:noFill/>
                </a:ln>
              </c:spPr>
            </c:marker>
            <c:bubble3D val="0"/>
          </c:dPt>
          <c:xVal>
            <c:numRef>
              <c:f>Shortlist!$AB$14:$AB$35</c:f>
              <c:numCache>
                <c:formatCode>General</c:formatCode>
                <c:ptCount val="22"/>
                <c:pt idx="0">
                  <c:v>0.79106737320211962</c:v>
                </c:pt>
                <c:pt idx="1">
                  <c:v>0.55369261477045906</c:v>
                </c:pt>
                <c:pt idx="2">
                  <c:v>0.80800000000000005</c:v>
                </c:pt>
                <c:pt idx="3">
                  <c:v>0.4527272727272727</c:v>
                </c:pt>
                <c:pt idx="4">
                  <c:v>8.6821705426356602E-2</c:v>
                </c:pt>
                <c:pt idx="5">
                  <c:v>0.16799679487179486</c:v>
                </c:pt>
                <c:pt idx="6">
                  <c:v>0.98640483383685795</c:v>
                </c:pt>
                <c:pt idx="7">
                  <c:v>0.59195402298850575</c:v>
                </c:pt>
                <c:pt idx="8">
                  <c:v>1.1113636363636363</c:v>
                </c:pt>
                <c:pt idx="9">
                  <c:v>0.62004801920768304</c:v>
                </c:pt>
                <c:pt idx="10">
                  <c:v>6.6379310344827594E-2</c:v>
                </c:pt>
                <c:pt idx="11">
                  <c:v>0.23227272727272727</c:v>
                </c:pt>
                <c:pt idx="12">
                  <c:v>0.42963636363636359</c:v>
                </c:pt>
                <c:pt idx="13">
                  <c:v>0.25789473684210529</c:v>
                </c:pt>
                <c:pt idx="14">
                  <c:v>1.1524390243902438</c:v>
                </c:pt>
                <c:pt idx="15">
                  <c:v>0.89604519774011304</c:v>
                </c:pt>
                <c:pt idx="16">
                  <c:v>0.11332728921124208</c:v>
                </c:pt>
                <c:pt idx="17">
                  <c:v>0.73720930232558135</c:v>
                </c:pt>
                <c:pt idx="18">
                  <c:v>0.66444444444444439</c:v>
                </c:pt>
                <c:pt idx="19">
                  <c:v>0.72747321991178326</c:v>
                </c:pt>
                <c:pt idx="20">
                  <c:v>0.19448979591836732</c:v>
                </c:pt>
                <c:pt idx="21">
                  <c:v>1.0097087378640777</c:v>
                </c:pt>
              </c:numCache>
            </c:numRef>
          </c:xVal>
          <c:yVal>
            <c:numRef>
              <c:f>Shortlist!$Y$14:$Y$35</c:f>
              <c:numCache>
                <c:formatCode>#,#00</c:formatCode>
                <c:ptCount val="22"/>
                <c:pt idx="0">
                  <c:v>4.1500000000000004</c:v>
                </c:pt>
                <c:pt idx="1">
                  <c:v>5.26</c:v>
                </c:pt>
                <c:pt idx="2">
                  <c:v>5.4</c:v>
                </c:pt>
                <c:pt idx="3">
                  <c:v>5.5</c:v>
                </c:pt>
                <c:pt idx="4">
                  <c:v>3.31</c:v>
                </c:pt>
                <c:pt idx="5">
                  <c:v>5.33</c:v>
                </c:pt>
                <c:pt idx="6">
                  <c:v>5.84</c:v>
                </c:pt>
                <c:pt idx="7">
                  <c:v>4.04</c:v>
                </c:pt>
                <c:pt idx="8">
                  <c:v>2.74</c:v>
                </c:pt>
                <c:pt idx="9">
                  <c:v>3.04</c:v>
                </c:pt>
                <c:pt idx="10">
                  <c:v>5.83</c:v>
                </c:pt>
                <c:pt idx="11">
                  <c:v>6.49</c:v>
                </c:pt>
                <c:pt idx="12">
                  <c:v>2.78</c:v>
                </c:pt>
                <c:pt idx="13">
                  <c:v>5.78</c:v>
                </c:pt>
                <c:pt idx="14">
                  <c:v>5.81</c:v>
                </c:pt>
                <c:pt idx="15">
                  <c:v>5.0999999999999996</c:v>
                </c:pt>
                <c:pt idx="16">
                  <c:v>2.2113344387495983</c:v>
                </c:pt>
                <c:pt idx="17">
                  <c:v>3.61</c:v>
                </c:pt>
                <c:pt idx="18">
                  <c:v>6.23</c:v>
                </c:pt>
                <c:pt idx="19">
                  <c:v>6.29</c:v>
                </c:pt>
                <c:pt idx="20">
                  <c:v>5.45</c:v>
                </c:pt>
                <c:pt idx="21">
                  <c:v>3.67</c:v>
                </c:pt>
              </c:numCache>
            </c:numRef>
          </c:yVal>
          <c:smooth val="0"/>
        </c:ser>
        <c:ser>
          <c:idx val="1"/>
          <c:order val="1"/>
          <c:tx>
            <c:v>NMP</c:v>
          </c:tx>
          <c:spPr>
            <a:ln w="28575">
              <a:noFill/>
            </a:ln>
          </c:spPr>
          <c:marker>
            <c:symbol val="square"/>
            <c:size val="8"/>
            <c:spPr>
              <a:solidFill>
                <a:srgbClr val="7030A0"/>
              </a:solidFill>
              <a:ln>
                <a:noFill/>
              </a:ln>
            </c:spPr>
          </c:marker>
          <c:dLbls>
            <c:dLblPos val="t"/>
            <c:showLegendKey val="0"/>
            <c:showVal val="0"/>
            <c:showCatName val="0"/>
            <c:showSerName val="1"/>
            <c:showPercent val="0"/>
            <c:showBubbleSize val="0"/>
            <c:showLeaderLines val="0"/>
          </c:dLbls>
          <c:xVal>
            <c:numRef>
              <c:f>Shortlist!$AB$23</c:f>
              <c:numCache>
                <c:formatCode>General</c:formatCode>
                <c:ptCount val="1"/>
                <c:pt idx="0">
                  <c:v>0.62004801920768304</c:v>
                </c:pt>
              </c:numCache>
            </c:numRef>
          </c:xVal>
          <c:yVal>
            <c:numRef>
              <c:f>Shortlist!$Y$23</c:f>
              <c:numCache>
                <c:formatCode>#,#00</c:formatCode>
                <c:ptCount val="1"/>
                <c:pt idx="0">
                  <c:v>3.04</c:v>
                </c:pt>
              </c:numCache>
            </c:numRef>
          </c:yVal>
          <c:smooth val="0"/>
        </c:ser>
        <c:ser>
          <c:idx val="2"/>
          <c:order val="2"/>
          <c:tx>
            <c:strRef>
              <c:f>'Preliminary shortlist'!$P$32</c:f>
              <c:strCache>
                <c:ptCount val="1"/>
                <c:pt idx="0">
                  <c:v>Cyrene</c:v>
                </c:pt>
              </c:strCache>
            </c:strRef>
          </c:tx>
          <c:spPr>
            <a:ln w="28575">
              <a:noFill/>
            </a:ln>
          </c:spPr>
          <c:marker>
            <c:symbol val="none"/>
          </c:marker>
          <c:dLbls>
            <c:dLblPos val="b"/>
            <c:showLegendKey val="0"/>
            <c:showVal val="0"/>
            <c:showCatName val="0"/>
            <c:showSerName val="1"/>
            <c:showPercent val="0"/>
            <c:showBubbleSize val="0"/>
            <c:showLeaderLines val="0"/>
          </c:dLbls>
          <c:xVal>
            <c:numRef>
              <c:f>Shortlist!$AB$30</c:f>
              <c:numCache>
                <c:formatCode>General</c:formatCode>
                <c:ptCount val="1"/>
                <c:pt idx="0">
                  <c:v>0.11332728921124208</c:v>
                </c:pt>
              </c:numCache>
            </c:numRef>
          </c:xVal>
          <c:yVal>
            <c:numRef>
              <c:f>Shortlist!$Y$30</c:f>
              <c:numCache>
                <c:formatCode>#,#00</c:formatCode>
                <c:ptCount val="1"/>
                <c:pt idx="0">
                  <c:v>2.2113344387495983</c:v>
                </c:pt>
              </c:numCache>
            </c:numRef>
          </c:yVal>
          <c:smooth val="0"/>
        </c:ser>
        <c:ser>
          <c:idx val="3"/>
          <c:order val="3"/>
          <c:tx>
            <c:strRef>
              <c:f>'Preliminary shortlist'!$P$21</c:f>
              <c:strCache>
                <c:ptCount val="1"/>
                <c:pt idx="0">
                  <c:v>Pyridine</c:v>
                </c:pt>
              </c:strCache>
            </c:strRef>
          </c:tx>
          <c:spPr>
            <a:ln w="28575">
              <a:noFill/>
            </a:ln>
          </c:spPr>
          <c:marker>
            <c:symbol val="none"/>
          </c:marker>
          <c:dLbls>
            <c:dLbl>
              <c:idx val="0"/>
              <c:spPr/>
              <c:txPr>
                <a:bodyPr/>
                <a:lstStyle/>
                <a:p>
                  <a:pPr>
                    <a:defRPr i="1"/>
                  </a:pPr>
                  <a:endParaRPr lang="en-US"/>
                </a:p>
              </c:txPr>
              <c:dLblPos val="b"/>
              <c:showLegendKey val="0"/>
              <c:showVal val="0"/>
              <c:showCatName val="0"/>
              <c:showSerName val="1"/>
              <c:showPercent val="0"/>
              <c:showBubbleSize val="0"/>
            </c:dLbl>
            <c:dLblPos val="b"/>
            <c:showLegendKey val="0"/>
            <c:showVal val="0"/>
            <c:showCatName val="0"/>
            <c:showSerName val="1"/>
            <c:showPercent val="0"/>
            <c:showBubbleSize val="0"/>
            <c:showLeaderLines val="0"/>
          </c:dLbls>
          <c:xVal>
            <c:numRef>
              <c:f>Shortlist!$AB$22</c:f>
              <c:numCache>
                <c:formatCode>General</c:formatCode>
                <c:ptCount val="1"/>
                <c:pt idx="0">
                  <c:v>1.1113636363636363</c:v>
                </c:pt>
              </c:numCache>
            </c:numRef>
          </c:xVal>
          <c:yVal>
            <c:numRef>
              <c:f>Shortlist!$Y$22</c:f>
              <c:numCache>
                <c:formatCode>#,#00</c:formatCode>
                <c:ptCount val="1"/>
                <c:pt idx="0">
                  <c:v>2.74</c:v>
                </c:pt>
              </c:numCache>
            </c:numRef>
          </c:yVal>
          <c:smooth val="0"/>
        </c:ser>
        <c:ser>
          <c:idx val="4"/>
          <c:order val="4"/>
          <c:tx>
            <c:strRef>
              <c:f>'Preliminary shortlist'!$P$26</c:f>
              <c:strCache>
                <c:ptCount val="1"/>
                <c:pt idx="0">
                  <c:v>Cyclohexanone</c:v>
                </c:pt>
              </c:strCache>
            </c:strRef>
          </c:tx>
          <c:spPr>
            <a:ln w="28575">
              <a:noFill/>
            </a:ln>
          </c:spPr>
          <c:marker>
            <c:symbol val="none"/>
          </c:marker>
          <c:dLbls>
            <c:dLbl>
              <c:idx val="0"/>
              <c:tx>
                <c:rich>
                  <a:bodyPr/>
                  <a:lstStyle/>
                  <a:p>
                    <a:r>
                      <a:rPr lang="en-GB" i="1"/>
                      <a:t>Cyclohexanone</a:t>
                    </a:r>
                  </a:p>
                </c:rich>
              </c:tx>
              <c:dLblPos val="b"/>
              <c:showLegendKey val="0"/>
              <c:showVal val="0"/>
              <c:showCatName val="0"/>
              <c:showSerName val="1"/>
              <c:showPercent val="0"/>
              <c:showBubbleSize val="0"/>
            </c:dLbl>
            <c:dLblPos val="b"/>
            <c:showLegendKey val="0"/>
            <c:showVal val="0"/>
            <c:showCatName val="0"/>
            <c:showSerName val="1"/>
            <c:showPercent val="0"/>
            <c:showBubbleSize val="0"/>
            <c:showLeaderLines val="0"/>
          </c:dLbls>
          <c:xVal>
            <c:numRef>
              <c:f>Shortlist!$AB$26</c:f>
              <c:numCache>
                <c:formatCode>General</c:formatCode>
                <c:ptCount val="1"/>
                <c:pt idx="0">
                  <c:v>0.42963636363636359</c:v>
                </c:pt>
              </c:numCache>
            </c:numRef>
          </c:xVal>
          <c:yVal>
            <c:numRef>
              <c:f>Shortlist!$Y$26</c:f>
              <c:numCache>
                <c:formatCode>#,#00</c:formatCode>
                <c:ptCount val="1"/>
                <c:pt idx="0">
                  <c:v>2.78</c:v>
                </c:pt>
              </c:numCache>
            </c:numRef>
          </c:yVal>
          <c:smooth val="0"/>
        </c:ser>
        <c:ser>
          <c:idx val="6"/>
          <c:order val="5"/>
          <c:tx>
            <c:strRef>
              <c:f>Shortlist!$V$27</c:f>
              <c:strCache>
                <c:ptCount val="1"/>
                <c:pt idx="0">
                  <c:v>Butyl lactate</c:v>
                </c:pt>
              </c:strCache>
            </c:strRef>
          </c:tx>
          <c:spPr>
            <a:ln w="28575">
              <a:noFill/>
            </a:ln>
          </c:spPr>
          <c:marker>
            <c:symbol val="none"/>
          </c:marker>
          <c:dPt>
            <c:idx val="0"/>
            <c:bubble3D val="0"/>
          </c:dPt>
          <c:dLbls>
            <c:dLblPos val="t"/>
            <c:showLegendKey val="0"/>
            <c:showVal val="0"/>
            <c:showCatName val="0"/>
            <c:showSerName val="1"/>
            <c:showPercent val="0"/>
            <c:showBubbleSize val="0"/>
            <c:showLeaderLines val="0"/>
          </c:dLbls>
          <c:xVal>
            <c:numRef>
              <c:f>Shortlist!$AB$27</c:f>
              <c:numCache>
                <c:formatCode>General</c:formatCode>
                <c:ptCount val="1"/>
                <c:pt idx="0">
                  <c:v>0.25789473684210529</c:v>
                </c:pt>
              </c:numCache>
            </c:numRef>
          </c:xVal>
          <c:yVal>
            <c:numRef>
              <c:f>Shortlist!$Y$27</c:f>
              <c:numCache>
                <c:formatCode>#,#00</c:formatCode>
                <c:ptCount val="1"/>
                <c:pt idx="0">
                  <c:v>5.78</c:v>
                </c:pt>
              </c:numCache>
            </c:numRef>
          </c:yVal>
          <c:smooth val="0"/>
        </c:ser>
        <c:ser>
          <c:idx val="5"/>
          <c:order val="6"/>
          <c:tx>
            <c:strRef>
              <c:f>Shortlist!$V$24</c:f>
              <c:strCache>
                <c:ptCount val="1"/>
                <c:pt idx="0">
                  <c:v>Triacetin</c:v>
                </c:pt>
              </c:strCache>
            </c:strRef>
          </c:tx>
          <c:spPr>
            <a:ln w="28575">
              <a:noFill/>
            </a:ln>
          </c:spPr>
          <c:marker>
            <c:symbol val="none"/>
          </c:marker>
          <c:dLbls>
            <c:dLbl>
              <c:idx val="0"/>
              <c:dLblPos val="t"/>
              <c:showLegendKey val="0"/>
              <c:showVal val="0"/>
              <c:showCatName val="0"/>
              <c:showSerName val="1"/>
              <c:showPercent val="0"/>
              <c:showBubbleSize val="0"/>
            </c:dLbl>
            <c:showLegendKey val="0"/>
            <c:showVal val="1"/>
            <c:showCatName val="0"/>
            <c:showSerName val="0"/>
            <c:showPercent val="0"/>
            <c:showBubbleSize val="0"/>
            <c:showLeaderLines val="0"/>
          </c:dLbls>
          <c:xVal>
            <c:numRef>
              <c:f>Shortlist!$AB$24</c:f>
              <c:numCache>
                <c:formatCode>General</c:formatCode>
                <c:ptCount val="1"/>
                <c:pt idx="0">
                  <c:v>6.6379310344827594E-2</c:v>
                </c:pt>
              </c:numCache>
            </c:numRef>
          </c:xVal>
          <c:yVal>
            <c:numRef>
              <c:f>Shortlist!$Y$24</c:f>
              <c:numCache>
                <c:formatCode>#,#00</c:formatCode>
                <c:ptCount val="1"/>
                <c:pt idx="0">
                  <c:v>5.83</c:v>
                </c:pt>
              </c:numCache>
            </c:numRef>
          </c:yVal>
          <c:smooth val="0"/>
        </c:ser>
        <c:dLbls>
          <c:showLegendKey val="0"/>
          <c:showVal val="0"/>
          <c:showCatName val="0"/>
          <c:showSerName val="0"/>
          <c:showPercent val="0"/>
          <c:showBubbleSize val="0"/>
        </c:dLbls>
        <c:axId val="336044032"/>
        <c:axId val="336047104"/>
      </c:scatterChart>
      <c:valAx>
        <c:axId val="336044032"/>
        <c:scaling>
          <c:orientation val="minMax"/>
          <c:max val="1.2"/>
          <c:min val="0"/>
        </c:scaling>
        <c:delete val="0"/>
        <c:axPos val="b"/>
        <c:title>
          <c:tx>
            <c:rich>
              <a:bodyPr/>
              <a:lstStyle/>
              <a:p>
                <a:pPr>
                  <a:defRPr sz="1400"/>
                </a:pPr>
                <a:r>
                  <a:rPr lang="en-GB" sz="1400"/>
                  <a:t>(Density/g mol</a:t>
                </a:r>
                <a:r>
                  <a:rPr lang="en-GB" sz="1400" baseline="30000"/>
                  <a:t>-1</a:t>
                </a:r>
                <a:r>
                  <a:rPr lang="en-GB" sz="1400"/>
                  <a:t>)/(dynamic viscosity /cP)</a:t>
                </a:r>
                <a:endParaRPr lang="en-US" sz="1400" baseline="30000"/>
              </a:p>
            </c:rich>
          </c:tx>
          <c:layout>
            <c:manualLayout>
              <c:xMode val="edge"/>
              <c:yMode val="edge"/>
              <c:x val="0.33190971128608926"/>
              <c:y val="0.94205679822449495"/>
            </c:manualLayout>
          </c:layout>
          <c:overlay val="0"/>
        </c:title>
        <c:numFmt formatCode="#,##0.00" sourceLinked="0"/>
        <c:majorTickMark val="out"/>
        <c:minorTickMark val="none"/>
        <c:tickLblPos val="nextTo"/>
        <c:crossAx val="336047104"/>
        <c:crosses val="autoZero"/>
        <c:crossBetween val="midCat"/>
        <c:majorUnit val="0.1"/>
      </c:valAx>
      <c:valAx>
        <c:axId val="336047104"/>
        <c:scaling>
          <c:orientation val="minMax"/>
          <c:max val="6.5"/>
          <c:min val="0"/>
        </c:scaling>
        <c:delete val="0"/>
        <c:axPos val="l"/>
        <c:title>
          <c:tx>
            <c:rich>
              <a:bodyPr rot="-5400000" vert="horz"/>
              <a:lstStyle/>
              <a:p>
                <a:pPr>
                  <a:defRPr sz="1400"/>
                </a:pPr>
                <a:r>
                  <a:rPr lang="en-US" sz="1400"/>
                  <a:t>Hansen radius /MPa</a:t>
                </a:r>
                <a:r>
                  <a:rPr lang="en-US" sz="1400" baseline="30000"/>
                  <a:t>½</a:t>
                </a:r>
              </a:p>
            </c:rich>
          </c:tx>
          <c:layout>
            <c:manualLayout>
              <c:xMode val="edge"/>
              <c:yMode val="edge"/>
              <c:x val="1.0555511811023622E-2"/>
              <c:y val="0.30109318681544872"/>
            </c:manualLayout>
          </c:layout>
          <c:overlay val="0"/>
        </c:title>
        <c:numFmt formatCode="#,#00" sourceLinked="1"/>
        <c:majorTickMark val="out"/>
        <c:minorTickMark val="none"/>
        <c:tickLblPos val="nextTo"/>
        <c:crossAx val="336044032"/>
        <c:crosses val="autoZero"/>
        <c:crossBetween val="midCat"/>
        <c:majorUnit val="0.5"/>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350428689092193E-2"/>
          <c:y val="5.8666666666666666E-2"/>
          <c:w val="0.83675474731590882"/>
          <c:h val="0.88266666666666671"/>
        </c:manualLayout>
      </c:layout>
      <c:scatterChart>
        <c:scatterStyle val="lineMarker"/>
        <c:varyColors val="0"/>
        <c:ser>
          <c:idx val="0"/>
          <c:order val="0"/>
          <c:spPr>
            <a:ln w="25400">
              <a:solidFill>
                <a:schemeClr val="tx1"/>
              </a:solidFill>
              <a:prstDash val="sysDash"/>
              <a:headEnd type="none"/>
              <a:tailEnd type="none"/>
            </a:ln>
          </c:spPr>
          <c:marker>
            <c:symbol val="circle"/>
            <c:size val="5"/>
            <c:spPr>
              <a:solidFill>
                <a:schemeClr val="bg1"/>
              </a:solidFill>
              <a:ln w="25400">
                <a:solidFill>
                  <a:schemeClr val="tx1"/>
                </a:solidFill>
              </a:ln>
            </c:spPr>
          </c:marker>
          <c:dPt>
            <c:idx val="1"/>
            <c:marker>
              <c:symbol val="diamond"/>
              <c:size val="8"/>
              <c:spPr>
                <a:solidFill>
                  <a:schemeClr val="tx1"/>
                </a:solidFill>
                <a:ln w="25400">
                  <a:solidFill>
                    <a:schemeClr val="tx1"/>
                  </a:solidFill>
                </a:ln>
              </c:spPr>
            </c:marker>
            <c:bubble3D val="0"/>
          </c:dPt>
          <c:xVal>
            <c:numRef>
              <c:f>'Final decision'!$L$88:$L$90</c:f>
              <c:numCache>
                <c:formatCode>General</c:formatCode>
                <c:ptCount val="3"/>
                <c:pt idx="0">
                  <c:v>1</c:v>
                </c:pt>
                <c:pt idx="1">
                  <c:v>1</c:v>
                </c:pt>
                <c:pt idx="2">
                  <c:v>1</c:v>
                </c:pt>
              </c:numCache>
            </c:numRef>
          </c:xVal>
          <c:yVal>
            <c:numRef>
              <c:f>'Final decision'!$M$88:$M$90</c:f>
              <c:numCache>
                <c:formatCode>General</c:formatCode>
                <c:ptCount val="3"/>
                <c:pt idx="0">
                  <c:v>-1</c:v>
                </c:pt>
                <c:pt idx="1">
                  <c:v>0</c:v>
                </c:pt>
                <c:pt idx="2">
                  <c:v>1</c:v>
                </c:pt>
              </c:numCache>
            </c:numRef>
          </c:yVal>
          <c:smooth val="0"/>
        </c:ser>
        <c:ser>
          <c:idx val="1"/>
          <c:order val="1"/>
          <c:tx>
            <c:strRef>
              <c:f>'Final decision'!$U$7</c:f>
              <c:strCache>
                <c:ptCount val="1"/>
                <c:pt idx="0">
                  <c:v>Vapor pressure (mmHg)</c:v>
                </c:pt>
              </c:strCache>
            </c:strRef>
          </c:tx>
          <c:spPr>
            <a:ln w="28575">
              <a:noFill/>
            </a:ln>
          </c:spPr>
          <c:marker>
            <c:symbol val="circle"/>
            <c:size val="8"/>
            <c:spPr>
              <a:noFill/>
              <a:ln w="19050">
                <a:solidFill>
                  <a:srgbClr val="FF0000"/>
                </a:solidFill>
              </a:ln>
            </c:spPr>
          </c:marker>
          <c:dPt>
            <c:idx val="4"/>
            <c:bubble3D val="0"/>
          </c:dPt>
          <c:dPt>
            <c:idx val="5"/>
            <c:marker>
              <c:spPr>
                <a:solidFill>
                  <a:schemeClr val="accent2">
                    <a:lumMod val="40000"/>
                    <a:lumOff val="60000"/>
                  </a:schemeClr>
                </a:solidFill>
                <a:ln w="19050">
                  <a:solidFill>
                    <a:srgbClr val="FF0000"/>
                  </a:solidFill>
                </a:ln>
              </c:spPr>
            </c:marker>
            <c:bubble3D val="0"/>
          </c:dPt>
          <c:dPt>
            <c:idx val="6"/>
            <c:bubble3D val="0"/>
          </c:dPt>
          <c:dPt>
            <c:idx val="7"/>
            <c:bubble3D val="0"/>
          </c:dPt>
          <c:xVal>
            <c:numRef>
              <c:f>'Final decision'!$K$84:$K$91</c:f>
              <c:numCache>
                <c:formatCode>General</c:formatCode>
                <c:ptCount val="8"/>
                <c:pt idx="0">
                  <c:v>2</c:v>
                </c:pt>
                <c:pt idx="1">
                  <c:v>3</c:v>
                </c:pt>
                <c:pt idx="2">
                  <c:v>4</c:v>
                </c:pt>
                <c:pt idx="3">
                  <c:v>5</c:v>
                </c:pt>
                <c:pt idx="4">
                  <c:v>6</c:v>
                </c:pt>
                <c:pt idx="5">
                  <c:v>7</c:v>
                </c:pt>
                <c:pt idx="6">
                  <c:v>8</c:v>
                </c:pt>
                <c:pt idx="7">
                  <c:v>9</c:v>
                </c:pt>
              </c:numCache>
            </c:numRef>
          </c:xVal>
          <c:yVal>
            <c:numRef>
              <c:f>'Final decision'!$Y$8:$Y$15</c:f>
              <c:numCache>
                <c:formatCode>0.00</c:formatCode>
                <c:ptCount val="8"/>
                <c:pt idx="0">
                  <c:v>0.65836817464402542</c:v>
                </c:pt>
                <c:pt idx="1">
                  <c:v>0.71845017506869113</c:v>
                </c:pt>
                <c:pt idx="2">
                  <c:v>0.8874142638493796</c:v>
                </c:pt>
                <c:pt idx="3">
                  <c:v>0.49432691829735431</c:v>
                </c:pt>
                <c:pt idx="4">
                  <c:v>0.37057866328005662</c:v>
                </c:pt>
                <c:pt idx="5">
                  <c:v>0.88117726804351393</c:v>
                </c:pt>
                <c:pt idx="6">
                  <c:v>0.2987212839372349</c:v>
                </c:pt>
                <c:pt idx="7">
                  <c:v>1.4486088986482391</c:v>
                </c:pt>
              </c:numCache>
            </c:numRef>
          </c:yVal>
          <c:smooth val="0"/>
        </c:ser>
        <c:ser>
          <c:idx val="2"/>
          <c:order val="2"/>
          <c:tx>
            <c:v>directive limit</c:v>
          </c:tx>
          <c:marker>
            <c:symbol val="none"/>
          </c:marker>
          <c:xVal>
            <c:numRef>
              <c:f>('Final decision'!$K$84,'Final decision'!$K$91)</c:f>
              <c:numCache>
                <c:formatCode>General</c:formatCode>
                <c:ptCount val="2"/>
                <c:pt idx="0">
                  <c:v>2</c:v>
                </c:pt>
                <c:pt idx="1">
                  <c:v>9</c:v>
                </c:pt>
              </c:numCache>
            </c:numRef>
          </c:xVal>
          <c:yVal>
            <c:numRef>
              <c:f>('Final decision'!$Y$25,'Final decision'!$Y$25)</c:f>
              <c:numCache>
                <c:formatCode>0.00</c:formatCode>
                <c:ptCount val="2"/>
                <c:pt idx="0">
                  <c:v>1.0127966650247635</c:v>
                </c:pt>
                <c:pt idx="1">
                  <c:v>1.0127966650247635</c:v>
                </c:pt>
              </c:numCache>
            </c:numRef>
          </c:yVal>
          <c:smooth val="0"/>
        </c:ser>
        <c:ser>
          <c:idx val="3"/>
          <c:order val="3"/>
          <c:tx>
            <c:v>NMP</c:v>
          </c:tx>
          <c:xVal>
            <c:numRef>
              <c:f>'Final decision'!$L$84</c:f>
              <c:numCache>
                <c:formatCode>General</c:formatCode>
                <c:ptCount val="1"/>
                <c:pt idx="0">
                  <c:v>10</c:v>
                </c:pt>
              </c:numCache>
            </c:numRef>
          </c:xVal>
          <c:yVal>
            <c:numRef>
              <c:f>'Final decision'!$Y$22</c:f>
              <c:numCache>
                <c:formatCode>0.00</c:formatCode>
                <c:ptCount val="1"/>
                <c:pt idx="0">
                  <c:v>0.81920700497939536</c:v>
                </c:pt>
              </c:numCache>
            </c:numRef>
          </c:yVal>
          <c:smooth val="0"/>
        </c:ser>
        <c:dLbls>
          <c:showLegendKey val="0"/>
          <c:showVal val="0"/>
          <c:showCatName val="0"/>
          <c:showSerName val="0"/>
          <c:showPercent val="0"/>
          <c:showBubbleSize val="0"/>
        </c:dLbls>
        <c:axId val="371747840"/>
        <c:axId val="371898240"/>
      </c:scatterChart>
      <c:valAx>
        <c:axId val="371747840"/>
        <c:scaling>
          <c:orientation val="minMax"/>
        </c:scaling>
        <c:delete val="1"/>
        <c:axPos val="b"/>
        <c:numFmt formatCode="General" sourceLinked="1"/>
        <c:majorTickMark val="out"/>
        <c:minorTickMark val="none"/>
        <c:tickLblPos val="nextTo"/>
        <c:crossAx val="371898240"/>
        <c:crossesAt val="-2"/>
        <c:crossBetween val="midCat"/>
      </c:valAx>
      <c:valAx>
        <c:axId val="371898240"/>
        <c:scaling>
          <c:orientation val="minMax"/>
          <c:max val="2"/>
          <c:min val="-2"/>
        </c:scaling>
        <c:delete val="1"/>
        <c:axPos val="l"/>
        <c:numFmt formatCode="General" sourceLinked="1"/>
        <c:majorTickMark val="out"/>
        <c:minorTickMark val="none"/>
        <c:tickLblPos val="nextTo"/>
        <c:crossAx val="371747840"/>
        <c:crosses val="autoZero"/>
        <c:crossBetween val="midCat"/>
        <c:majorUnit val="0.5"/>
      </c:valAx>
    </c:plotArea>
    <c:legend>
      <c:legendPos val="r"/>
      <c:legendEntry>
        <c:idx val="0"/>
        <c:delete val="1"/>
      </c:legendEntry>
      <c:legendEntry>
        <c:idx val="2"/>
        <c:delete val="1"/>
      </c:legendEntry>
      <c:legendEntry>
        <c:idx val="3"/>
        <c:delete val="1"/>
      </c:legendEntry>
      <c:layout>
        <c:manualLayout>
          <c:xMode val="edge"/>
          <c:yMode val="edge"/>
          <c:x val="0.69751620126234859"/>
          <c:y val="0.87311202099737528"/>
          <c:w val="0.28397184609128701"/>
          <c:h val="9.6442204724409453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350428689092193E-2"/>
          <c:y val="5.8666666666666666E-2"/>
          <c:w val="0.83675474731590882"/>
          <c:h val="0.88266666666666671"/>
        </c:manualLayout>
      </c:layout>
      <c:scatterChart>
        <c:scatterStyle val="lineMarker"/>
        <c:varyColors val="0"/>
        <c:ser>
          <c:idx val="0"/>
          <c:order val="0"/>
          <c:spPr>
            <a:ln w="25400">
              <a:solidFill>
                <a:schemeClr val="tx1"/>
              </a:solidFill>
              <a:prstDash val="sysDash"/>
              <a:headEnd type="none"/>
              <a:tailEnd type="none"/>
            </a:ln>
          </c:spPr>
          <c:marker>
            <c:symbol val="circle"/>
            <c:size val="5"/>
            <c:spPr>
              <a:solidFill>
                <a:schemeClr val="bg1"/>
              </a:solidFill>
              <a:ln w="25400">
                <a:solidFill>
                  <a:schemeClr val="tx1"/>
                </a:solidFill>
              </a:ln>
            </c:spPr>
          </c:marker>
          <c:dPt>
            <c:idx val="1"/>
            <c:marker>
              <c:symbol val="diamond"/>
              <c:size val="8"/>
              <c:spPr>
                <a:solidFill>
                  <a:schemeClr val="tx1"/>
                </a:solidFill>
                <a:ln w="25400">
                  <a:solidFill>
                    <a:schemeClr val="tx1"/>
                  </a:solidFill>
                </a:ln>
              </c:spPr>
            </c:marker>
            <c:bubble3D val="0"/>
          </c:dPt>
          <c:xVal>
            <c:numRef>
              <c:f>'Final decision'!$L$88:$L$90</c:f>
              <c:numCache>
                <c:formatCode>General</c:formatCode>
                <c:ptCount val="3"/>
                <c:pt idx="0">
                  <c:v>1</c:v>
                </c:pt>
                <c:pt idx="1">
                  <c:v>1</c:v>
                </c:pt>
                <c:pt idx="2">
                  <c:v>1</c:v>
                </c:pt>
              </c:numCache>
            </c:numRef>
          </c:xVal>
          <c:yVal>
            <c:numRef>
              <c:f>'Final decision'!$M$88:$M$90</c:f>
              <c:numCache>
                <c:formatCode>General</c:formatCode>
                <c:ptCount val="3"/>
                <c:pt idx="0">
                  <c:v>-1</c:v>
                </c:pt>
                <c:pt idx="1">
                  <c:v>0</c:v>
                </c:pt>
                <c:pt idx="2">
                  <c:v>1</c:v>
                </c:pt>
              </c:numCache>
            </c:numRef>
          </c:yVal>
          <c:smooth val="0"/>
        </c:ser>
        <c:ser>
          <c:idx val="1"/>
          <c:order val="1"/>
          <c:tx>
            <c:strRef>
              <c:f>'Final decision'!$G$7</c:f>
              <c:strCache>
                <c:ptCount val="1"/>
                <c:pt idx="0">
                  <c:v>Autoignition Temperature (°C)</c:v>
                </c:pt>
              </c:strCache>
            </c:strRef>
          </c:tx>
          <c:spPr>
            <a:ln w="28575">
              <a:noFill/>
            </a:ln>
          </c:spPr>
          <c:marker>
            <c:symbol val="circle"/>
            <c:size val="8"/>
            <c:spPr>
              <a:noFill/>
              <a:ln w="19050">
                <a:solidFill>
                  <a:srgbClr val="FF0000"/>
                </a:solidFill>
              </a:ln>
            </c:spPr>
          </c:marker>
          <c:dPt>
            <c:idx val="4"/>
            <c:bubble3D val="0"/>
          </c:dPt>
          <c:dPt>
            <c:idx val="5"/>
            <c:marker>
              <c:spPr>
                <a:solidFill>
                  <a:schemeClr val="accent2">
                    <a:lumMod val="40000"/>
                    <a:lumOff val="60000"/>
                  </a:schemeClr>
                </a:solidFill>
                <a:ln w="19050">
                  <a:solidFill>
                    <a:srgbClr val="FF0000"/>
                  </a:solidFill>
                </a:ln>
              </c:spPr>
            </c:marker>
            <c:bubble3D val="0"/>
          </c:dPt>
          <c:dPt>
            <c:idx val="6"/>
            <c:bubble3D val="0"/>
          </c:dPt>
          <c:dPt>
            <c:idx val="7"/>
            <c:bubble3D val="0"/>
          </c:dPt>
          <c:xVal>
            <c:numRef>
              <c:f>'Final decision'!$K$84:$K$91</c:f>
              <c:numCache>
                <c:formatCode>General</c:formatCode>
                <c:ptCount val="8"/>
                <c:pt idx="0">
                  <c:v>2</c:v>
                </c:pt>
                <c:pt idx="1">
                  <c:v>3</c:v>
                </c:pt>
                <c:pt idx="2">
                  <c:v>4</c:v>
                </c:pt>
                <c:pt idx="3">
                  <c:v>5</c:v>
                </c:pt>
                <c:pt idx="4">
                  <c:v>6</c:v>
                </c:pt>
                <c:pt idx="5">
                  <c:v>7</c:v>
                </c:pt>
                <c:pt idx="6">
                  <c:v>8</c:v>
                </c:pt>
                <c:pt idx="7">
                  <c:v>9</c:v>
                </c:pt>
              </c:numCache>
            </c:numRef>
          </c:xVal>
          <c:yVal>
            <c:numRef>
              <c:f>'Final decision'!$I$8:$I$15</c:f>
              <c:numCache>
                <c:formatCode>0.00</c:formatCode>
                <c:ptCount val="8"/>
                <c:pt idx="0">
                  <c:v>2.2731784037262752</c:v>
                </c:pt>
                <c:pt idx="1">
                  <c:v>1.4186280014199191</c:v>
                </c:pt>
                <c:pt idx="2">
                  <c:v>-4.631554539097691E-2</c:v>
                </c:pt>
                <c:pt idx="3">
                  <c:v>0.2850407330543448</c:v>
                </c:pt>
                <c:pt idx="4">
                  <c:v>0.50303828466310907</c:v>
                </c:pt>
                <c:pt idx="5">
                  <c:v>-0.7962271229251261</c:v>
                </c:pt>
                <c:pt idx="6">
                  <c:v>0.82567466104408027</c:v>
                </c:pt>
                <c:pt idx="7">
                  <c:v>0.39839945989090225</c:v>
                </c:pt>
              </c:numCache>
            </c:numRef>
          </c:yVal>
          <c:smooth val="0"/>
        </c:ser>
        <c:ser>
          <c:idx val="2"/>
          <c:order val="2"/>
          <c:tx>
            <c:v>NMP</c:v>
          </c:tx>
          <c:marker>
            <c:symbol val="x"/>
            <c:size val="7"/>
            <c:spPr>
              <a:ln>
                <a:solidFill>
                  <a:schemeClr val="accent4">
                    <a:lumMod val="75000"/>
                  </a:schemeClr>
                </a:solidFill>
              </a:ln>
            </c:spPr>
          </c:marker>
          <c:xVal>
            <c:numRef>
              <c:f>'Final decision'!$L$84</c:f>
              <c:numCache>
                <c:formatCode>General</c:formatCode>
                <c:ptCount val="1"/>
                <c:pt idx="0">
                  <c:v>10</c:v>
                </c:pt>
              </c:numCache>
            </c:numRef>
          </c:xVal>
          <c:yVal>
            <c:numRef>
              <c:f>'Final decision'!$I$22</c:f>
              <c:numCache>
                <c:formatCode>0.00</c:formatCode>
                <c:ptCount val="1"/>
                <c:pt idx="0">
                  <c:v>-0.3602320197075975</c:v>
                </c:pt>
              </c:numCache>
            </c:numRef>
          </c:yVal>
          <c:smooth val="0"/>
        </c:ser>
        <c:dLbls>
          <c:showLegendKey val="0"/>
          <c:showVal val="0"/>
          <c:showCatName val="0"/>
          <c:showSerName val="0"/>
          <c:showPercent val="0"/>
          <c:showBubbleSize val="0"/>
        </c:dLbls>
        <c:axId val="314791040"/>
        <c:axId val="314792576"/>
      </c:scatterChart>
      <c:valAx>
        <c:axId val="314791040"/>
        <c:scaling>
          <c:orientation val="minMax"/>
        </c:scaling>
        <c:delete val="1"/>
        <c:axPos val="b"/>
        <c:numFmt formatCode="General" sourceLinked="1"/>
        <c:majorTickMark val="out"/>
        <c:minorTickMark val="none"/>
        <c:tickLblPos val="nextTo"/>
        <c:crossAx val="314792576"/>
        <c:crossesAt val="-2"/>
        <c:crossBetween val="midCat"/>
      </c:valAx>
      <c:valAx>
        <c:axId val="314792576"/>
        <c:scaling>
          <c:orientation val="minMax"/>
          <c:max val="3"/>
          <c:min val="-2"/>
        </c:scaling>
        <c:delete val="1"/>
        <c:axPos val="l"/>
        <c:numFmt formatCode="General" sourceLinked="1"/>
        <c:majorTickMark val="out"/>
        <c:minorTickMark val="none"/>
        <c:tickLblPos val="nextTo"/>
        <c:crossAx val="314791040"/>
        <c:crosses val="autoZero"/>
        <c:crossBetween val="midCat"/>
        <c:majorUnit val="0.5"/>
      </c:valAx>
    </c:plotArea>
    <c:legend>
      <c:legendPos val="r"/>
      <c:legendEntry>
        <c:idx val="0"/>
        <c:delete val="1"/>
      </c:legendEntry>
      <c:legendEntry>
        <c:idx val="2"/>
        <c:delete val="1"/>
      </c:legendEntry>
      <c:layout>
        <c:manualLayout>
          <c:xMode val="edge"/>
          <c:yMode val="edge"/>
          <c:x val="0.59557369433027763"/>
          <c:y val="0.86777868766404187"/>
          <c:w val="0.37808414260517437"/>
          <c:h val="0.13222131233595802"/>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350428689092193E-2"/>
          <c:y val="5.8666666666666666E-2"/>
          <c:w val="0.83675474731590882"/>
          <c:h val="0.88266666666666671"/>
        </c:manualLayout>
      </c:layout>
      <c:scatterChart>
        <c:scatterStyle val="lineMarker"/>
        <c:varyColors val="0"/>
        <c:ser>
          <c:idx val="0"/>
          <c:order val="0"/>
          <c:spPr>
            <a:ln w="25400">
              <a:solidFill>
                <a:schemeClr val="tx1"/>
              </a:solidFill>
              <a:prstDash val="sysDash"/>
              <a:headEnd type="none"/>
              <a:tailEnd type="none"/>
            </a:ln>
          </c:spPr>
          <c:marker>
            <c:symbol val="circle"/>
            <c:size val="5"/>
            <c:spPr>
              <a:solidFill>
                <a:schemeClr val="bg1"/>
              </a:solidFill>
              <a:ln w="25400">
                <a:solidFill>
                  <a:schemeClr val="tx1"/>
                </a:solidFill>
              </a:ln>
            </c:spPr>
          </c:marker>
          <c:dPt>
            <c:idx val="1"/>
            <c:marker>
              <c:symbol val="diamond"/>
              <c:size val="8"/>
              <c:spPr>
                <a:solidFill>
                  <a:schemeClr val="tx1"/>
                </a:solidFill>
                <a:ln w="25400">
                  <a:solidFill>
                    <a:schemeClr val="tx1"/>
                  </a:solidFill>
                </a:ln>
              </c:spPr>
            </c:marker>
            <c:bubble3D val="0"/>
          </c:dPt>
          <c:xVal>
            <c:numRef>
              <c:f>'Final decision'!$L$88:$L$90</c:f>
              <c:numCache>
                <c:formatCode>General</c:formatCode>
                <c:ptCount val="3"/>
                <c:pt idx="0">
                  <c:v>1</c:v>
                </c:pt>
                <c:pt idx="1">
                  <c:v>1</c:v>
                </c:pt>
                <c:pt idx="2">
                  <c:v>1</c:v>
                </c:pt>
              </c:numCache>
            </c:numRef>
          </c:xVal>
          <c:yVal>
            <c:numRef>
              <c:f>'Final decision'!$M$88:$M$90</c:f>
              <c:numCache>
                <c:formatCode>General</c:formatCode>
                <c:ptCount val="3"/>
                <c:pt idx="0">
                  <c:v>-1</c:v>
                </c:pt>
                <c:pt idx="1">
                  <c:v>0</c:v>
                </c:pt>
                <c:pt idx="2">
                  <c:v>1</c:v>
                </c:pt>
              </c:numCache>
            </c:numRef>
          </c:yVal>
          <c:smooth val="0"/>
        </c:ser>
        <c:ser>
          <c:idx val="1"/>
          <c:order val="1"/>
          <c:tx>
            <c:strRef>
              <c:f>'Final decision'!$K$7</c:f>
              <c:strCache>
                <c:ptCount val="1"/>
                <c:pt idx="0">
                  <c:v>Flash Point, closed cup (°C)</c:v>
                </c:pt>
              </c:strCache>
            </c:strRef>
          </c:tx>
          <c:spPr>
            <a:ln w="28575">
              <a:noFill/>
            </a:ln>
          </c:spPr>
          <c:marker>
            <c:symbol val="circle"/>
            <c:size val="8"/>
            <c:spPr>
              <a:noFill/>
              <a:ln w="19050">
                <a:solidFill>
                  <a:srgbClr val="FF0000"/>
                </a:solidFill>
              </a:ln>
            </c:spPr>
          </c:marker>
          <c:dPt>
            <c:idx val="4"/>
            <c:bubble3D val="0"/>
          </c:dPt>
          <c:dPt>
            <c:idx val="5"/>
            <c:marker>
              <c:spPr>
                <a:solidFill>
                  <a:schemeClr val="accent2">
                    <a:lumMod val="40000"/>
                    <a:lumOff val="60000"/>
                  </a:schemeClr>
                </a:solidFill>
                <a:ln w="19050">
                  <a:solidFill>
                    <a:srgbClr val="FF0000"/>
                  </a:solidFill>
                </a:ln>
              </c:spPr>
            </c:marker>
            <c:bubble3D val="0"/>
          </c:dPt>
          <c:dPt>
            <c:idx val="6"/>
            <c:bubble3D val="0"/>
          </c:dPt>
          <c:dPt>
            <c:idx val="7"/>
            <c:bubble3D val="0"/>
          </c:dPt>
          <c:xVal>
            <c:numRef>
              <c:f>'Final decision'!$K$84:$K$91</c:f>
              <c:numCache>
                <c:formatCode>General</c:formatCode>
                <c:ptCount val="8"/>
                <c:pt idx="0">
                  <c:v>2</c:v>
                </c:pt>
                <c:pt idx="1">
                  <c:v>3</c:v>
                </c:pt>
                <c:pt idx="2">
                  <c:v>4</c:v>
                </c:pt>
                <c:pt idx="3">
                  <c:v>5</c:v>
                </c:pt>
                <c:pt idx="4">
                  <c:v>6</c:v>
                </c:pt>
                <c:pt idx="5">
                  <c:v>7</c:v>
                </c:pt>
                <c:pt idx="6">
                  <c:v>8</c:v>
                </c:pt>
                <c:pt idx="7">
                  <c:v>9</c:v>
                </c:pt>
              </c:numCache>
            </c:numRef>
          </c:xVal>
          <c:yVal>
            <c:numRef>
              <c:f>'Final decision'!$M$8:$M$15</c:f>
              <c:numCache>
                <c:formatCode>0.00</c:formatCode>
                <c:ptCount val="8"/>
                <c:pt idx="0">
                  <c:v>0.11968324523001604</c:v>
                </c:pt>
                <c:pt idx="1">
                  <c:v>0.18891976277029374</c:v>
                </c:pt>
                <c:pt idx="2">
                  <c:v>0.20622889215536316</c:v>
                </c:pt>
                <c:pt idx="3">
                  <c:v>-0.26111760124151129</c:v>
                </c:pt>
                <c:pt idx="4">
                  <c:v>-0.50344541263248321</c:v>
                </c:pt>
                <c:pt idx="5">
                  <c:v>0.84666667940293183</c:v>
                </c:pt>
                <c:pt idx="6">
                  <c:v>-0.7284640946383858</c:v>
                </c:pt>
                <c:pt idx="7">
                  <c:v>1.3659405609550146</c:v>
                </c:pt>
              </c:numCache>
            </c:numRef>
          </c:yVal>
          <c:smooth val="0"/>
        </c:ser>
        <c:ser>
          <c:idx val="2"/>
          <c:order val="2"/>
          <c:tx>
            <c:v>CLP limit</c:v>
          </c:tx>
          <c:marker>
            <c:symbol val="none"/>
          </c:marker>
          <c:xVal>
            <c:numRef>
              <c:f>('Final decision'!$K$84,'Final decision'!$K$91)</c:f>
              <c:numCache>
                <c:formatCode>General</c:formatCode>
                <c:ptCount val="2"/>
                <c:pt idx="0">
                  <c:v>2</c:v>
                </c:pt>
                <c:pt idx="1">
                  <c:v>9</c:v>
                </c:pt>
              </c:numCache>
            </c:numRef>
          </c:xVal>
          <c:yVal>
            <c:numRef>
              <c:f>('Final decision'!$M$25,'Final decision'!$M$25)</c:f>
              <c:numCache>
                <c:formatCode>0.00</c:formatCode>
                <c:ptCount val="2"/>
                <c:pt idx="0">
                  <c:v>1.5828468919599499E-2</c:v>
                </c:pt>
                <c:pt idx="1">
                  <c:v>1.5828468919599499E-2</c:v>
                </c:pt>
              </c:numCache>
            </c:numRef>
          </c:yVal>
          <c:smooth val="0"/>
        </c:ser>
        <c:ser>
          <c:idx val="3"/>
          <c:order val="3"/>
          <c:tx>
            <c:v>NMP</c:v>
          </c:tx>
          <c:xVal>
            <c:numRef>
              <c:f>'Final decision'!$L$84</c:f>
              <c:numCache>
                <c:formatCode>General</c:formatCode>
                <c:ptCount val="1"/>
                <c:pt idx="0">
                  <c:v>10</c:v>
                </c:pt>
              </c:numCache>
            </c:numRef>
          </c:xVal>
          <c:yVal>
            <c:numRef>
              <c:f>'Final decision'!$M$22</c:f>
              <c:numCache>
                <c:formatCode>0.00</c:formatCode>
                <c:ptCount val="1"/>
                <c:pt idx="0">
                  <c:v>0.56972060924182111</c:v>
                </c:pt>
              </c:numCache>
            </c:numRef>
          </c:yVal>
          <c:smooth val="0"/>
        </c:ser>
        <c:dLbls>
          <c:showLegendKey val="0"/>
          <c:showVal val="0"/>
          <c:showCatName val="0"/>
          <c:showSerName val="0"/>
          <c:showPercent val="0"/>
          <c:showBubbleSize val="0"/>
        </c:dLbls>
        <c:axId val="314812672"/>
        <c:axId val="314830848"/>
      </c:scatterChart>
      <c:valAx>
        <c:axId val="314812672"/>
        <c:scaling>
          <c:orientation val="minMax"/>
        </c:scaling>
        <c:delete val="1"/>
        <c:axPos val="b"/>
        <c:numFmt formatCode="General" sourceLinked="1"/>
        <c:majorTickMark val="out"/>
        <c:minorTickMark val="none"/>
        <c:tickLblPos val="nextTo"/>
        <c:crossAx val="314830848"/>
        <c:crossesAt val="-2"/>
        <c:crossBetween val="midCat"/>
      </c:valAx>
      <c:valAx>
        <c:axId val="314830848"/>
        <c:scaling>
          <c:orientation val="minMax"/>
          <c:max val="2"/>
          <c:min val="-2"/>
        </c:scaling>
        <c:delete val="1"/>
        <c:axPos val="l"/>
        <c:numFmt formatCode="General" sourceLinked="1"/>
        <c:majorTickMark val="out"/>
        <c:minorTickMark val="none"/>
        <c:tickLblPos val="nextTo"/>
        <c:crossAx val="314812672"/>
        <c:crosses val="autoZero"/>
        <c:crossBetween val="midCat"/>
        <c:majorUnit val="0.5"/>
      </c:valAx>
    </c:plotArea>
    <c:legend>
      <c:legendPos val="r"/>
      <c:legendEntry>
        <c:idx val="0"/>
        <c:delete val="1"/>
      </c:legendEntry>
      <c:legendEntry>
        <c:idx val="2"/>
        <c:delete val="1"/>
      </c:legendEntry>
      <c:legendEntry>
        <c:idx val="3"/>
        <c:delete val="1"/>
      </c:legendEntry>
      <c:layout>
        <c:manualLayout>
          <c:xMode val="edge"/>
          <c:yMode val="edge"/>
          <c:x val="0.65524735692466063"/>
          <c:y val="0.87844535433070858"/>
          <c:w val="0.31369708294071341"/>
          <c:h val="9.6442204724409453E-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350428689092193E-2"/>
          <c:y val="5.8666666666666666E-2"/>
          <c:w val="0.83675474731590882"/>
          <c:h val="0.88266666666666671"/>
        </c:manualLayout>
      </c:layout>
      <c:scatterChart>
        <c:scatterStyle val="lineMarker"/>
        <c:varyColors val="0"/>
        <c:ser>
          <c:idx val="0"/>
          <c:order val="0"/>
          <c:spPr>
            <a:ln w="25400">
              <a:solidFill>
                <a:schemeClr val="tx1"/>
              </a:solidFill>
              <a:prstDash val="sysDash"/>
              <a:headEnd type="none"/>
              <a:tailEnd type="none"/>
            </a:ln>
          </c:spPr>
          <c:marker>
            <c:symbol val="circle"/>
            <c:size val="5"/>
            <c:spPr>
              <a:solidFill>
                <a:schemeClr val="bg1"/>
              </a:solidFill>
              <a:ln w="25400">
                <a:solidFill>
                  <a:schemeClr val="tx1"/>
                </a:solidFill>
              </a:ln>
            </c:spPr>
          </c:marker>
          <c:dPt>
            <c:idx val="1"/>
            <c:marker>
              <c:symbol val="diamond"/>
              <c:size val="8"/>
              <c:spPr>
                <a:solidFill>
                  <a:schemeClr val="tx1"/>
                </a:solidFill>
                <a:ln w="25400">
                  <a:solidFill>
                    <a:schemeClr val="tx1"/>
                  </a:solidFill>
                </a:ln>
              </c:spPr>
            </c:marker>
            <c:bubble3D val="0"/>
          </c:dPt>
          <c:xVal>
            <c:numRef>
              <c:f>'Final decision'!$L$88:$L$90</c:f>
              <c:numCache>
                <c:formatCode>General</c:formatCode>
                <c:ptCount val="3"/>
                <c:pt idx="0">
                  <c:v>1</c:v>
                </c:pt>
                <c:pt idx="1">
                  <c:v>1</c:v>
                </c:pt>
                <c:pt idx="2">
                  <c:v>1</c:v>
                </c:pt>
              </c:numCache>
            </c:numRef>
          </c:xVal>
          <c:yVal>
            <c:numRef>
              <c:f>'Final decision'!$M$88:$M$90</c:f>
              <c:numCache>
                <c:formatCode>General</c:formatCode>
                <c:ptCount val="3"/>
                <c:pt idx="0">
                  <c:v>-1</c:v>
                </c:pt>
                <c:pt idx="1">
                  <c:v>0</c:v>
                </c:pt>
                <c:pt idx="2">
                  <c:v>1</c:v>
                </c:pt>
              </c:numCache>
            </c:numRef>
          </c:yVal>
          <c:smooth val="0"/>
        </c:ser>
        <c:ser>
          <c:idx val="1"/>
          <c:order val="1"/>
          <c:tx>
            <c:strRef>
              <c:f>'Final decision'!$AA$7</c:f>
              <c:strCache>
                <c:ptCount val="1"/>
                <c:pt idx="0">
                  <c:v>Octanol-Water Partition Constant (Log Kow)</c:v>
                </c:pt>
              </c:strCache>
            </c:strRef>
          </c:tx>
          <c:spPr>
            <a:ln w="28575">
              <a:noFill/>
            </a:ln>
          </c:spPr>
          <c:marker>
            <c:symbol val="circle"/>
            <c:size val="8"/>
            <c:spPr>
              <a:noFill/>
              <a:ln w="19050">
                <a:solidFill>
                  <a:srgbClr val="FF0000"/>
                </a:solidFill>
              </a:ln>
            </c:spPr>
          </c:marker>
          <c:dPt>
            <c:idx val="4"/>
            <c:bubble3D val="0"/>
          </c:dPt>
          <c:dPt>
            <c:idx val="5"/>
            <c:marker>
              <c:spPr>
                <a:solidFill>
                  <a:schemeClr val="accent2">
                    <a:lumMod val="40000"/>
                    <a:lumOff val="60000"/>
                  </a:schemeClr>
                </a:solidFill>
                <a:ln w="19050">
                  <a:solidFill>
                    <a:srgbClr val="FF0000"/>
                  </a:solidFill>
                </a:ln>
              </c:spPr>
            </c:marker>
            <c:bubble3D val="0"/>
          </c:dPt>
          <c:dPt>
            <c:idx val="6"/>
            <c:bubble3D val="0"/>
          </c:dPt>
          <c:dPt>
            <c:idx val="7"/>
            <c:bubble3D val="0"/>
          </c:dPt>
          <c:xVal>
            <c:numRef>
              <c:f>'Final decision'!$K$84:$K$91</c:f>
              <c:numCache>
                <c:formatCode>General</c:formatCode>
                <c:ptCount val="8"/>
                <c:pt idx="0">
                  <c:v>2</c:v>
                </c:pt>
                <c:pt idx="1">
                  <c:v>3</c:v>
                </c:pt>
                <c:pt idx="2">
                  <c:v>4</c:v>
                </c:pt>
                <c:pt idx="3">
                  <c:v>5</c:v>
                </c:pt>
                <c:pt idx="4">
                  <c:v>6</c:v>
                </c:pt>
                <c:pt idx="5">
                  <c:v>7</c:v>
                </c:pt>
                <c:pt idx="6">
                  <c:v>8</c:v>
                </c:pt>
                <c:pt idx="7">
                  <c:v>9</c:v>
                </c:pt>
              </c:numCache>
            </c:numRef>
          </c:xVal>
          <c:yVal>
            <c:numRef>
              <c:f>'Final decision'!$AC$8:$AC$15</c:f>
              <c:numCache>
                <c:formatCode>0.00</c:formatCode>
                <c:ptCount val="8"/>
                <c:pt idx="0">
                  <c:v>-0.9372479097261539</c:v>
                </c:pt>
                <c:pt idx="1">
                  <c:v>1.2130606771888382E-2</c:v>
                </c:pt>
                <c:pt idx="2">
                  <c:v>0.11062228174548205</c:v>
                </c:pt>
                <c:pt idx="3">
                  <c:v>0.39289739146361657</c:v>
                </c:pt>
                <c:pt idx="4">
                  <c:v>0.68228014782933</c:v>
                </c:pt>
                <c:pt idx="5">
                  <c:v>1.5758128692392523</c:v>
                </c:pt>
                <c:pt idx="6">
                  <c:v>0.47412763886451859</c:v>
                </c:pt>
                <c:pt idx="7">
                  <c:v>0.62135746227865341</c:v>
                </c:pt>
              </c:numCache>
            </c:numRef>
          </c:yVal>
          <c:smooth val="0"/>
        </c:ser>
        <c:ser>
          <c:idx val="2"/>
          <c:order val="2"/>
          <c:tx>
            <c:v>CLP limit</c:v>
          </c:tx>
          <c:marker>
            <c:symbol val="none"/>
          </c:marker>
          <c:xVal>
            <c:numRef>
              <c:f>('Final decision'!$K$84,'Final decision'!$K$91)</c:f>
              <c:numCache>
                <c:formatCode>General</c:formatCode>
                <c:ptCount val="2"/>
                <c:pt idx="0">
                  <c:v>2</c:v>
                </c:pt>
                <c:pt idx="1">
                  <c:v>9</c:v>
                </c:pt>
              </c:numCache>
            </c:numRef>
          </c:xVal>
          <c:yVal>
            <c:numRef>
              <c:f>('Final decision'!$AC$25,'Final decision'!$AC$25)</c:f>
              <c:numCache>
                <c:formatCode>0.00</c:formatCode>
                <c:ptCount val="2"/>
                <c:pt idx="0">
                  <c:v>-1.2266306660918673</c:v>
                </c:pt>
                <c:pt idx="1">
                  <c:v>-1.2266306660918673</c:v>
                </c:pt>
              </c:numCache>
            </c:numRef>
          </c:yVal>
          <c:smooth val="0"/>
        </c:ser>
        <c:ser>
          <c:idx val="3"/>
          <c:order val="3"/>
          <c:tx>
            <c:v>NMP</c:v>
          </c:tx>
          <c:xVal>
            <c:numRef>
              <c:f>'Final decision'!$L$84</c:f>
              <c:numCache>
                <c:formatCode>General</c:formatCode>
                <c:ptCount val="1"/>
                <c:pt idx="0">
                  <c:v>10</c:v>
                </c:pt>
              </c:numCache>
            </c:numRef>
          </c:xVal>
          <c:yVal>
            <c:numRef>
              <c:f>'Final decision'!$AC$22</c:f>
              <c:numCache>
                <c:formatCode>0.00</c:formatCode>
                <c:ptCount val="1"/>
                <c:pt idx="0">
                  <c:v>0.99704735650782539</c:v>
                </c:pt>
              </c:numCache>
            </c:numRef>
          </c:yVal>
          <c:smooth val="0"/>
        </c:ser>
        <c:dLbls>
          <c:showLegendKey val="0"/>
          <c:showVal val="0"/>
          <c:showCatName val="0"/>
          <c:showSerName val="0"/>
          <c:showPercent val="0"/>
          <c:showBubbleSize val="0"/>
        </c:dLbls>
        <c:axId val="315256832"/>
        <c:axId val="315258368"/>
      </c:scatterChart>
      <c:valAx>
        <c:axId val="315256832"/>
        <c:scaling>
          <c:orientation val="minMax"/>
        </c:scaling>
        <c:delete val="1"/>
        <c:axPos val="b"/>
        <c:numFmt formatCode="General" sourceLinked="1"/>
        <c:majorTickMark val="out"/>
        <c:minorTickMark val="none"/>
        <c:tickLblPos val="nextTo"/>
        <c:crossAx val="315258368"/>
        <c:crossesAt val="-2"/>
        <c:crossBetween val="midCat"/>
      </c:valAx>
      <c:valAx>
        <c:axId val="315258368"/>
        <c:scaling>
          <c:orientation val="minMax"/>
          <c:max val="2"/>
          <c:min val="-2"/>
        </c:scaling>
        <c:delete val="1"/>
        <c:axPos val="l"/>
        <c:numFmt formatCode="General" sourceLinked="1"/>
        <c:majorTickMark val="out"/>
        <c:minorTickMark val="none"/>
        <c:tickLblPos val="nextTo"/>
        <c:crossAx val="315256832"/>
        <c:crosses val="autoZero"/>
        <c:crossBetween val="midCat"/>
        <c:majorUnit val="0.5"/>
      </c:valAx>
    </c:plotArea>
    <c:legend>
      <c:legendPos val="r"/>
      <c:legendEntry>
        <c:idx val="0"/>
        <c:delete val="1"/>
      </c:legendEntry>
      <c:legendEntry>
        <c:idx val="2"/>
        <c:delete val="1"/>
      </c:legendEntry>
      <c:legendEntry>
        <c:idx val="3"/>
        <c:delete val="1"/>
      </c:legendEntry>
      <c:layout>
        <c:manualLayout>
          <c:xMode val="edge"/>
          <c:yMode val="edge"/>
          <c:x val="0.49114478479010748"/>
          <c:y val="0.87311202099737528"/>
          <c:w val="0.49945602601207845"/>
          <c:h val="0.12688797900262466"/>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350428689092193E-2"/>
          <c:y val="5.8666666666666666E-2"/>
          <c:w val="0.83675474731590882"/>
          <c:h val="0.88266666666666671"/>
        </c:manualLayout>
      </c:layout>
      <c:scatterChart>
        <c:scatterStyle val="lineMarker"/>
        <c:varyColors val="0"/>
        <c:ser>
          <c:idx val="0"/>
          <c:order val="0"/>
          <c:spPr>
            <a:ln w="25400">
              <a:solidFill>
                <a:schemeClr val="tx1"/>
              </a:solidFill>
              <a:prstDash val="sysDash"/>
              <a:headEnd type="none"/>
              <a:tailEnd type="none"/>
            </a:ln>
          </c:spPr>
          <c:marker>
            <c:symbol val="circle"/>
            <c:size val="5"/>
            <c:spPr>
              <a:solidFill>
                <a:schemeClr val="bg1"/>
              </a:solidFill>
              <a:ln w="25400">
                <a:solidFill>
                  <a:schemeClr val="tx1"/>
                </a:solidFill>
              </a:ln>
            </c:spPr>
          </c:marker>
          <c:dPt>
            <c:idx val="1"/>
            <c:marker>
              <c:symbol val="diamond"/>
              <c:size val="8"/>
              <c:spPr>
                <a:solidFill>
                  <a:schemeClr val="tx1"/>
                </a:solidFill>
                <a:ln w="25400">
                  <a:solidFill>
                    <a:schemeClr val="tx1"/>
                  </a:solidFill>
                </a:ln>
              </c:spPr>
            </c:marker>
            <c:bubble3D val="0"/>
          </c:dPt>
          <c:xVal>
            <c:numRef>
              <c:f>'Final decision'!$L$88:$L$90</c:f>
              <c:numCache>
                <c:formatCode>General</c:formatCode>
                <c:ptCount val="3"/>
                <c:pt idx="0">
                  <c:v>1</c:v>
                </c:pt>
                <c:pt idx="1">
                  <c:v>1</c:v>
                </c:pt>
                <c:pt idx="2">
                  <c:v>1</c:v>
                </c:pt>
              </c:numCache>
            </c:numRef>
          </c:xVal>
          <c:yVal>
            <c:numRef>
              <c:f>'Final decision'!$M$88:$M$90</c:f>
              <c:numCache>
                <c:formatCode>General</c:formatCode>
                <c:ptCount val="3"/>
                <c:pt idx="0">
                  <c:v>-1</c:v>
                </c:pt>
                <c:pt idx="1">
                  <c:v>0</c:v>
                </c:pt>
                <c:pt idx="2">
                  <c:v>1</c:v>
                </c:pt>
              </c:numCache>
            </c:numRef>
          </c:yVal>
          <c:smooth val="0"/>
        </c:ser>
        <c:ser>
          <c:idx val="1"/>
          <c:order val="1"/>
          <c:tx>
            <c:strRef>
              <c:f>'Final decision'!$AE$7</c:f>
              <c:strCache>
                <c:ptCount val="1"/>
                <c:pt idx="0">
                  <c:v>EC50 (mg/L) 48hr Daphnia magna</c:v>
                </c:pt>
              </c:strCache>
            </c:strRef>
          </c:tx>
          <c:spPr>
            <a:ln w="28575">
              <a:noFill/>
            </a:ln>
          </c:spPr>
          <c:marker>
            <c:symbol val="circle"/>
            <c:size val="8"/>
            <c:spPr>
              <a:noFill/>
              <a:ln w="19050">
                <a:solidFill>
                  <a:srgbClr val="FF0000"/>
                </a:solidFill>
              </a:ln>
            </c:spPr>
          </c:marker>
          <c:dPt>
            <c:idx val="4"/>
            <c:bubble3D val="0"/>
          </c:dPt>
          <c:dPt>
            <c:idx val="5"/>
            <c:marker>
              <c:spPr>
                <a:solidFill>
                  <a:schemeClr val="accent2">
                    <a:lumMod val="40000"/>
                    <a:lumOff val="60000"/>
                  </a:schemeClr>
                </a:solidFill>
                <a:ln w="19050">
                  <a:solidFill>
                    <a:srgbClr val="FF0000"/>
                  </a:solidFill>
                </a:ln>
              </c:spPr>
            </c:marker>
            <c:bubble3D val="0"/>
          </c:dPt>
          <c:dPt>
            <c:idx val="6"/>
            <c:bubble3D val="0"/>
          </c:dPt>
          <c:dPt>
            <c:idx val="7"/>
            <c:bubble3D val="0"/>
          </c:dPt>
          <c:xVal>
            <c:numRef>
              <c:f>'Final decision'!$K$84:$K$91</c:f>
              <c:numCache>
                <c:formatCode>General</c:formatCode>
                <c:ptCount val="8"/>
                <c:pt idx="0">
                  <c:v>2</c:v>
                </c:pt>
                <c:pt idx="1">
                  <c:v>3</c:v>
                </c:pt>
                <c:pt idx="2">
                  <c:v>4</c:v>
                </c:pt>
                <c:pt idx="3">
                  <c:v>5</c:v>
                </c:pt>
                <c:pt idx="4">
                  <c:v>6</c:v>
                </c:pt>
                <c:pt idx="5">
                  <c:v>7</c:v>
                </c:pt>
                <c:pt idx="6">
                  <c:v>8</c:v>
                </c:pt>
                <c:pt idx="7">
                  <c:v>9</c:v>
                </c:pt>
              </c:numCache>
            </c:numRef>
          </c:xVal>
          <c:yVal>
            <c:numRef>
              <c:f>'Final decision'!$AI$8:$AI$15</c:f>
              <c:numCache>
                <c:formatCode>0,000</c:formatCode>
                <c:ptCount val="8"/>
                <c:pt idx="0">
                  <c:v>-0.90820591058962719</c:v>
                </c:pt>
                <c:pt idx="1">
                  <c:v>-0.31352848082290535</c:v>
                </c:pt>
                <c:pt idx="2">
                  <c:v>-0.16869506497112768</c:v>
                </c:pt>
                <c:pt idx="3">
                  <c:v>-9.1589013973348316E-2</c:v>
                </c:pt>
                <c:pt idx="4">
                  <c:v>-2.6401422234789421E-2</c:v>
                </c:pt>
                <c:pt idx="5">
                  <c:v>-0.33669188842540415</c:v>
                </c:pt>
                <c:pt idx="6">
                  <c:v>-7.56798305489923E-2</c:v>
                </c:pt>
                <c:pt idx="7">
                  <c:v>-0.18118250790962284</c:v>
                </c:pt>
              </c:numCache>
            </c:numRef>
          </c:yVal>
          <c:smooth val="0"/>
        </c:ser>
        <c:ser>
          <c:idx val="2"/>
          <c:order val="2"/>
          <c:tx>
            <c:v>CLP limit</c:v>
          </c:tx>
          <c:marker>
            <c:symbol val="none"/>
          </c:marker>
          <c:xVal>
            <c:numRef>
              <c:f>('Final decision'!$K$84,'Final decision'!$K$91)</c:f>
              <c:numCache>
                <c:formatCode>General</c:formatCode>
                <c:ptCount val="2"/>
                <c:pt idx="0">
                  <c:v>2</c:v>
                </c:pt>
                <c:pt idx="1">
                  <c:v>9</c:v>
                </c:pt>
              </c:numCache>
            </c:numRef>
          </c:xVal>
          <c:yVal>
            <c:numRef>
              <c:f>('Final decision'!$AI$25,'Final decision'!$AI$25)</c:f>
              <c:numCache>
                <c:formatCode>0.00</c:formatCode>
                <c:ptCount val="2"/>
                <c:pt idx="0">
                  <c:v>-0.33669188842540415</c:v>
                </c:pt>
                <c:pt idx="1">
                  <c:v>-0.33669188842540415</c:v>
                </c:pt>
              </c:numCache>
            </c:numRef>
          </c:yVal>
          <c:smooth val="0"/>
        </c:ser>
        <c:ser>
          <c:idx val="3"/>
          <c:order val="3"/>
          <c:tx>
            <c:v>NMP</c:v>
          </c:tx>
          <c:xVal>
            <c:numRef>
              <c:f>'Final decision'!$L$84</c:f>
              <c:numCache>
                <c:formatCode>General</c:formatCode>
                <c:ptCount val="1"/>
                <c:pt idx="0">
                  <c:v>10</c:v>
                </c:pt>
              </c:numCache>
            </c:numRef>
          </c:xVal>
          <c:yVal>
            <c:numRef>
              <c:f>'Final decision'!$AI$22</c:f>
              <c:numCache>
                <c:formatCode>0,000</c:formatCode>
                <c:ptCount val="1"/>
                <c:pt idx="0">
                  <c:v>-6.8472191588136846E-2</c:v>
                </c:pt>
              </c:numCache>
            </c:numRef>
          </c:yVal>
          <c:smooth val="0"/>
        </c:ser>
        <c:dLbls>
          <c:showLegendKey val="0"/>
          <c:showVal val="0"/>
          <c:showCatName val="0"/>
          <c:showSerName val="0"/>
          <c:showPercent val="0"/>
          <c:showBubbleSize val="0"/>
        </c:dLbls>
        <c:axId val="315291520"/>
        <c:axId val="315293056"/>
      </c:scatterChart>
      <c:valAx>
        <c:axId val="315291520"/>
        <c:scaling>
          <c:orientation val="minMax"/>
        </c:scaling>
        <c:delete val="1"/>
        <c:axPos val="b"/>
        <c:numFmt formatCode="General" sourceLinked="1"/>
        <c:majorTickMark val="out"/>
        <c:minorTickMark val="none"/>
        <c:tickLblPos val="nextTo"/>
        <c:crossAx val="315293056"/>
        <c:crossesAt val="-2"/>
        <c:crossBetween val="midCat"/>
      </c:valAx>
      <c:valAx>
        <c:axId val="315293056"/>
        <c:scaling>
          <c:orientation val="minMax"/>
          <c:max val="2"/>
          <c:min val="-2"/>
        </c:scaling>
        <c:delete val="1"/>
        <c:axPos val="l"/>
        <c:numFmt formatCode="General" sourceLinked="1"/>
        <c:majorTickMark val="out"/>
        <c:minorTickMark val="none"/>
        <c:tickLblPos val="nextTo"/>
        <c:crossAx val="315291520"/>
        <c:crosses val="autoZero"/>
        <c:crossBetween val="midCat"/>
        <c:majorUnit val="0.5"/>
      </c:valAx>
    </c:plotArea>
    <c:legend>
      <c:legendPos val="r"/>
      <c:legendEntry>
        <c:idx val="0"/>
        <c:delete val="1"/>
      </c:legendEntry>
      <c:legendEntry>
        <c:idx val="2"/>
        <c:delete val="1"/>
      </c:legendEntry>
      <c:legendEntry>
        <c:idx val="3"/>
        <c:delete val="1"/>
      </c:legendEntry>
      <c:layout>
        <c:manualLayout>
          <c:xMode val="edge"/>
          <c:yMode val="edge"/>
          <c:x val="0.57070966824928482"/>
          <c:y val="0.87844535433070858"/>
          <c:w val="0.42929033175071524"/>
          <c:h val="0.1215546456692913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image" Target="../media/image1.png"/><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26193</xdr:colOff>
      <xdr:row>41</xdr:row>
      <xdr:rowOff>166685</xdr:rowOff>
    </xdr:from>
    <xdr:to>
      <xdr:col>17</xdr:col>
      <xdr:colOff>60894</xdr:colOff>
      <xdr:row>50</xdr:row>
      <xdr:rowOff>141791</xdr:rowOff>
    </xdr:to>
    <xdr:pic>
      <xdr:nvPicPr>
        <xdr:cNvPr id="2" name="Picture 1" descr="C:\Users\Jimbo\Documents\Green Chemistry at York\PostDoc\S4\Final S4 propaganda\S4 logo-colour transparent Backgound (png).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01" t="22019" r="13872" b="21101"/>
        <a:stretch/>
      </xdr:blipFill>
      <xdr:spPr bwMode="auto">
        <a:xfrm>
          <a:off x="14968537" y="7381873"/>
          <a:ext cx="2785045" cy="1475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71437</xdr:colOff>
      <xdr:row>22</xdr:row>
      <xdr:rowOff>95249</xdr:rowOff>
    </xdr:from>
    <xdr:to>
      <xdr:col>20</xdr:col>
      <xdr:colOff>523874</xdr:colOff>
      <xdr:row>51</xdr:row>
      <xdr:rowOff>83343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11906</xdr:colOff>
      <xdr:row>242</xdr:row>
      <xdr:rowOff>95248</xdr:rowOff>
    </xdr:from>
    <xdr:to>
      <xdr:col>9</xdr:col>
      <xdr:colOff>535781</xdr:colOff>
      <xdr:row>251</xdr:row>
      <xdr:rowOff>13613</xdr:rowOff>
    </xdr:to>
    <xdr:pic>
      <xdr:nvPicPr>
        <xdr:cNvPr id="2" name="Picture 1" descr="C:\Users\Jimbo\Documents\Green Chemistry at York\PostDoc\S4\Final S4 propaganda\S4 logo-colour transparent Backgound (png).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01" t="22019" r="13872" b="21101"/>
        <a:stretch/>
      </xdr:blipFill>
      <xdr:spPr bwMode="auto">
        <a:xfrm>
          <a:off x="7212806" y="39881173"/>
          <a:ext cx="2783681" cy="1375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130969</xdr:colOff>
      <xdr:row>7</xdr:row>
      <xdr:rowOff>107157</xdr:rowOff>
    </xdr:from>
    <xdr:to>
      <xdr:col>25</xdr:col>
      <xdr:colOff>464344</xdr:colOff>
      <xdr:row>40</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511970</xdr:colOff>
      <xdr:row>32</xdr:row>
      <xdr:rowOff>23813</xdr:rowOff>
    </xdr:from>
    <xdr:to>
      <xdr:col>21</xdr:col>
      <xdr:colOff>11907</xdr:colOff>
      <xdr:row>35</xdr:row>
      <xdr:rowOff>154782</xdr:rowOff>
    </xdr:to>
    <xdr:cxnSp macro="">
      <xdr:nvCxnSpPr>
        <xdr:cNvPr id="5" name="Straight Arrow Connector 4"/>
        <xdr:cNvCxnSpPr/>
      </xdr:nvCxnSpPr>
      <xdr:spPr>
        <a:xfrm flipH="1">
          <a:off x="18859501" y="5953126"/>
          <a:ext cx="714375" cy="63103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23813</xdr:colOff>
      <xdr:row>31</xdr:row>
      <xdr:rowOff>35720</xdr:rowOff>
    </xdr:from>
    <xdr:ext cx="1123321" cy="248851"/>
    <xdr:sp macro="" textlink="">
      <xdr:nvSpPr>
        <xdr:cNvPr id="6" name="TextBox 5"/>
        <xdr:cNvSpPr txBox="1"/>
      </xdr:nvSpPr>
      <xdr:spPr>
        <a:xfrm>
          <a:off x="19585782" y="5798345"/>
          <a:ext cx="112332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Target (graphene)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35719</xdr:colOff>
      <xdr:row>207</xdr:row>
      <xdr:rowOff>104776</xdr:rowOff>
    </xdr:from>
    <xdr:to>
      <xdr:col>6</xdr:col>
      <xdr:colOff>762001</xdr:colOff>
      <xdr:row>228</xdr:row>
      <xdr:rowOff>71438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11906</xdr:colOff>
      <xdr:row>242</xdr:row>
      <xdr:rowOff>95248</xdr:rowOff>
    </xdr:from>
    <xdr:to>
      <xdr:col>10</xdr:col>
      <xdr:colOff>23812</xdr:colOff>
      <xdr:row>251</xdr:row>
      <xdr:rowOff>13613</xdr:rowOff>
    </xdr:to>
    <xdr:pic>
      <xdr:nvPicPr>
        <xdr:cNvPr id="2" name="Picture 1" descr="C:\Users\Jimbo\Documents\Green Chemistry at York\PostDoc\S4\Final S4 propaganda\S4 logo-colour transparent Backgound (png).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01" t="22019" r="13872" b="21101"/>
        <a:stretch/>
      </xdr:blipFill>
      <xdr:spPr bwMode="auto">
        <a:xfrm>
          <a:off x="7191375" y="41505186"/>
          <a:ext cx="2774156" cy="1418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154781</xdr:colOff>
      <xdr:row>12</xdr:row>
      <xdr:rowOff>-1</xdr:rowOff>
    </xdr:from>
    <xdr:to>
      <xdr:col>29</xdr:col>
      <xdr:colOff>547687</xdr:colOff>
      <xdr:row>44</xdr:row>
      <xdr:rowOff>11906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976312</xdr:colOff>
      <xdr:row>35</xdr:row>
      <xdr:rowOff>154782</xdr:rowOff>
    </xdr:from>
    <xdr:to>
      <xdr:col>21</xdr:col>
      <xdr:colOff>357187</xdr:colOff>
      <xdr:row>39</xdr:row>
      <xdr:rowOff>119063</xdr:rowOff>
    </xdr:to>
    <xdr:cxnSp macro="">
      <xdr:nvCxnSpPr>
        <xdr:cNvPr id="7" name="Straight Arrow Connector 6"/>
        <xdr:cNvCxnSpPr/>
      </xdr:nvCxnSpPr>
      <xdr:spPr>
        <a:xfrm flipH="1">
          <a:off x="22955250" y="6584157"/>
          <a:ext cx="714375" cy="63103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369093</xdr:colOff>
      <xdr:row>35</xdr:row>
      <xdr:rowOff>11906</xdr:rowOff>
    </xdr:from>
    <xdr:ext cx="520399" cy="248851"/>
    <xdr:sp macro="" textlink="">
      <xdr:nvSpPr>
        <xdr:cNvPr id="8" name="TextBox 7"/>
        <xdr:cNvSpPr txBox="1"/>
      </xdr:nvSpPr>
      <xdr:spPr>
        <a:xfrm>
          <a:off x="23681531" y="6441281"/>
          <a:ext cx="52039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Target</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32</xdr:col>
      <xdr:colOff>1047749</xdr:colOff>
      <xdr:row>28</xdr:row>
      <xdr:rowOff>35718</xdr:rowOff>
    </xdr:from>
    <xdr:to>
      <xdr:col>35</xdr:col>
      <xdr:colOff>13364</xdr:colOff>
      <xdr:row>36</xdr:row>
      <xdr:rowOff>45243</xdr:rowOff>
    </xdr:to>
    <xdr:pic>
      <xdr:nvPicPr>
        <xdr:cNvPr id="24" name="Picture 23" descr="C:\Users\Jimbo\Documents\Green Chemistry at York\PostDoc\S4\Final S4 propaganda\S4 logo-colour transparent Backgound (png).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01" t="22019" r="13872" b="21101"/>
        <a:stretch/>
      </xdr:blipFill>
      <xdr:spPr bwMode="auto">
        <a:xfrm>
          <a:off x="33373218" y="6346031"/>
          <a:ext cx="2680365"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51</xdr:row>
      <xdr:rowOff>0</xdr:rowOff>
    </xdr:from>
    <xdr:to>
      <xdr:col>8</xdr:col>
      <xdr:colOff>130969</xdr:colOff>
      <xdr:row>65</xdr:row>
      <xdr:rowOff>47625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66</xdr:row>
      <xdr:rowOff>0</xdr:rowOff>
    </xdr:from>
    <xdr:to>
      <xdr:col>8</xdr:col>
      <xdr:colOff>130969</xdr:colOff>
      <xdr:row>80</xdr:row>
      <xdr:rowOff>47625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81</xdr:row>
      <xdr:rowOff>0</xdr:rowOff>
    </xdr:from>
    <xdr:to>
      <xdr:col>8</xdr:col>
      <xdr:colOff>130969</xdr:colOff>
      <xdr:row>95</xdr:row>
      <xdr:rowOff>47625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66</xdr:row>
      <xdr:rowOff>0</xdr:rowOff>
    </xdr:from>
    <xdr:to>
      <xdr:col>14</xdr:col>
      <xdr:colOff>940593</xdr:colOff>
      <xdr:row>80</xdr:row>
      <xdr:rowOff>47625</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81</xdr:row>
      <xdr:rowOff>0</xdr:rowOff>
    </xdr:from>
    <xdr:to>
      <xdr:col>14</xdr:col>
      <xdr:colOff>940593</xdr:colOff>
      <xdr:row>95</xdr:row>
      <xdr:rowOff>47625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51</xdr:row>
      <xdr:rowOff>0</xdr:rowOff>
    </xdr:from>
    <xdr:to>
      <xdr:col>14</xdr:col>
      <xdr:colOff>940593</xdr:colOff>
      <xdr:row>65</xdr:row>
      <xdr:rowOff>47625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59530</xdr:colOff>
      <xdr:row>63</xdr:row>
      <xdr:rowOff>47624</xdr:rowOff>
    </xdr:from>
    <xdr:to>
      <xdr:col>4</xdr:col>
      <xdr:colOff>644395</xdr:colOff>
      <xdr:row>71</xdr:row>
      <xdr:rowOff>133349</xdr:rowOff>
    </xdr:to>
    <xdr:pic>
      <xdr:nvPicPr>
        <xdr:cNvPr id="6" name="Picture 5" descr="C:\Users\Jimbo\Documents\Green Chemistry at York\PostDoc\S4\Final S4 propaganda\S4 logo-colour transparent Backgound (png).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01" t="22019" r="13872" b="21101"/>
        <a:stretch/>
      </xdr:blipFill>
      <xdr:spPr bwMode="auto">
        <a:xfrm>
          <a:off x="5012530" y="9763124"/>
          <a:ext cx="268036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58"/>
  <sheetViews>
    <sheetView zoomScale="80" zoomScaleNormal="80" workbookViewId="0"/>
  </sheetViews>
  <sheetFormatPr defaultColWidth="9.140625" defaultRowHeight="12.75" x14ac:dyDescent="0.2"/>
  <cols>
    <col min="1" max="1" width="1.42578125" style="39" customWidth="1"/>
    <col min="2" max="2" width="55.7109375" style="39" customWidth="1"/>
    <col min="3" max="3" width="17.85546875" style="39" customWidth="1"/>
    <col min="4" max="4" width="17.85546875" style="111" customWidth="1"/>
    <col min="5" max="5" width="17.85546875" style="39" customWidth="1"/>
    <col min="6" max="6" width="34.28515625" style="39" customWidth="1"/>
    <col min="7" max="10" width="9.140625" style="39"/>
    <col min="11" max="11" width="17.85546875" style="39" customWidth="1"/>
    <col min="12" max="12" width="71.42578125" style="39" customWidth="1"/>
    <col min="13" max="14" width="9" style="39" customWidth="1"/>
    <col min="15" max="16384" width="9.140625" style="39"/>
  </cols>
  <sheetData>
    <row r="3" spans="2:14" ht="30" customHeight="1" x14ac:dyDescent="0.2">
      <c r="B3" s="417" t="s">
        <v>441</v>
      </c>
      <c r="C3" s="314"/>
      <c r="D3" s="314"/>
      <c r="E3" s="314"/>
      <c r="F3" s="314"/>
      <c r="K3" s="434" t="s">
        <v>592</v>
      </c>
      <c r="L3" s="314"/>
      <c r="M3" s="314"/>
      <c r="N3" s="314"/>
    </row>
    <row r="4" spans="2:14" x14ac:dyDescent="0.2">
      <c r="B4" s="337" t="s">
        <v>439</v>
      </c>
      <c r="C4" s="44"/>
      <c r="D4" s="395"/>
      <c r="E4" s="395"/>
      <c r="F4" s="395"/>
      <c r="K4" s="337" t="s">
        <v>590</v>
      </c>
      <c r="L4" s="44"/>
      <c r="M4" s="44"/>
      <c r="N4" s="44"/>
    </row>
    <row r="5" spans="2:14" x14ac:dyDescent="0.2">
      <c r="B5" s="338" t="s">
        <v>440</v>
      </c>
      <c r="C5" s="49"/>
      <c r="D5" s="396"/>
      <c r="E5" s="396"/>
      <c r="F5" s="396"/>
      <c r="K5" s="338" t="s">
        <v>599</v>
      </c>
      <c r="L5" s="49"/>
      <c r="M5" s="49"/>
      <c r="N5" s="49"/>
    </row>
    <row r="6" spans="2:14" x14ac:dyDescent="0.2">
      <c r="B6" s="45"/>
    </row>
    <row r="8" spans="2:14" ht="45" customHeight="1" x14ac:dyDescent="0.2">
      <c r="B8" s="73" t="s">
        <v>0</v>
      </c>
      <c r="C8" s="75" t="s">
        <v>442</v>
      </c>
      <c r="D8" s="75" t="s">
        <v>443</v>
      </c>
      <c r="E8" s="406" t="s">
        <v>589</v>
      </c>
      <c r="F8" s="409" t="s">
        <v>588</v>
      </c>
      <c r="K8" s="328" t="s">
        <v>591</v>
      </c>
      <c r="L8" s="328"/>
      <c r="M8" s="328"/>
      <c r="N8" s="328"/>
    </row>
    <row r="9" spans="2:14" ht="15" x14ac:dyDescent="0.2">
      <c r="B9" s="1" t="s">
        <v>190</v>
      </c>
      <c r="C9" s="26">
        <v>8.5</v>
      </c>
      <c r="D9" s="26">
        <f>C9/C$17</f>
        <v>1.8085106382978722</v>
      </c>
      <c r="E9" s="57" t="s">
        <v>292</v>
      </c>
      <c r="F9" s="306"/>
      <c r="K9" s="84" t="s">
        <v>398</v>
      </c>
      <c r="L9" s="84" t="s">
        <v>594</v>
      </c>
      <c r="M9" s="84" t="s">
        <v>595</v>
      </c>
      <c r="N9" s="124">
        <v>68</v>
      </c>
    </row>
    <row r="10" spans="2:14" ht="15.75" x14ac:dyDescent="0.25">
      <c r="B10" s="6" t="s">
        <v>189</v>
      </c>
      <c r="C10" s="26">
        <v>7.3</v>
      </c>
      <c r="D10" s="26">
        <f t="shared" ref="D10:D48" si="0">C10/C$17</f>
        <v>1.553191489361702</v>
      </c>
      <c r="E10" s="57" t="s">
        <v>292</v>
      </c>
      <c r="F10" s="306"/>
      <c r="K10" s="84" t="s">
        <v>243</v>
      </c>
      <c r="L10" s="84" t="s">
        <v>593</v>
      </c>
      <c r="M10" s="353" t="s">
        <v>597</v>
      </c>
      <c r="N10" s="339">
        <v>18</v>
      </c>
    </row>
    <row r="11" spans="2:14" ht="15.75" x14ac:dyDescent="0.25">
      <c r="B11" s="6" t="s">
        <v>445</v>
      </c>
      <c r="C11" s="26">
        <v>7.2</v>
      </c>
      <c r="D11" s="26">
        <f t="shared" si="0"/>
        <v>1.5319148936170213</v>
      </c>
      <c r="E11" s="57"/>
      <c r="F11" s="306" t="s">
        <v>484</v>
      </c>
      <c r="K11" s="84"/>
      <c r="L11" s="84"/>
      <c r="M11" s="353" t="s">
        <v>598</v>
      </c>
      <c r="N11" s="124">
        <v>9.3000000000000007</v>
      </c>
    </row>
    <row r="12" spans="2:14" ht="15.75" x14ac:dyDescent="0.25">
      <c r="B12" s="2" t="s">
        <v>444</v>
      </c>
      <c r="C12" s="26">
        <v>5.5</v>
      </c>
      <c r="D12" s="26">
        <f t="shared" si="0"/>
        <v>1.1702127659574468</v>
      </c>
      <c r="E12" s="57"/>
      <c r="F12" s="306" t="s">
        <v>484</v>
      </c>
      <c r="K12" s="84"/>
      <c r="L12" s="84"/>
      <c r="M12" s="353" t="s">
        <v>596</v>
      </c>
      <c r="N12" s="124">
        <v>7.7</v>
      </c>
    </row>
    <row r="13" spans="2:14" x14ac:dyDescent="0.2">
      <c r="B13" s="4" t="s">
        <v>446</v>
      </c>
      <c r="C13" s="26">
        <v>5.4</v>
      </c>
      <c r="D13" s="26">
        <f t="shared" si="0"/>
        <v>1.1489361702127661</v>
      </c>
      <c r="E13" s="57"/>
      <c r="F13" s="306" t="s">
        <v>484</v>
      </c>
    </row>
    <row r="14" spans="2:14" x14ac:dyDescent="0.2">
      <c r="B14" s="4" t="s">
        <v>87</v>
      </c>
      <c r="C14" s="26">
        <v>5.0999999999999996</v>
      </c>
      <c r="D14" s="26">
        <f t="shared" si="0"/>
        <v>1.0851063829787233</v>
      </c>
      <c r="E14" s="57"/>
      <c r="F14" s="306" t="s">
        <v>483</v>
      </c>
    </row>
    <row r="15" spans="2:14" x14ac:dyDescent="0.2">
      <c r="B15" s="4" t="s">
        <v>195</v>
      </c>
      <c r="C15" s="26">
        <v>4.8</v>
      </c>
      <c r="D15" s="26">
        <f t="shared" si="0"/>
        <v>1.0212765957446808</v>
      </c>
      <c r="E15" s="57" t="s">
        <v>292</v>
      </c>
      <c r="F15" s="306"/>
    </row>
    <row r="16" spans="2:14" ht="13.5" thickBot="1" x14ac:dyDescent="0.25">
      <c r="B16" s="4" t="s">
        <v>447</v>
      </c>
      <c r="C16" s="26">
        <v>4.7</v>
      </c>
      <c r="D16" s="26">
        <f t="shared" si="0"/>
        <v>1</v>
      </c>
      <c r="E16" s="57"/>
      <c r="F16" s="306" t="s">
        <v>481</v>
      </c>
    </row>
    <row r="17" spans="2:6" ht="13.5" thickBot="1" x14ac:dyDescent="0.25">
      <c r="B17" s="397" t="s">
        <v>226</v>
      </c>
      <c r="C17" s="398">
        <v>4.7</v>
      </c>
      <c r="D17" s="399">
        <f t="shared" si="0"/>
        <v>1</v>
      </c>
      <c r="E17" s="57"/>
      <c r="F17" s="306" t="s">
        <v>482</v>
      </c>
    </row>
    <row r="18" spans="2:6" x14ac:dyDescent="0.2">
      <c r="B18" s="4" t="s">
        <v>448</v>
      </c>
      <c r="C18" s="26">
        <v>4.5999999999999996</v>
      </c>
      <c r="D18" s="26">
        <f t="shared" si="0"/>
        <v>0.97872340425531901</v>
      </c>
      <c r="E18" s="57"/>
    </row>
    <row r="19" spans="2:6" x14ac:dyDescent="0.2">
      <c r="B19" s="4" t="s">
        <v>450</v>
      </c>
      <c r="C19" s="26">
        <v>4.0999999999999996</v>
      </c>
      <c r="D19" s="26">
        <f t="shared" si="0"/>
        <v>0.87234042553191482</v>
      </c>
      <c r="E19" s="57"/>
    </row>
    <row r="20" spans="2:6" x14ac:dyDescent="0.2">
      <c r="B20" s="4" t="s">
        <v>396</v>
      </c>
      <c r="C20" s="26">
        <v>4.0999999999999996</v>
      </c>
      <c r="D20" s="26">
        <f t="shared" si="0"/>
        <v>0.87234042553191482</v>
      </c>
      <c r="E20" s="57"/>
    </row>
    <row r="21" spans="2:6" x14ac:dyDescent="0.2">
      <c r="B21" s="4" t="s">
        <v>449</v>
      </c>
      <c r="C21" s="26">
        <v>4</v>
      </c>
      <c r="D21" s="26">
        <f t="shared" si="0"/>
        <v>0.85106382978723405</v>
      </c>
      <c r="E21" s="57"/>
    </row>
    <row r="22" spans="2:6" x14ac:dyDescent="0.2">
      <c r="B22" s="4" t="s">
        <v>451</v>
      </c>
      <c r="C22" s="26">
        <v>3.9</v>
      </c>
      <c r="D22" s="26">
        <f t="shared" si="0"/>
        <v>0.82978723404255317</v>
      </c>
      <c r="E22" s="57"/>
    </row>
    <row r="23" spans="2:6" x14ac:dyDescent="0.2">
      <c r="B23" s="4" t="s">
        <v>452</v>
      </c>
      <c r="C23" s="26">
        <v>3.7</v>
      </c>
      <c r="D23" s="26">
        <f t="shared" si="0"/>
        <v>0.78723404255319152</v>
      </c>
      <c r="E23" s="57"/>
    </row>
    <row r="24" spans="2:6" x14ac:dyDescent="0.2">
      <c r="B24" s="4" t="s">
        <v>453</v>
      </c>
      <c r="C24" s="26">
        <v>3.7</v>
      </c>
      <c r="D24" s="26">
        <f t="shared" si="0"/>
        <v>0.78723404255319152</v>
      </c>
      <c r="E24" s="57"/>
    </row>
    <row r="25" spans="2:6" x14ac:dyDescent="0.2">
      <c r="B25" s="4" t="s">
        <v>133</v>
      </c>
      <c r="C25" s="26">
        <v>3.5</v>
      </c>
      <c r="D25" s="26">
        <f t="shared" si="0"/>
        <v>0.74468085106382975</v>
      </c>
      <c r="E25" s="57"/>
    </row>
    <row r="26" spans="2:6" x14ac:dyDescent="0.2">
      <c r="B26" s="4" t="s">
        <v>105</v>
      </c>
      <c r="C26" s="26">
        <v>3.4</v>
      </c>
      <c r="D26" s="26">
        <f t="shared" si="0"/>
        <v>0.72340425531914887</v>
      </c>
      <c r="E26" s="57"/>
    </row>
    <row r="27" spans="2:6" x14ac:dyDescent="0.2">
      <c r="B27" s="4" t="s">
        <v>22</v>
      </c>
      <c r="C27" s="26">
        <v>3.1</v>
      </c>
      <c r="D27" s="26">
        <f t="shared" si="0"/>
        <v>0.65957446808510634</v>
      </c>
      <c r="E27" s="57"/>
    </row>
    <row r="28" spans="2:6" x14ac:dyDescent="0.2">
      <c r="B28" s="4" t="s">
        <v>95</v>
      </c>
      <c r="C28" s="26">
        <v>2.9</v>
      </c>
      <c r="D28" s="26">
        <f t="shared" si="0"/>
        <v>0.61702127659574468</v>
      </c>
      <c r="E28" s="57"/>
    </row>
    <row r="29" spans="2:6" x14ac:dyDescent="0.2">
      <c r="B29" s="4" t="s">
        <v>454</v>
      </c>
      <c r="C29" s="26">
        <v>2.8</v>
      </c>
      <c r="D29" s="26">
        <f t="shared" si="0"/>
        <v>0.5957446808510638</v>
      </c>
      <c r="E29" s="57"/>
    </row>
    <row r="30" spans="2:6" x14ac:dyDescent="0.2">
      <c r="B30" s="4" t="s">
        <v>395</v>
      </c>
      <c r="C30" s="26">
        <v>2.8</v>
      </c>
      <c r="D30" s="26">
        <f t="shared" si="0"/>
        <v>0.5957446808510638</v>
      </c>
      <c r="E30" s="57"/>
    </row>
    <row r="31" spans="2:6" x14ac:dyDescent="0.2">
      <c r="B31" s="4" t="s">
        <v>114</v>
      </c>
      <c r="C31" s="26">
        <v>2.6</v>
      </c>
      <c r="D31" s="26">
        <f t="shared" si="0"/>
        <v>0.55319148936170215</v>
      </c>
      <c r="E31" s="57"/>
    </row>
    <row r="32" spans="2:6" x14ac:dyDescent="0.2">
      <c r="B32" s="4" t="s">
        <v>193</v>
      </c>
      <c r="C32" s="26">
        <v>2.6</v>
      </c>
      <c r="D32" s="26">
        <f t="shared" si="0"/>
        <v>0.55319148936170215</v>
      </c>
      <c r="E32" s="57"/>
    </row>
    <row r="33" spans="2:5" x14ac:dyDescent="0.2">
      <c r="B33" s="4" t="s">
        <v>64</v>
      </c>
      <c r="C33" s="26">
        <v>2.5</v>
      </c>
      <c r="D33" s="26">
        <f t="shared" si="0"/>
        <v>0.53191489361702127</v>
      </c>
      <c r="E33" s="57"/>
    </row>
    <row r="34" spans="2:5" x14ac:dyDescent="0.2">
      <c r="B34" s="4" t="s">
        <v>455</v>
      </c>
      <c r="C34" s="26">
        <v>2.5</v>
      </c>
      <c r="D34" s="26">
        <f t="shared" si="0"/>
        <v>0.53191489361702127</v>
      </c>
      <c r="E34" s="57"/>
    </row>
    <row r="35" spans="2:5" x14ac:dyDescent="0.2">
      <c r="B35" s="4" t="s">
        <v>456</v>
      </c>
      <c r="C35" s="26">
        <v>2.2000000000000002</v>
      </c>
      <c r="D35" s="26">
        <f t="shared" si="0"/>
        <v>0.46808510638297873</v>
      </c>
      <c r="E35" s="57"/>
    </row>
    <row r="36" spans="2:5" x14ac:dyDescent="0.2">
      <c r="B36" s="4" t="s">
        <v>457</v>
      </c>
      <c r="C36" s="26">
        <v>2.1</v>
      </c>
      <c r="D36" s="26">
        <f t="shared" si="0"/>
        <v>0.44680851063829785</v>
      </c>
      <c r="E36" s="57"/>
    </row>
    <row r="37" spans="2:5" x14ac:dyDescent="0.2">
      <c r="B37" s="4" t="s">
        <v>192</v>
      </c>
      <c r="C37" s="26">
        <v>2</v>
      </c>
      <c r="D37" s="26">
        <f t="shared" si="0"/>
        <v>0.42553191489361702</v>
      </c>
      <c r="E37" s="57" t="s">
        <v>292</v>
      </c>
    </row>
    <row r="38" spans="2:5" x14ac:dyDescent="0.2">
      <c r="B38" s="4" t="s">
        <v>130</v>
      </c>
      <c r="C38" s="26">
        <v>1.8</v>
      </c>
      <c r="D38" s="26">
        <f t="shared" si="0"/>
        <v>0.38297872340425532</v>
      </c>
      <c r="E38" s="57"/>
    </row>
    <row r="39" spans="2:5" x14ac:dyDescent="0.2">
      <c r="B39" s="4" t="s">
        <v>67</v>
      </c>
      <c r="C39" s="26">
        <v>1.7</v>
      </c>
      <c r="D39" s="26">
        <f t="shared" si="0"/>
        <v>0.36170212765957444</v>
      </c>
      <c r="E39" s="57"/>
    </row>
    <row r="40" spans="2:5" x14ac:dyDescent="0.2">
      <c r="B40" s="4" t="s">
        <v>25</v>
      </c>
      <c r="C40" s="26">
        <v>1.6</v>
      </c>
      <c r="D40" s="26">
        <f t="shared" si="0"/>
        <v>0.34042553191489361</v>
      </c>
      <c r="E40" s="57"/>
    </row>
    <row r="41" spans="2:5" x14ac:dyDescent="0.2">
      <c r="B41" s="4" t="s">
        <v>458</v>
      </c>
      <c r="C41" s="26">
        <v>1.5</v>
      </c>
      <c r="D41" s="26">
        <f t="shared" si="0"/>
        <v>0.31914893617021273</v>
      </c>
      <c r="E41" s="57"/>
    </row>
    <row r="42" spans="2:5" x14ac:dyDescent="0.2">
      <c r="B42" s="4" t="s">
        <v>186</v>
      </c>
      <c r="C42" s="26">
        <v>1.2</v>
      </c>
      <c r="D42" s="26">
        <f t="shared" si="0"/>
        <v>0.25531914893617019</v>
      </c>
      <c r="E42" s="57"/>
    </row>
    <row r="43" spans="2:5" x14ac:dyDescent="0.2">
      <c r="B43" s="4" t="s">
        <v>85</v>
      </c>
      <c r="C43" s="26">
        <v>1.1000000000000001</v>
      </c>
      <c r="D43" s="26">
        <f t="shared" si="0"/>
        <v>0.23404255319148937</v>
      </c>
      <c r="E43" s="57"/>
    </row>
    <row r="44" spans="2:5" x14ac:dyDescent="0.2">
      <c r="B44" s="4" t="s">
        <v>54</v>
      </c>
      <c r="C44" s="26">
        <v>1</v>
      </c>
      <c r="D44" s="26">
        <f t="shared" si="0"/>
        <v>0.21276595744680851</v>
      </c>
      <c r="E44" s="57"/>
    </row>
    <row r="45" spans="2:5" x14ac:dyDescent="0.2">
      <c r="B45" s="4" t="s">
        <v>175</v>
      </c>
      <c r="C45" s="26">
        <v>0.8</v>
      </c>
      <c r="D45" s="26">
        <f t="shared" si="0"/>
        <v>0.1702127659574468</v>
      </c>
      <c r="E45" s="57"/>
    </row>
    <row r="46" spans="2:5" x14ac:dyDescent="0.2">
      <c r="B46" s="4" t="s">
        <v>459</v>
      </c>
      <c r="C46" s="26">
        <v>0.3</v>
      </c>
      <c r="D46" s="26">
        <f t="shared" si="0"/>
        <v>6.3829787234042548E-2</v>
      </c>
      <c r="E46" s="57"/>
    </row>
    <row r="47" spans="2:5" x14ac:dyDescent="0.2">
      <c r="B47" s="4" t="s">
        <v>460</v>
      </c>
      <c r="C47" s="26">
        <v>0.2</v>
      </c>
      <c r="D47" s="9">
        <f>C47/C$17</f>
        <v>4.2553191489361701E-2</v>
      </c>
      <c r="E47" s="57"/>
    </row>
    <row r="48" spans="2:5" x14ac:dyDescent="0.2">
      <c r="B48" s="4" t="s">
        <v>461</v>
      </c>
      <c r="C48" s="26">
        <v>0.16</v>
      </c>
      <c r="D48" s="9">
        <f t="shared" si="0"/>
        <v>3.4042553191489362E-2</v>
      </c>
      <c r="E48" s="57"/>
    </row>
    <row r="49" spans="3:3" x14ac:dyDescent="0.2">
      <c r="C49" s="83"/>
    </row>
    <row r="50" spans="3:3" x14ac:dyDescent="0.2">
      <c r="C50" s="83"/>
    </row>
    <row r="51" spans="3:3" x14ac:dyDescent="0.2">
      <c r="C51" s="83"/>
    </row>
    <row r="52" spans="3:3" x14ac:dyDescent="0.2">
      <c r="C52" s="83"/>
    </row>
    <row r="53" spans="3:3" x14ac:dyDescent="0.2">
      <c r="C53" s="83"/>
    </row>
    <row r="54" spans="3:3" x14ac:dyDescent="0.2">
      <c r="C54" s="83"/>
    </row>
    <row r="55" spans="3:3" x14ac:dyDescent="0.2">
      <c r="C55" s="83"/>
    </row>
    <row r="56" spans="3:3" x14ac:dyDescent="0.2">
      <c r="C56" s="83"/>
    </row>
    <row r="57" spans="3:3" x14ac:dyDescent="0.2">
      <c r="C57" s="83"/>
    </row>
    <row r="58" spans="3:3" x14ac:dyDescent="0.2">
      <c r="C58" s="8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78"/>
  <sheetViews>
    <sheetView tabSelected="1" zoomScale="80" zoomScaleNormal="80" workbookViewId="0">
      <selection activeCell="A2" sqref="A2:O74"/>
    </sheetView>
  </sheetViews>
  <sheetFormatPr defaultColWidth="9.140625" defaultRowHeight="12.75" x14ac:dyDescent="0.2"/>
  <cols>
    <col min="1" max="1" width="1.42578125" style="39" customWidth="1"/>
    <col min="2" max="2" width="55.7109375" style="39" customWidth="1"/>
    <col min="3" max="3" width="12.7109375" style="39" customWidth="1"/>
    <col min="4" max="5" width="31.42578125" style="39" customWidth="1"/>
    <col min="6" max="6" width="114.28515625" style="39" customWidth="1"/>
    <col min="7" max="13" width="12.7109375" style="39" customWidth="1"/>
    <col min="14" max="14" width="3.42578125" style="39" customWidth="1"/>
    <col min="15" max="15" width="121.42578125" style="39" customWidth="1"/>
    <col min="16" max="16384" width="9.140625" style="39"/>
  </cols>
  <sheetData>
    <row r="3" spans="2:15" ht="45" customHeight="1" x14ac:dyDescent="0.2">
      <c r="B3" s="73" t="s">
        <v>0</v>
      </c>
      <c r="C3" s="120" t="s">
        <v>314</v>
      </c>
      <c r="D3" s="420" t="s">
        <v>315</v>
      </c>
      <c r="E3" s="420" t="s">
        <v>244</v>
      </c>
      <c r="F3" s="420" t="s">
        <v>431</v>
      </c>
      <c r="G3" s="107" t="s">
        <v>281</v>
      </c>
      <c r="H3" s="107" t="s">
        <v>282</v>
      </c>
      <c r="I3" s="107" t="s">
        <v>283</v>
      </c>
      <c r="J3" s="108" t="s">
        <v>284</v>
      </c>
      <c r="K3" s="104" t="s">
        <v>243</v>
      </c>
      <c r="L3" s="106" t="s">
        <v>334</v>
      </c>
      <c r="M3" s="106" t="s">
        <v>437</v>
      </c>
      <c r="N3" s="182"/>
      <c r="O3" s="106" t="s">
        <v>338</v>
      </c>
    </row>
    <row r="4" spans="2:15" ht="12.75" customHeight="1" x14ac:dyDescent="0.2">
      <c r="B4" s="195" t="s">
        <v>354</v>
      </c>
      <c r="C4" s="196">
        <v>1</v>
      </c>
      <c r="D4" s="231" t="s">
        <v>327</v>
      </c>
      <c r="E4" s="231" t="s">
        <v>519</v>
      </c>
      <c r="F4" s="426" t="s">
        <v>516</v>
      </c>
      <c r="G4" s="308">
        <v>16.7</v>
      </c>
      <c r="H4" s="308">
        <v>7.2</v>
      </c>
      <c r="I4" s="308">
        <v>16.8</v>
      </c>
      <c r="J4" s="309">
        <v>9.69</v>
      </c>
      <c r="K4" s="97" t="s">
        <v>236</v>
      </c>
      <c r="L4" s="100" t="s">
        <v>237</v>
      </c>
      <c r="M4" s="100" t="s">
        <v>237</v>
      </c>
      <c r="N4" s="182"/>
      <c r="O4" s="194"/>
    </row>
    <row r="5" spans="2:15" x14ac:dyDescent="0.2">
      <c r="B5" s="5" t="s">
        <v>49</v>
      </c>
      <c r="C5" s="179">
        <v>1</v>
      </c>
      <c r="D5" s="229" t="s">
        <v>316</v>
      </c>
      <c r="E5" s="229" t="s">
        <v>540</v>
      </c>
      <c r="F5" s="426" t="s">
        <v>541</v>
      </c>
      <c r="G5" s="308">
        <v>16.8</v>
      </c>
      <c r="H5" s="308">
        <v>10.4</v>
      </c>
      <c r="I5" s="308">
        <v>21.3</v>
      </c>
      <c r="J5" s="309">
        <v>13.85</v>
      </c>
      <c r="K5" s="97" t="s">
        <v>236</v>
      </c>
      <c r="L5" s="98" t="s">
        <v>235</v>
      </c>
      <c r="M5" s="98" t="s">
        <v>235</v>
      </c>
      <c r="N5" s="102"/>
      <c r="O5" s="84"/>
    </row>
    <row r="6" spans="2:15" x14ac:dyDescent="0.2">
      <c r="B6" s="5" t="s">
        <v>30</v>
      </c>
      <c r="C6" s="179">
        <v>0.75</v>
      </c>
      <c r="D6" s="229" t="s">
        <v>316</v>
      </c>
      <c r="E6" s="229" t="s">
        <v>518</v>
      </c>
      <c r="F6" s="426" t="s">
        <v>514</v>
      </c>
      <c r="G6" s="308">
        <v>18.399999999999999</v>
      </c>
      <c r="H6" s="308">
        <v>10.6</v>
      </c>
      <c r="I6" s="308">
        <v>16.5</v>
      </c>
      <c r="J6" s="309">
        <v>8.93</v>
      </c>
      <c r="K6" s="97" t="s">
        <v>236</v>
      </c>
      <c r="L6" s="97" t="s">
        <v>236</v>
      </c>
      <c r="M6" s="98" t="s">
        <v>235</v>
      </c>
      <c r="N6" s="103"/>
      <c r="O6" s="84"/>
    </row>
    <row r="7" spans="2:15" x14ac:dyDescent="0.2">
      <c r="B7" s="5" t="s">
        <v>353</v>
      </c>
      <c r="C7" s="179">
        <v>1</v>
      </c>
      <c r="D7" s="229" t="s">
        <v>316</v>
      </c>
      <c r="E7" s="229" t="s">
        <v>527</v>
      </c>
      <c r="F7" s="426" t="s">
        <v>528</v>
      </c>
      <c r="G7" s="308">
        <v>16.8</v>
      </c>
      <c r="H7" s="308">
        <v>13.5</v>
      </c>
      <c r="I7" s="308">
        <v>23.2</v>
      </c>
      <c r="J7" s="309">
        <v>16.239999999999998</v>
      </c>
      <c r="K7" s="97" t="s">
        <v>236</v>
      </c>
      <c r="L7" s="100" t="s">
        <v>237</v>
      </c>
      <c r="M7" s="100" t="s">
        <v>237</v>
      </c>
      <c r="N7" s="103"/>
      <c r="O7" s="84"/>
    </row>
    <row r="8" spans="2:15" x14ac:dyDescent="0.2">
      <c r="B8" s="3" t="s">
        <v>51</v>
      </c>
      <c r="C8" s="179">
        <v>1</v>
      </c>
      <c r="D8" s="231" t="s">
        <v>320</v>
      </c>
      <c r="E8" s="231" t="s">
        <v>542</v>
      </c>
      <c r="F8" s="426" t="s">
        <v>543</v>
      </c>
      <c r="G8" s="308">
        <v>16.600000000000001</v>
      </c>
      <c r="H8" s="308">
        <v>11</v>
      </c>
      <c r="I8" s="308">
        <v>20.9</v>
      </c>
      <c r="J8" s="309">
        <v>13.6</v>
      </c>
      <c r="K8" s="97" t="s">
        <v>236</v>
      </c>
      <c r="L8" s="97" t="s">
        <v>236</v>
      </c>
      <c r="M8" s="98" t="s">
        <v>235</v>
      </c>
      <c r="N8" s="103"/>
      <c r="O8" s="84"/>
    </row>
    <row r="9" spans="2:15" x14ac:dyDescent="0.2">
      <c r="B9" s="2" t="s">
        <v>11</v>
      </c>
      <c r="C9" s="179">
        <v>1</v>
      </c>
      <c r="D9" s="231" t="s">
        <v>320</v>
      </c>
      <c r="E9" s="231" t="s">
        <v>520</v>
      </c>
      <c r="F9" s="426" t="s">
        <v>513</v>
      </c>
      <c r="G9" s="308">
        <v>16</v>
      </c>
      <c r="H9" s="308">
        <v>5.7</v>
      </c>
      <c r="I9" s="308">
        <v>15.8</v>
      </c>
      <c r="J9" s="309">
        <v>9.7200000000000006</v>
      </c>
      <c r="K9" s="97" t="s">
        <v>236</v>
      </c>
      <c r="L9" s="97" t="s">
        <v>236</v>
      </c>
      <c r="M9" s="98" t="s">
        <v>235</v>
      </c>
      <c r="N9" s="103"/>
      <c r="O9" s="84"/>
    </row>
    <row r="10" spans="2:15" x14ac:dyDescent="0.2">
      <c r="B10" s="6" t="s">
        <v>18</v>
      </c>
      <c r="C10" s="179">
        <v>1</v>
      </c>
      <c r="D10" s="231" t="s">
        <v>320</v>
      </c>
      <c r="E10" s="231" t="s">
        <v>526</v>
      </c>
      <c r="F10" s="426" t="s">
        <v>507</v>
      </c>
      <c r="G10" s="308">
        <v>15.8</v>
      </c>
      <c r="H10" s="308">
        <v>5.7</v>
      </c>
      <c r="I10" s="308">
        <v>14.5</v>
      </c>
      <c r="J10" s="309">
        <v>8.86</v>
      </c>
      <c r="K10" s="97" t="s">
        <v>236</v>
      </c>
      <c r="L10" s="97" t="s">
        <v>236</v>
      </c>
      <c r="M10" s="98" t="s">
        <v>235</v>
      </c>
      <c r="N10" s="103"/>
      <c r="O10" s="84"/>
    </row>
    <row r="11" spans="2:15" x14ac:dyDescent="0.2">
      <c r="B11" s="5" t="s">
        <v>131</v>
      </c>
      <c r="C11" s="179">
        <v>1</v>
      </c>
      <c r="D11" s="231" t="s">
        <v>327</v>
      </c>
      <c r="E11" s="231" t="s">
        <v>519</v>
      </c>
      <c r="F11" s="426" t="s">
        <v>573</v>
      </c>
      <c r="G11" s="307">
        <v>16.899999999999999</v>
      </c>
      <c r="H11" s="307">
        <v>5</v>
      </c>
      <c r="I11" s="307">
        <v>4.3</v>
      </c>
      <c r="J11" s="312">
        <v>5.91</v>
      </c>
      <c r="K11" s="181" t="s">
        <v>235</v>
      </c>
      <c r="L11" s="100" t="s">
        <v>237</v>
      </c>
      <c r="M11" s="97" t="s">
        <v>236</v>
      </c>
      <c r="N11" s="103"/>
      <c r="O11" s="84"/>
    </row>
    <row r="12" spans="2:15" x14ac:dyDescent="0.2">
      <c r="B12" s="7" t="s">
        <v>21</v>
      </c>
      <c r="C12" s="179">
        <v>1</v>
      </c>
      <c r="D12" s="231" t="s">
        <v>319</v>
      </c>
      <c r="E12" s="231" t="s">
        <v>517</v>
      </c>
      <c r="F12" s="426" t="s">
        <v>515</v>
      </c>
      <c r="G12" s="308">
        <v>16.100000000000001</v>
      </c>
      <c r="H12" s="308">
        <v>4.2</v>
      </c>
      <c r="I12" s="308">
        <v>9.1</v>
      </c>
      <c r="J12" s="309">
        <v>6.51</v>
      </c>
      <c r="K12" s="97" t="s">
        <v>236</v>
      </c>
      <c r="L12" s="97" t="s">
        <v>236</v>
      </c>
      <c r="M12" s="98" t="s">
        <v>235</v>
      </c>
      <c r="N12" s="103"/>
      <c r="O12" s="84"/>
    </row>
    <row r="13" spans="2:15" x14ac:dyDescent="0.2">
      <c r="B13" s="3" t="s">
        <v>22</v>
      </c>
      <c r="C13" s="179">
        <v>1</v>
      </c>
      <c r="D13" s="231" t="s">
        <v>320</v>
      </c>
      <c r="E13" s="231" t="s">
        <v>566</v>
      </c>
      <c r="F13" s="426" t="s">
        <v>567</v>
      </c>
      <c r="G13" s="308">
        <v>15.8</v>
      </c>
      <c r="H13" s="308">
        <v>6.1</v>
      </c>
      <c r="I13" s="308">
        <v>16.399999999999999</v>
      </c>
      <c r="J13" s="309">
        <v>10.26</v>
      </c>
      <c r="K13" s="97" t="s">
        <v>236</v>
      </c>
      <c r="L13" s="97" t="s">
        <v>236</v>
      </c>
      <c r="M13" s="98" t="s">
        <v>235</v>
      </c>
      <c r="N13" s="103"/>
      <c r="O13" s="84"/>
    </row>
    <row r="14" spans="2:15" x14ac:dyDescent="0.2">
      <c r="B14" s="2" t="s">
        <v>1</v>
      </c>
      <c r="C14" s="179">
        <v>1</v>
      </c>
      <c r="D14" s="231" t="s">
        <v>320</v>
      </c>
      <c r="E14" s="231" t="s">
        <v>545</v>
      </c>
      <c r="F14" s="426" t="s">
        <v>546</v>
      </c>
      <c r="G14" s="308">
        <v>14.5</v>
      </c>
      <c r="H14" s="308">
        <v>8</v>
      </c>
      <c r="I14" s="308">
        <v>13.5</v>
      </c>
      <c r="J14" s="309">
        <v>9.18</v>
      </c>
      <c r="K14" s="97" t="s">
        <v>236</v>
      </c>
      <c r="L14" s="97" t="s">
        <v>236</v>
      </c>
      <c r="M14" s="98" t="s">
        <v>235</v>
      </c>
      <c r="N14" s="103"/>
      <c r="O14" s="84"/>
    </row>
    <row r="15" spans="2:15" x14ac:dyDescent="0.2">
      <c r="B15" s="5" t="s">
        <v>186</v>
      </c>
      <c r="C15" s="179">
        <v>1</v>
      </c>
      <c r="D15" s="231" t="s">
        <v>320</v>
      </c>
      <c r="E15" s="231" t="s">
        <v>522</v>
      </c>
      <c r="F15" s="426"/>
      <c r="G15" s="307">
        <v>15.5</v>
      </c>
      <c r="H15" s="307">
        <v>10.4</v>
      </c>
      <c r="I15" s="307">
        <v>7</v>
      </c>
      <c r="J15" s="312">
        <v>5.17</v>
      </c>
      <c r="K15" s="181" t="s">
        <v>235</v>
      </c>
      <c r="L15" s="97" t="s">
        <v>236</v>
      </c>
      <c r="M15" s="97" t="s">
        <v>236</v>
      </c>
      <c r="N15" s="103"/>
      <c r="O15" s="84"/>
    </row>
    <row r="16" spans="2:15" x14ac:dyDescent="0.2">
      <c r="B16" s="2" t="s">
        <v>127</v>
      </c>
      <c r="C16" s="179">
        <f>3/17</f>
        <v>0.17647058823529413</v>
      </c>
      <c r="D16" s="231" t="s">
        <v>323</v>
      </c>
      <c r="E16" s="231" t="s">
        <v>522</v>
      </c>
      <c r="F16" s="427"/>
      <c r="G16" s="308">
        <v>16.7</v>
      </c>
      <c r="H16" s="308">
        <v>2.5</v>
      </c>
      <c r="I16" s="308">
        <v>7.4</v>
      </c>
      <c r="J16" s="309">
        <v>7.29</v>
      </c>
      <c r="K16" s="97" t="s">
        <v>236</v>
      </c>
      <c r="L16" s="100" t="s">
        <v>237</v>
      </c>
      <c r="M16" s="98" t="s">
        <v>235</v>
      </c>
      <c r="N16" s="183"/>
      <c r="O16" s="84"/>
    </row>
    <row r="17" spans="2:15" x14ac:dyDescent="0.2">
      <c r="B17" s="425" t="s">
        <v>36</v>
      </c>
      <c r="C17" s="179" t="s">
        <v>562</v>
      </c>
      <c r="D17" s="231" t="s">
        <v>322</v>
      </c>
      <c r="E17" s="231" t="s">
        <v>548</v>
      </c>
      <c r="F17" s="426" t="s">
        <v>550</v>
      </c>
      <c r="G17" s="307">
        <v>15.8</v>
      </c>
      <c r="H17" s="307">
        <v>6.5</v>
      </c>
      <c r="I17" s="307">
        <v>10.199999999999999</v>
      </c>
      <c r="J17" s="312">
        <v>5.78</v>
      </c>
      <c r="K17" s="181" t="s">
        <v>235</v>
      </c>
      <c r="L17" s="98" t="s">
        <v>235</v>
      </c>
      <c r="M17" s="98" t="s">
        <v>235</v>
      </c>
      <c r="N17" s="102"/>
      <c r="O17" s="423" t="s">
        <v>351</v>
      </c>
    </row>
    <row r="18" spans="2:15" x14ac:dyDescent="0.2">
      <c r="B18" s="4" t="s">
        <v>2</v>
      </c>
      <c r="C18" s="179">
        <v>1</v>
      </c>
      <c r="D18" s="231" t="s">
        <v>320</v>
      </c>
      <c r="E18" s="231" t="s">
        <v>564</v>
      </c>
      <c r="F18" s="426"/>
      <c r="G18" s="308">
        <v>15.7</v>
      </c>
      <c r="H18" s="308">
        <v>4.8</v>
      </c>
      <c r="I18" s="308">
        <v>12</v>
      </c>
      <c r="J18" s="309">
        <v>7.74</v>
      </c>
      <c r="K18" s="97" t="s">
        <v>236</v>
      </c>
      <c r="L18" s="97" t="s">
        <v>236</v>
      </c>
      <c r="M18" s="98" t="s">
        <v>235</v>
      </c>
      <c r="N18" s="102"/>
      <c r="O18" s="84"/>
    </row>
    <row r="19" spans="2:15" x14ac:dyDescent="0.2">
      <c r="B19" s="424" t="s">
        <v>227</v>
      </c>
      <c r="C19" s="179">
        <v>1</v>
      </c>
      <c r="D19" s="231" t="s">
        <v>327</v>
      </c>
      <c r="E19" s="231" t="s">
        <v>257</v>
      </c>
      <c r="F19" s="426" t="s">
        <v>574</v>
      </c>
      <c r="G19" s="396">
        <v>18.8</v>
      </c>
      <c r="H19" s="396">
        <v>10.6</v>
      </c>
      <c r="I19" s="396">
        <v>6.9</v>
      </c>
      <c r="J19" s="334">
        <v>2.2113344387495983</v>
      </c>
      <c r="K19" s="98" t="s">
        <v>235</v>
      </c>
      <c r="L19" s="98" t="s">
        <v>235</v>
      </c>
      <c r="M19" s="98" t="s">
        <v>235</v>
      </c>
      <c r="N19" s="102"/>
      <c r="O19" s="423" t="s">
        <v>351</v>
      </c>
    </row>
    <row r="20" spans="2:15" x14ac:dyDescent="0.2">
      <c r="B20" s="5" t="s">
        <v>147</v>
      </c>
      <c r="C20" s="179">
        <f>4/5</f>
        <v>0.8</v>
      </c>
      <c r="D20" s="231" t="s">
        <v>321</v>
      </c>
      <c r="E20" s="229" t="s">
        <v>518</v>
      </c>
      <c r="F20" s="426" t="s">
        <v>506</v>
      </c>
      <c r="G20" s="308">
        <v>15.4</v>
      </c>
      <c r="H20" s="308">
        <v>5.7</v>
      </c>
      <c r="I20" s="308">
        <v>5.0999999999999996</v>
      </c>
      <c r="J20" s="309">
        <v>6.84</v>
      </c>
      <c r="K20" s="97" t="s">
        <v>236</v>
      </c>
      <c r="L20" s="97" t="s">
        <v>236</v>
      </c>
      <c r="M20" s="100" t="s">
        <v>237</v>
      </c>
      <c r="N20" s="103"/>
      <c r="O20" s="84"/>
    </row>
    <row r="21" spans="2:15" x14ac:dyDescent="0.2">
      <c r="B21" s="2" t="s">
        <v>137</v>
      </c>
      <c r="C21" s="179">
        <v>1</v>
      </c>
      <c r="D21" s="231" t="s">
        <v>324</v>
      </c>
      <c r="E21" s="231" t="s">
        <v>525</v>
      </c>
      <c r="F21" s="426" t="s">
        <v>512</v>
      </c>
      <c r="G21" s="308">
        <v>15.2</v>
      </c>
      <c r="H21" s="308">
        <v>6.1</v>
      </c>
      <c r="I21" s="308">
        <v>5.7</v>
      </c>
      <c r="J21" s="309">
        <v>6.75</v>
      </c>
      <c r="K21" s="97" t="s">
        <v>236</v>
      </c>
      <c r="L21" s="97" t="s">
        <v>236</v>
      </c>
      <c r="M21" s="100" t="s">
        <v>237</v>
      </c>
      <c r="N21" s="103"/>
      <c r="O21" s="84"/>
    </row>
    <row r="22" spans="2:15" x14ac:dyDescent="0.2">
      <c r="B22" s="84" t="s">
        <v>331</v>
      </c>
      <c r="C22" s="179">
        <f>6/8</f>
        <v>0.75</v>
      </c>
      <c r="D22" s="231" t="s">
        <v>327</v>
      </c>
      <c r="E22" s="231" t="s">
        <v>535</v>
      </c>
      <c r="F22" s="426" t="s">
        <v>534</v>
      </c>
      <c r="G22" s="431">
        <v>17.600000000000001</v>
      </c>
      <c r="H22" s="431">
        <v>7.1</v>
      </c>
      <c r="I22" s="431">
        <v>7.5</v>
      </c>
      <c r="J22" s="311">
        <v>2.35</v>
      </c>
      <c r="K22" s="98" t="s">
        <v>235</v>
      </c>
      <c r="L22" s="100" t="s">
        <v>329</v>
      </c>
      <c r="M22" s="98" t="s">
        <v>235</v>
      </c>
      <c r="N22" s="183"/>
      <c r="O22" s="352" t="s">
        <v>464</v>
      </c>
    </row>
    <row r="23" spans="2:15" x14ac:dyDescent="0.2">
      <c r="B23" s="6" t="s">
        <v>208</v>
      </c>
      <c r="C23" s="179">
        <v>1</v>
      </c>
      <c r="D23" s="231" t="s">
        <v>325</v>
      </c>
      <c r="E23" s="231" t="s">
        <v>523</v>
      </c>
      <c r="F23" s="426"/>
      <c r="G23" s="308">
        <v>18.399999999999999</v>
      </c>
      <c r="H23" s="308">
        <v>16.399999999999999</v>
      </c>
      <c r="I23" s="308">
        <v>10.199999999999999</v>
      </c>
      <c r="J23" s="309">
        <v>7.57</v>
      </c>
      <c r="K23" s="97" t="s">
        <v>236</v>
      </c>
      <c r="L23" s="98" t="s">
        <v>235</v>
      </c>
      <c r="M23" s="98" t="s">
        <v>235</v>
      </c>
      <c r="N23" s="103"/>
      <c r="O23" s="84"/>
    </row>
    <row r="24" spans="2:15" x14ac:dyDescent="0.2">
      <c r="B24" s="6" t="s">
        <v>161</v>
      </c>
      <c r="C24" s="179">
        <v>1</v>
      </c>
      <c r="D24" s="231" t="s">
        <v>317</v>
      </c>
      <c r="E24" s="231" t="s">
        <v>524</v>
      </c>
      <c r="F24" s="426" t="s">
        <v>505</v>
      </c>
      <c r="G24" s="308">
        <v>17.2</v>
      </c>
      <c r="H24" s="308">
        <v>1.8</v>
      </c>
      <c r="I24" s="308">
        <v>4.3</v>
      </c>
      <c r="J24" s="309">
        <v>8.39</v>
      </c>
      <c r="K24" s="97" t="s">
        <v>236</v>
      </c>
      <c r="L24" s="97" t="s">
        <v>236</v>
      </c>
      <c r="M24" s="98" t="s">
        <v>235</v>
      </c>
      <c r="N24" s="103"/>
      <c r="O24" s="84"/>
    </row>
    <row r="25" spans="2:15" x14ac:dyDescent="0.2">
      <c r="B25" s="2" t="s">
        <v>25</v>
      </c>
      <c r="C25" s="179">
        <v>1</v>
      </c>
      <c r="D25" s="231" t="s">
        <v>320</v>
      </c>
      <c r="E25" s="231" t="s">
        <v>520</v>
      </c>
      <c r="F25" s="426" t="s">
        <v>511</v>
      </c>
      <c r="G25" s="308">
        <v>15.8</v>
      </c>
      <c r="H25" s="308">
        <v>8.8000000000000007</v>
      </c>
      <c r="I25" s="308">
        <v>19.399999999999999</v>
      </c>
      <c r="J25" s="309">
        <v>12.51</v>
      </c>
      <c r="K25" s="97" t="s">
        <v>236</v>
      </c>
      <c r="L25" s="97" t="s">
        <v>236</v>
      </c>
      <c r="M25" s="98" t="s">
        <v>235</v>
      </c>
      <c r="N25" s="103"/>
      <c r="O25" s="84"/>
    </row>
    <row r="26" spans="2:15" x14ac:dyDescent="0.2">
      <c r="B26" s="6" t="s">
        <v>114</v>
      </c>
      <c r="C26" s="179">
        <v>1</v>
      </c>
      <c r="D26" s="231" t="s">
        <v>326</v>
      </c>
      <c r="E26" s="231" t="s">
        <v>545</v>
      </c>
      <c r="F26" s="426" t="s">
        <v>547</v>
      </c>
      <c r="G26" s="307">
        <v>15.8</v>
      </c>
      <c r="H26" s="307">
        <v>5.3</v>
      </c>
      <c r="I26" s="307">
        <v>7.2</v>
      </c>
      <c r="J26" s="312">
        <v>5.97</v>
      </c>
      <c r="K26" s="181" t="s">
        <v>235</v>
      </c>
      <c r="L26" s="97" t="s">
        <v>236</v>
      </c>
      <c r="M26" s="97" t="s">
        <v>236</v>
      </c>
      <c r="N26" s="103"/>
      <c r="O26" s="84"/>
    </row>
    <row r="27" spans="2:15" x14ac:dyDescent="0.2">
      <c r="B27" s="6" t="s">
        <v>41</v>
      </c>
      <c r="C27" s="179">
        <v>1</v>
      </c>
      <c r="D27" s="231" t="s">
        <v>322</v>
      </c>
      <c r="E27" s="231" t="s">
        <v>548</v>
      </c>
      <c r="F27" s="426" t="s">
        <v>549</v>
      </c>
      <c r="G27" s="429">
        <v>16</v>
      </c>
      <c r="H27" s="429">
        <v>7.6</v>
      </c>
      <c r="I27" s="429">
        <v>12.5</v>
      </c>
      <c r="J27" s="310">
        <v>6.48</v>
      </c>
      <c r="K27" s="181" t="s">
        <v>235</v>
      </c>
      <c r="L27" s="97" t="s">
        <v>236</v>
      </c>
      <c r="M27" s="98" t="s">
        <v>235</v>
      </c>
      <c r="N27" s="103"/>
      <c r="O27" s="84"/>
    </row>
    <row r="28" spans="2:15" x14ac:dyDescent="0.2">
      <c r="B28" s="6" t="s">
        <v>54</v>
      </c>
      <c r="C28" s="179">
        <v>1</v>
      </c>
      <c r="D28" s="231" t="s">
        <v>326</v>
      </c>
      <c r="E28" s="231" t="s">
        <v>568</v>
      </c>
      <c r="F28" s="426" t="s">
        <v>569</v>
      </c>
      <c r="G28" s="308">
        <v>17</v>
      </c>
      <c r="H28" s="308">
        <v>11</v>
      </c>
      <c r="I28" s="308">
        <v>26</v>
      </c>
      <c r="J28" s="309">
        <v>18.489999999999998</v>
      </c>
      <c r="K28" s="97" t="s">
        <v>236</v>
      </c>
      <c r="L28" s="97" t="s">
        <v>236</v>
      </c>
      <c r="M28" s="98" t="s">
        <v>235</v>
      </c>
      <c r="N28" s="103"/>
      <c r="O28" s="84"/>
    </row>
    <row r="29" spans="2:15" x14ac:dyDescent="0.2">
      <c r="B29" s="2" t="s">
        <v>59</v>
      </c>
      <c r="C29" s="179">
        <v>1</v>
      </c>
      <c r="D29" s="231" t="s">
        <v>317</v>
      </c>
      <c r="E29" s="231" t="s">
        <v>524</v>
      </c>
      <c r="F29" s="426"/>
      <c r="G29" s="307">
        <v>19</v>
      </c>
      <c r="H29" s="307">
        <v>7.5</v>
      </c>
      <c r="I29" s="307">
        <v>13</v>
      </c>
      <c r="J29" s="312">
        <v>5.94</v>
      </c>
      <c r="K29" s="181" t="s">
        <v>235</v>
      </c>
      <c r="L29" s="97" t="s">
        <v>236</v>
      </c>
      <c r="M29" s="98" t="s">
        <v>235</v>
      </c>
      <c r="N29" s="103"/>
      <c r="O29" s="84"/>
    </row>
    <row r="30" spans="2:15" x14ac:dyDescent="0.2">
      <c r="B30" s="2" t="s">
        <v>65</v>
      </c>
      <c r="C30" s="179">
        <v>1</v>
      </c>
      <c r="D30" s="231" t="s">
        <v>327</v>
      </c>
      <c r="E30" s="231" t="s">
        <v>551</v>
      </c>
      <c r="F30" s="426" t="s">
        <v>552</v>
      </c>
      <c r="G30" s="429">
        <v>18.600000000000001</v>
      </c>
      <c r="H30" s="429">
        <v>14.9</v>
      </c>
      <c r="I30" s="429">
        <v>5.0999999999999996</v>
      </c>
      <c r="J30" s="310">
        <v>6.29</v>
      </c>
      <c r="K30" s="181" t="s">
        <v>235</v>
      </c>
      <c r="L30" s="98" t="s">
        <v>235</v>
      </c>
      <c r="M30" s="98" t="s">
        <v>235</v>
      </c>
      <c r="N30" s="103"/>
      <c r="O30" s="313" t="s">
        <v>357</v>
      </c>
    </row>
    <row r="31" spans="2:15" x14ac:dyDescent="0.2">
      <c r="B31" s="6" t="s">
        <v>42</v>
      </c>
      <c r="C31" s="179">
        <v>1</v>
      </c>
      <c r="D31" s="231" t="s">
        <v>327</v>
      </c>
      <c r="E31" s="231" t="s">
        <v>551</v>
      </c>
      <c r="F31" s="426" t="s">
        <v>570</v>
      </c>
      <c r="G31" s="308">
        <v>17.399999999999999</v>
      </c>
      <c r="H31" s="308">
        <v>7.6</v>
      </c>
      <c r="I31" s="308">
        <v>15.1</v>
      </c>
      <c r="J31" s="309">
        <v>7.69</v>
      </c>
      <c r="K31" s="97" t="s">
        <v>236</v>
      </c>
      <c r="L31" s="98" t="s">
        <v>235</v>
      </c>
      <c r="M31" s="98" t="s">
        <v>235</v>
      </c>
      <c r="N31" s="102"/>
      <c r="O31" s="84"/>
    </row>
    <row r="32" spans="2:15" x14ac:dyDescent="0.2">
      <c r="B32" s="6" t="s">
        <v>55</v>
      </c>
      <c r="C32" s="179">
        <v>1</v>
      </c>
      <c r="D32" s="231" t="s">
        <v>318</v>
      </c>
      <c r="E32" s="231" t="s">
        <v>520</v>
      </c>
      <c r="F32" s="426" t="s">
        <v>575</v>
      </c>
      <c r="G32" s="308">
        <v>17.399999999999999</v>
      </c>
      <c r="H32" s="308">
        <v>11.3</v>
      </c>
      <c r="I32" s="308">
        <v>27.2</v>
      </c>
      <c r="J32" s="309">
        <v>19.64</v>
      </c>
      <c r="K32" s="97" t="s">
        <v>236</v>
      </c>
      <c r="L32" s="97" t="s">
        <v>236</v>
      </c>
      <c r="M32" s="98" t="s">
        <v>235</v>
      </c>
      <c r="N32" s="103"/>
      <c r="O32" s="84"/>
    </row>
    <row r="33" spans="2:15" x14ac:dyDescent="0.2">
      <c r="B33" s="2" t="s">
        <v>43</v>
      </c>
      <c r="C33" s="179">
        <f>3/4</f>
        <v>0.75</v>
      </c>
      <c r="D33" s="229" t="s">
        <v>316</v>
      </c>
      <c r="E33" s="229" t="s">
        <v>530</v>
      </c>
      <c r="F33" s="426" t="s">
        <v>565</v>
      </c>
      <c r="G33" s="308">
        <v>17.899999999999999</v>
      </c>
      <c r="H33" s="308">
        <v>25.5</v>
      </c>
      <c r="I33" s="308">
        <v>17.399999999999999</v>
      </c>
      <c r="J33" s="309">
        <v>18.88</v>
      </c>
      <c r="K33" s="97" t="s">
        <v>236</v>
      </c>
      <c r="L33" s="100" t="s">
        <v>237</v>
      </c>
      <c r="M33" s="98" t="s">
        <v>235</v>
      </c>
      <c r="N33" s="183"/>
      <c r="O33" s="84"/>
    </row>
    <row r="34" spans="2:15" x14ac:dyDescent="0.2">
      <c r="B34" s="2" t="s">
        <v>26</v>
      </c>
      <c r="C34" s="179">
        <v>1</v>
      </c>
      <c r="D34" s="231" t="s">
        <v>320</v>
      </c>
      <c r="E34" s="231" t="s">
        <v>571</v>
      </c>
      <c r="F34" s="426"/>
      <c r="G34" s="308">
        <v>15.8</v>
      </c>
      <c r="H34" s="308">
        <v>5.2</v>
      </c>
      <c r="I34" s="308">
        <v>13.3</v>
      </c>
      <c r="J34" s="309">
        <v>8.2200000000000006</v>
      </c>
      <c r="K34" s="97" t="s">
        <v>236</v>
      </c>
      <c r="L34" s="97" t="s">
        <v>236</v>
      </c>
      <c r="M34" s="98" t="s">
        <v>235</v>
      </c>
      <c r="N34" s="183"/>
      <c r="O34" s="84"/>
    </row>
    <row r="35" spans="2:15" x14ac:dyDescent="0.2">
      <c r="B35" s="3" t="s">
        <v>27</v>
      </c>
      <c r="C35" s="179">
        <v>1</v>
      </c>
      <c r="D35" s="231" t="s">
        <v>320</v>
      </c>
      <c r="E35" s="231" t="s">
        <v>544</v>
      </c>
      <c r="F35" s="426" t="s">
        <v>553</v>
      </c>
      <c r="G35" s="308">
        <v>15.1</v>
      </c>
      <c r="H35" s="308">
        <v>5.7</v>
      </c>
      <c r="I35" s="308">
        <v>15.9</v>
      </c>
      <c r="J35" s="309">
        <v>10.67</v>
      </c>
      <c r="K35" s="97" t="s">
        <v>236</v>
      </c>
      <c r="L35" s="97" t="s">
        <v>236</v>
      </c>
      <c r="M35" s="98" t="s">
        <v>235</v>
      </c>
      <c r="N35" s="103"/>
      <c r="O35" s="84"/>
    </row>
    <row r="36" spans="2:15" x14ac:dyDescent="0.2">
      <c r="B36" s="3" t="s">
        <v>60</v>
      </c>
      <c r="C36" s="179">
        <v>1</v>
      </c>
      <c r="D36" s="231" t="s">
        <v>317</v>
      </c>
      <c r="E36" s="231" t="s">
        <v>524</v>
      </c>
      <c r="F36" s="426"/>
      <c r="G36" s="431">
        <v>18.899999999999999</v>
      </c>
      <c r="H36" s="431">
        <v>5.7</v>
      </c>
      <c r="I36" s="431">
        <v>9.9</v>
      </c>
      <c r="J36" s="311">
        <v>4.59</v>
      </c>
      <c r="K36" s="98" t="s">
        <v>235</v>
      </c>
      <c r="L36" s="97" t="s">
        <v>236</v>
      </c>
      <c r="M36" s="98" t="s">
        <v>235</v>
      </c>
      <c r="N36" s="103"/>
      <c r="O36" s="84"/>
    </row>
    <row r="37" spans="2:15" x14ac:dyDescent="0.2">
      <c r="B37" s="84" t="s">
        <v>332</v>
      </c>
      <c r="C37" s="179">
        <v>1</v>
      </c>
      <c r="D37" s="231" t="s">
        <v>320</v>
      </c>
      <c r="E37" s="231" t="s">
        <v>538</v>
      </c>
      <c r="F37" s="426" t="s">
        <v>539</v>
      </c>
      <c r="G37" s="308">
        <v>17.3</v>
      </c>
      <c r="H37" s="308">
        <v>10.1</v>
      </c>
      <c r="I37" s="308">
        <v>23.3</v>
      </c>
      <c r="J37" s="309">
        <v>15.68</v>
      </c>
      <c r="K37" s="97" t="s">
        <v>236</v>
      </c>
      <c r="L37" s="100" t="s">
        <v>237</v>
      </c>
      <c r="M37" s="100" t="s">
        <v>237</v>
      </c>
      <c r="N37" s="103"/>
      <c r="O37" s="84"/>
    </row>
    <row r="38" spans="2:15" x14ac:dyDescent="0.2">
      <c r="B38" s="5" t="s">
        <v>5</v>
      </c>
      <c r="C38" s="179">
        <v>1</v>
      </c>
      <c r="D38" s="231" t="s">
        <v>318</v>
      </c>
      <c r="E38" s="231" t="s">
        <v>520</v>
      </c>
      <c r="F38" s="426"/>
      <c r="G38" s="429">
        <v>16.2</v>
      </c>
      <c r="H38" s="429">
        <v>4.0999999999999996</v>
      </c>
      <c r="I38" s="429">
        <v>7.4</v>
      </c>
      <c r="J38" s="310">
        <v>6.33</v>
      </c>
      <c r="K38" s="181" t="s">
        <v>235</v>
      </c>
      <c r="L38" s="97" t="s">
        <v>236</v>
      </c>
      <c r="M38" s="98" t="s">
        <v>235</v>
      </c>
      <c r="N38" s="103"/>
      <c r="O38" s="84"/>
    </row>
    <row r="39" spans="2:15" x14ac:dyDescent="0.2">
      <c r="B39" s="5" t="s">
        <v>577</v>
      </c>
      <c r="C39" s="179">
        <v>1</v>
      </c>
      <c r="D39" s="231" t="s">
        <v>327</v>
      </c>
      <c r="E39" s="231" t="s">
        <v>578</v>
      </c>
      <c r="F39" s="426" t="s">
        <v>579</v>
      </c>
      <c r="G39" s="429">
        <v>17.100000000000001</v>
      </c>
      <c r="H39" s="429">
        <v>10.4</v>
      </c>
      <c r="I39" s="429">
        <v>13.5</v>
      </c>
      <c r="J39" s="310">
        <v>6.17</v>
      </c>
      <c r="K39" s="181" t="s">
        <v>235</v>
      </c>
      <c r="L39" s="98" t="s">
        <v>235</v>
      </c>
      <c r="M39" s="100" t="s">
        <v>581</v>
      </c>
      <c r="N39" s="103"/>
      <c r="O39" s="352" t="s">
        <v>583</v>
      </c>
    </row>
    <row r="40" spans="2:15" x14ac:dyDescent="0.2">
      <c r="B40" s="6" t="s">
        <v>28</v>
      </c>
      <c r="C40" s="179">
        <v>1</v>
      </c>
      <c r="D40" s="231" t="s">
        <v>324</v>
      </c>
      <c r="E40" s="231" t="s">
        <v>551</v>
      </c>
      <c r="F40" s="426" t="s">
        <v>572</v>
      </c>
      <c r="G40" s="308">
        <v>14.7</v>
      </c>
      <c r="H40" s="308">
        <v>12.3</v>
      </c>
      <c r="I40" s="308">
        <v>22.3</v>
      </c>
      <c r="J40" s="309">
        <v>16.3</v>
      </c>
      <c r="K40" s="97" t="s">
        <v>236</v>
      </c>
      <c r="L40" s="97" t="s">
        <v>236</v>
      </c>
      <c r="M40" s="97" t="s">
        <v>236</v>
      </c>
      <c r="N40" s="103"/>
      <c r="O40" s="84"/>
    </row>
    <row r="41" spans="2:15" x14ac:dyDescent="0.2">
      <c r="B41" s="4" t="s">
        <v>44</v>
      </c>
      <c r="C41" s="179">
        <v>0.75</v>
      </c>
      <c r="D41" s="231" t="s">
        <v>322</v>
      </c>
      <c r="E41" s="231" t="s">
        <v>520</v>
      </c>
      <c r="F41" s="426"/>
      <c r="G41" s="308">
        <v>16.899999999999999</v>
      </c>
      <c r="H41" s="308">
        <v>8.3000000000000007</v>
      </c>
      <c r="I41" s="308">
        <v>16.100000000000001</v>
      </c>
      <c r="J41" s="309">
        <v>8.74</v>
      </c>
      <c r="K41" s="97" t="s">
        <v>236</v>
      </c>
      <c r="L41" s="98" t="s">
        <v>235</v>
      </c>
      <c r="M41" s="98" t="s">
        <v>235</v>
      </c>
      <c r="N41" s="102"/>
      <c r="O41" s="84"/>
    </row>
    <row r="42" spans="2:15" x14ac:dyDescent="0.2">
      <c r="B42" s="2" t="s">
        <v>124</v>
      </c>
      <c r="C42" s="179">
        <f>18/19</f>
        <v>0.94736842105263153</v>
      </c>
      <c r="D42" s="231" t="s">
        <v>319</v>
      </c>
      <c r="E42" s="231" t="s">
        <v>520</v>
      </c>
      <c r="F42" s="426"/>
      <c r="G42" s="308">
        <v>16.2</v>
      </c>
      <c r="H42" s="308">
        <v>3.8</v>
      </c>
      <c r="I42" s="308">
        <v>4.5</v>
      </c>
      <c r="J42" s="309">
        <v>7.31</v>
      </c>
      <c r="K42" s="97" t="s">
        <v>236</v>
      </c>
      <c r="L42" s="97" t="s">
        <v>236</v>
      </c>
      <c r="M42" s="98" t="s">
        <v>235</v>
      </c>
      <c r="N42" s="103"/>
      <c r="O42" s="84"/>
    </row>
    <row r="43" spans="2:15" x14ac:dyDescent="0.2">
      <c r="B43" s="2" t="s">
        <v>7</v>
      </c>
      <c r="C43" s="179">
        <v>1</v>
      </c>
      <c r="D43" s="231" t="s">
        <v>318</v>
      </c>
      <c r="E43" s="231" t="s">
        <v>520</v>
      </c>
      <c r="F43" s="426"/>
      <c r="G43" s="308">
        <v>16</v>
      </c>
      <c r="H43" s="308">
        <v>2.8</v>
      </c>
      <c r="I43" s="308">
        <v>6.2</v>
      </c>
      <c r="J43" s="309">
        <v>7.78</v>
      </c>
      <c r="K43" s="97" t="s">
        <v>236</v>
      </c>
      <c r="L43" s="98" t="s">
        <v>235</v>
      </c>
      <c r="M43" s="98" t="s">
        <v>235</v>
      </c>
      <c r="N43" s="102"/>
      <c r="O43" s="84"/>
    </row>
    <row r="44" spans="2:15" x14ac:dyDescent="0.2">
      <c r="B44" s="6" t="s">
        <v>173</v>
      </c>
      <c r="C44" s="179">
        <v>1</v>
      </c>
      <c r="D44" s="231" t="s">
        <v>529</v>
      </c>
      <c r="E44" s="231" t="s">
        <v>524</v>
      </c>
      <c r="F44" s="428" t="s">
        <v>576</v>
      </c>
      <c r="G44" s="308">
        <v>17.3</v>
      </c>
      <c r="H44" s="308">
        <v>2.4</v>
      </c>
      <c r="I44" s="308">
        <v>2.4</v>
      </c>
      <c r="J44" s="309">
        <v>8.81</v>
      </c>
      <c r="K44" s="97" t="s">
        <v>236</v>
      </c>
      <c r="L44" s="97" t="s">
        <v>236</v>
      </c>
      <c r="M44" s="100" t="s">
        <v>237</v>
      </c>
      <c r="N44" s="103"/>
      <c r="O44" s="84"/>
    </row>
    <row r="45" spans="2:15" x14ac:dyDescent="0.2">
      <c r="B45" s="2" t="s">
        <v>46</v>
      </c>
      <c r="C45" s="179">
        <v>0.5</v>
      </c>
      <c r="D45" s="229" t="s">
        <v>316</v>
      </c>
      <c r="E45" s="229" t="s">
        <v>531</v>
      </c>
      <c r="F45" s="426" t="s">
        <v>532</v>
      </c>
      <c r="G45" s="310">
        <v>16.600000000000001</v>
      </c>
      <c r="H45" s="310">
        <v>7.9</v>
      </c>
      <c r="I45" s="310">
        <v>12</v>
      </c>
      <c r="J45" s="310">
        <v>5.3188344587888787</v>
      </c>
      <c r="K45" s="181" t="s">
        <v>235</v>
      </c>
      <c r="L45" s="97" t="s">
        <v>236</v>
      </c>
      <c r="M45" s="98" t="s">
        <v>235</v>
      </c>
      <c r="N45" s="103"/>
      <c r="O45" s="84"/>
    </row>
    <row r="46" spans="2:15" x14ac:dyDescent="0.2">
      <c r="B46" s="6" t="s">
        <v>141</v>
      </c>
      <c r="C46" s="179">
        <f>2/6</f>
        <v>0.33333333333333331</v>
      </c>
      <c r="D46" s="231" t="s">
        <v>321</v>
      </c>
      <c r="E46" s="231" t="s">
        <v>521</v>
      </c>
      <c r="F46" s="426" t="s">
        <v>533</v>
      </c>
      <c r="G46" s="308">
        <v>14.4</v>
      </c>
      <c r="H46" s="308">
        <v>3.5</v>
      </c>
      <c r="I46" s="308">
        <v>2.7</v>
      </c>
      <c r="J46" s="309">
        <v>10.51</v>
      </c>
      <c r="K46" s="97" t="s">
        <v>236</v>
      </c>
      <c r="L46" s="97" t="s">
        <v>236</v>
      </c>
      <c r="M46" s="100" t="s">
        <v>237</v>
      </c>
      <c r="N46" s="103"/>
      <c r="O46" s="84"/>
    </row>
    <row r="47" spans="2:15" x14ac:dyDescent="0.2">
      <c r="B47" s="6" t="s">
        <v>143</v>
      </c>
      <c r="C47" s="179">
        <v>1</v>
      </c>
      <c r="D47" s="231" t="s">
        <v>327</v>
      </c>
      <c r="E47" s="231" t="s">
        <v>519</v>
      </c>
      <c r="F47" s="426" t="s">
        <v>510</v>
      </c>
      <c r="G47" s="431">
        <v>16.8</v>
      </c>
      <c r="H47" s="431">
        <v>5.7</v>
      </c>
      <c r="I47" s="431">
        <v>8</v>
      </c>
      <c r="J47" s="311">
        <v>4.34</v>
      </c>
      <c r="K47" s="98" t="s">
        <v>235</v>
      </c>
      <c r="L47" s="97" t="s">
        <v>236</v>
      </c>
      <c r="M47" s="97" t="s">
        <v>236</v>
      </c>
      <c r="N47" s="103"/>
      <c r="O47" s="84"/>
    </row>
    <row r="48" spans="2:15" x14ac:dyDescent="0.2">
      <c r="B48" s="2" t="s">
        <v>47</v>
      </c>
      <c r="C48" s="179">
        <v>1</v>
      </c>
      <c r="D48" s="231" t="s">
        <v>327</v>
      </c>
      <c r="E48" s="231" t="s">
        <v>519</v>
      </c>
      <c r="F48" s="426" t="s">
        <v>508</v>
      </c>
      <c r="G48" s="307">
        <v>17.8</v>
      </c>
      <c r="H48" s="307">
        <v>8.1999999999999993</v>
      </c>
      <c r="I48" s="307">
        <v>12.9</v>
      </c>
      <c r="J48" s="312">
        <v>5.33</v>
      </c>
      <c r="K48" s="181" t="s">
        <v>235</v>
      </c>
      <c r="L48" s="98" t="s">
        <v>235</v>
      </c>
      <c r="M48" s="98" t="s">
        <v>235</v>
      </c>
      <c r="N48" s="103"/>
      <c r="O48" s="313" t="s">
        <v>352</v>
      </c>
    </row>
    <row r="49" spans="2:15" x14ac:dyDescent="0.2">
      <c r="B49" s="49" t="s">
        <v>330</v>
      </c>
      <c r="C49" s="179" t="s">
        <v>563</v>
      </c>
      <c r="D49" s="229" t="s">
        <v>316</v>
      </c>
      <c r="E49" s="229" t="s">
        <v>465</v>
      </c>
      <c r="F49" s="426" t="s">
        <v>509</v>
      </c>
      <c r="G49" s="307">
        <v>16.5</v>
      </c>
      <c r="H49" s="307">
        <v>4.5</v>
      </c>
      <c r="I49" s="307">
        <v>9.1</v>
      </c>
      <c r="J49" s="312">
        <v>5.83</v>
      </c>
      <c r="K49" s="181" t="s">
        <v>235</v>
      </c>
      <c r="L49" s="98" t="s">
        <v>235</v>
      </c>
      <c r="M49" s="98" t="s">
        <v>235</v>
      </c>
      <c r="N49" s="102"/>
      <c r="O49" s="423" t="s">
        <v>351</v>
      </c>
    </row>
    <row r="50" spans="2:15" x14ac:dyDescent="0.2">
      <c r="B50" s="6" t="s">
        <v>48</v>
      </c>
      <c r="C50" s="179">
        <v>1</v>
      </c>
      <c r="D50" s="231" t="s">
        <v>323</v>
      </c>
      <c r="E50" s="231" t="s">
        <v>522</v>
      </c>
      <c r="F50" s="427"/>
      <c r="G50" s="308">
        <v>16.5</v>
      </c>
      <c r="H50" s="308">
        <v>4.9000000000000004</v>
      </c>
      <c r="I50" s="308">
        <v>12</v>
      </c>
      <c r="J50" s="309">
        <v>6.84</v>
      </c>
      <c r="K50" s="97" t="s">
        <v>236</v>
      </c>
      <c r="L50" s="100" t="s">
        <v>237</v>
      </c>
      <c r="M50" s="98" t="s">
        <v>235</v>
      </c>
      <c r="N50" s="183"/>
      <c r="O50" s="84"/>
    </row>
    <row r="51" spans="2:15" x14ac:dyDescent="0.2">
      <c r="B51" s="6" t="s">
        <v>176</v>
      </c>
      <c r="C51" s="179">
        <v>1</v>
      </c>
      <c r="D51" s="231" t="s">
        <v>317</v>
      </c>
      <c r="E51" s="231" t="s">
        <v>524</v>
      </c>
      <c r="F51" s="426"/>
      <c r="G51" s="308">
        <v>16.399999999999999</v>
      </c>
      <c r="H51" s="308">
        <v>1.1000000000000001</v>
      </c>
      <c r="I51" s="308">
        <v>2.2000000000000002</v>
      </c>
      <c r="J51" s="309">
        <v>10.38</v>
      </c>
      <c r="K51" s="97" t="s">
        <v>236</v>
      </c>
      <c r="L51" s="97" t="s">
        <v>236</v>
      </c>
      <c r="M51" s="98" t="s">
        <v>235</v>
      </c>
      <c r="N51" s="103"/>
      <c r="O51" s="84"/>
    </row>
    <row r="52" spans="2:15" x14ac:dyDescent="0.2">
      <c r="B52" s="2" t="s">
        <v>29</v>
      </c>
      <c r="C52" s="179">
        <v>1</v>
      </c>
      <c r="D52" s="231" t="s">
        <v>317</v>
      </c>
      <c r="E52" s="231" t="s">
        <v>524</v>
      </c>
      <c r="F52" s="426"/>
      <c r="G52" s="307">
        <v>17.100000000000001</v>
      </c>
      <c r="H52" s="307">
        <v>3.6</v>
      </c>
      <c r="I52" s="307">
        <v>7.6</v>
      </c>
      <c r="J52" s="312">
        <v>5.98</v>
      </c>
      <c r="K52" s="181" t="s">
        <v>235</v>
      </c>
      <c r="L52" s="97" t="s">
        <v>236</v>
      </c>
      <c r="M52" s="98" t="s">
        <v>235</v>
      </c>
      <c r="N52" s="103"/>
      <c r="O52" s="84"/>
    </row>
    <row r="53" spans="2:15" x14ac:dyDescent="0.2">
      <c r="B53" s="2" t="s">
        <v>177</v>
      </c>
      <c r="C53" s="179">
        <v>2</v>
      </c>
      <c r="D53" s="231" t="s">
        <v>317</v>
      </c>
      <c r="E53" s="231" t="s">
        <v>524</v>
      </c>
      <c r="F53" s="426"/>
      <c r="G53" s="308">
        <v>16.3</v>
      </c>
      <c r="H53" s="308">
        <v>1.1000000000000001</v>
      </c>
      <c r="I53" s="308">
        <v>1.9</v>
      </c>
      <c r="J53" s="309">
        <v>10.6</v>
      </c>
      <c r="K53" s="97" t="s">
        <v>236</v>
      </c>
      <c r="L53" s="97" t="s">
        <v>236</v>
      </c>
      <c r="M53" s="98" t="s">
        <v>235</v>
      </c>
      <c r="N53" s="103"/>
      <c r="O53" s="84"/>
    </row>
    <row r="54" spans="2:15" x14ac:dyDescent="0.2">
      <c r="B54" s="353" t="s">
        <v>328</v>
      </c>
      <c r="C54" s="179">
        <v>1</v>
      </c>
      <c r="D54" s="231" t="s">
        <v>327</v>
      </c>
      <c r="E54" s="231" t="s">
        <v>537</v>
      </c>
      <c r="F54" s="426" t="s">
        <v>536</v>
      </c>
      <c r="G54" s="432">
        <v>16.899999999999999</v>
      </c>
      <c r="H54" s="432">
        <v>11.5</v>
      </c>
      <c r="I54" s="432">
        <v>6.3</v>
      </c>
      <c r="J54" s="335">
        <v>3.41</v>
      </c>
      <c r="K54" s="98" t="s">
        <v>235</v>
      </c>
      <c r="L54" s="100" t="s">
        <v>329</v>
      </c>
      <c r="M54" s="98" t="s">
        <v>235</v>
      </c>
      <c r="N54" s="183"/>
      <c r="O54" s="352" t="s">
        <v>582</v>
      </c>
    </row>
    <row r="55" spans="2:15" x14ac:dyDescent="0.2">
      <c r="E55" s="41"/>
      <c r="F55" s="41"/>
      <c r="G55" s="41"/>
      <c r="N55" s="41"/>
    </row>
    <row r="56" spans="2:15" ht="12.75" customHeight="1" x14ac:dyDescent="0.2">
      <c r="B56" s="190" t="s">
        <v>349</v>
      </c>
      <c r="C56" s="342">
        <f>COUNTA(B4:B54)</f>
        <v>51</v>
      </c>
      <c r="D56" s="349"/>
      <c r="E56" s="418"/>
      <c r="F56" s="418"/>
      <c r="G56" s="418"/>
      <c r="H56" s="349"/>
      <c r="I56" s="349"/>
      <c r="J56" s="349"/>
      <c r="K56" s="350">
        <f>COUNTA(K4:K54)-COUNTIF(K4:K54,"FAIL")</f>
        <v>18</v>
      </c>
      <c r="L56" s="351">
        <f>COUNTIF(L4:L54,"PASS")</f>
        <v>11</v>
      </c>
      <c r="M56" s="348">
        <f>COUNTIF(M4:M54,"PASS")</f>
        <v>38</v>
      </c>
      <c r="N56" s="41"/>
    </row>
    <row r="57" spans="2:15" x14ac:dyDescent="0.2">
      <c r="E57" s="41"/>
      <c r="F57" s="41"/>
      <c r="G57" s="41"/>
      <c r="N57" s="41"/>
    </row>
    <row r="58" spans="2:15" x14ac:dyDescent="0.2">
      <c r="E58" s="41"/>
      <c r="F58" s="41"/>
      <c r="G58" s="41"/>
      <c r="N58" s="41"/>
    </row>
    <row r="59" spans="2:15" x14ac:dyDescent="0.2">
      <c r="E59" s="41"/>
      <c r="F59" s="41"/>
      <c r="G59" s="41"/>
      <c r="N59" s="41"/>
    </row>
    <row r="60" spans="2:15" x14ac:dyDescent="0.2">
      <c r="E60" s="41"/>
      <c r="F60" s="41"/>
      <c r="G60" s="41"/>
      <c r="N60" s="41"/>
    </row>
    <row r="61" spans="2:15" x14ac:dyDescent="0.2">
      <c r="N61" s="41"/>
    </row>
    <row r="62" spans="2:15" x14ac:dyDescent="0.2">
      <c r="F62" s="41"/>
      <c r="G62" s="41"/>
      <c r="N62" s="41"/>
    </row>
    <row r="64" spans="2:15" x14ac:dyDescent="0.2">
      <c r="D64" s="184"/>
      <c r="E64" s="114"/>
      <c r="F64" s="41"/>
      <c r="G64" s="41"/>
    </row>
    <row r="65" spans="4:7" x14ac:dyDescent="0.2">
      <c r="D65" s="185"/>
      <c r="E65" s="89"/>
    </row>
    <row r="66" spans="4:7" x14ac:dyDescent="0.2">
      <c r="D66" s="185"/>
      <c r="E66" s="89"/>
      <c r="F66" s="41"/>
      <c r="G66" s="41"/>
    </row>
    <row r="67" spans="4:7" x14ac:dyDescent="0.2">
      <c r="D67" s="185"/>
      <c r="E67" s="89"/>
    </row>
    <row r="68" spans="4:7" x14ac:dyDescent="0.2">
      <c r="D68" s="185"/>
      <c r="E68" s="89"/>
      <c r="F68" s="41"/>
      <c r="G68" s="41"/>
    </row>
    <row r="69" spans="4:7" x14ac:dyDescent="0.2">
      <c r="D69" s="185"/>
      <c r="E69" s="89"/>
    </row>
    <row r="70" spans="4:7" x14ac:dyDescent="0.2">
      <c r="D70" s="185"/>
      <c r="E70" s="89"/>
      <c r="F70" s="41"/>
      <c r="G70" s="41"/>
    </row>
    <row r="71" spans="4:7" x14ac:dyDescent="0.2">
      <c r="D71" s="185"/>
      <c r="E71" s="89"/>
    </row>
    <row r="72" spans="4:7" x14ac:dyDescent="0.2">
      <c r="D72" s="185"/>
      <c r="E72" s="89"/>
      <c r="F72" s="41"/>
      <c r="G72" s="41"/>
    </row>
    <row r="73" spans="4:7" ht="15.75" x14ac:dyDescent="0.25">
      <c r="D73" s="186" t="s">
        <v>312</v>
      </c>
      <c r="E73" s="419"/>
    </row>
    <row r="74" spans="4:7" x14ac:dyDescent="0.2">
      <c r="F74" s="41"/>
      <c r="G74" s="41"/>
    </row>
    <row r="76" spans="4:7" x14ac:dyDescent="0.2">
      <c r="F76" s="41"/>
      <c r="G76" s="41"/>
    </row>
    <row r="78" spans="4:7" x14ac:dyDescent="0.2">
      <c r="F78" s="41"/>
      <c r="G78" s="41"/>
    </row>
  </sheetData>
  <sortState ref="B4:Q45">
    <sortCondition ref="B4:B45"/>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zoomScale="80" zoomScaleNormal="80" workbookViewId="0"/>
  </sheetViews>
  <sheetFormatPr defaultColWidth="9.140625" defaultRowHeight="12.75" x14ac:dyDescent="0.25"/>
  <cols>
    <col min="1" max="1" width="1.42578125" style="251" customWidth="1"/>
    <col min="2" max="2" width="3.42578125" style="251" customWidth="1"/>
    <col min="3" max="3" width="12.7109375" style="251" customWidth="1"/>
    <col min="4" max="4" width="71.28515625" style="251" customWidth="1"/>
    <col min="5" max="13" width="14.28515625" style="251" customWidth="1"/>
    <col min="14" max="14" width="18.5703125" style="251" customWidth="1"/>
    <col min="15" max="15" width="9.140625" style="251" customWidth="1"/>
    <col min="16" max="18" width="6.85546875" style="251" customWidth="1"/>
    <col min="19" max="19" width="12.7109375" style="251" customWidth="1"/>
    <col min="20" max="20" width="38.7109375" style="251" customWidth="1"/>
    <col min="21" max="21" width="18.5703125" style="251" customWidth="1"/>
    <col min="22" max="22" width="9.140625" style="251" customWidth="1"/>
    <col min="23" max="25" width="6.85546875" style="251" customWidth="1"/>
    <col min="26" max="26" width="12.7109375" style="251" customWidth="1"/>
    <col min="27" max="27" width="38.7109375" style="251" customWidth="1"/>
    <col min="28" max="31" width="12.7109375" style="251" customWidth="1"/>
    <col min="32" max="16384" width="9.140625" style="251"/>
  </cols>
  <sheetData>
    <row r="1" spans="1:27" ht="15" customHeight="1" x14ac:dyDescent="0.25"/>
    <row r="2" spans="1:27" ht="15" customHeight="1" x14ac:dyDescent="0.25"/>
    <row r="3" spans="1:27" ht="30" customHeight="1" x14ac:dyDescent="0.25">
      <c r="B3" s="317" t="s">
        <v>554</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row>
    <row r="4" spans="1:27" ht="15" customHeight="1" x14ac:dyDescent="0.25">
      <c r="B4" s="504" t="s">
        <v>376</v>
      </c>
      <c r="C4" s="504"/>
      <c r="D4" s="504"/>
      <c r="E4" s="504" t="s">
        <v>388</v>
      </c>
      <c r="F4" s="504"/>
      <c r="G4" s="504"/>
      <c r="H4" s="504"/>
      <c r="I4" s="504"/>
      <c r="J4" s="504"/>
      <c r="K4" s="504"/>
      <c r="L4" s="504"/>
      <c r="M4" s="508"/>
      <c r="N4" s="252" t="s">
        <v>425</v>
      </c>
      <c r="O4" s="252" t="s">
        <v>416</v>
      </c>
      <c r="P4" s="504" t="s">
        <v>417</v>
      </c>
      <c r="Q4" s="504"/>
      <c r="R4" s="504"/>
      <c r="S4" s="252" t="s">
        <v>418</v>
      </c>
      <c r="T4" s="252" t="s">
        <v>381</v>
      </c>
      <c r="U4" s="253" t="s">
        <v>426</v>
      </c>
      <c r="V4" s="252" t="s">
        <v>416</v>
      </c>
      <c r="W4" s="504" t="s">
        <v>417</v>
      </c>
      <c r="X4" s="504"/>
      <c r="Y4" s="504"/>
      <c r="Z4" s="252" t="s">
        <v>418</v>
      </c>
      <c r="AA4" s="252" t="s">
        <v>381</v>
      </c>
    </row>
    <row r="5" spans="1:27" ht="30" customHeight="1" x14ac:dyDescent="0.25">
      <c r="B5" s="510" t="s">
        <v>380</v>
      </c>
      <c r="C5" s="510"/>
      <c r="D5" s="301" t="s">
        <v>427</v>
      </c>
      <c r="E5" s="302" t="s">
        <v>383</v>
      </c>
      <c r="F5" s="302" t="s">
        <v>382</v>
      </c>
      <c r="G5" s="302" t="s">
        <v>384</v>
      </c>
      <c r="H5" s="302" t="s">
        <v>385</v>
      </c>
      <c r="I5" s="302" t="s">
        <v>345</v>
      </c>
      <c r="J5" s="302" t="s">
        <v>243</v>
      </c>
      <c r="K5" s="302" t="s">
        <v>334</v>
      </c>
      <c r="L5" s="302" t="s">
        <v>386</v>
      </c>
      <c r="M5" s="303" t="s">
        <v>387</v>
      </c>
      <c r="N5" s="254"/>
      <c r="O5" s="254"/>
      <c r="P5" s="254"/>
      <c r="Q5" s="254"/>
      <c r="R5" s="254"/>
      <c r="S5" s="254"/>
      <c r="T5" s="254"/>
      <c r="U5" s="255"/>
      <c r="V5" s="254"/>
      <c r="W5" s="254"/>
      <c r="X5" s="254"/>
      <c r="Y5" s="254"/>
      <c r="Z5" s="254"/>
      <c r="AA5" s="254"/>
    </row>
    <row r="6" spans="1:27" x14ac:dyDescent="0.25">
      <c r="B6" s="256">
        <v>1</v>
      </c>
      <c r="C6" s="256" t="s">
        <v>379</v>
      </c>
      <c r="D6" s="269" t="s">
        <v>377</v>
      </c>
      <c r="E6" s="270"/>
      <c r="F6" s="270"/>
      <c r="G6" s="270"/>
      <c r="H6" s="511" t="s">
        <v>397</v>
      </c>
      <c r="I6" s="511"/>
      <c r="J6" s="505" t="s">
        <v>394</v>
      </c>
      <c r="K6" s="505"/>
      <c r="L6" s="270"/>
      <c r="M6" s="271"/>
      <c r="N6" s="270"/>
      <c r="O6" s="270"/>
      <c r="P6" s="270"/>
      <c r="Q6" s="270"/>
      <c r="R6" s="270"/>
      <c r="S6" s="270"/>
      <c r="T6" s="271"/>
      <c r="U6" s="270"/>
      <c r="V6" s="270"/>
      <c r="W6" s="270"/>
      <c r="X6" s="270"/>
      <c r="Y6" s="270"/>
      <c r="Z6" s="270"/>
      <c r="AA6" s="270"/>
    </row>
    <row r="7" spans="1:27" ht="15" customHeight="1" x14ac:dyDescent="0.25">
      <c r="A7" s="272"/>
      <c r="B7" s="514"/>
      <c r="C7" s="514"/>
      <c r="D7" s="506" t="s">
        <v>586</v>
      </c>
      <c r="E7" s="259"/>
      <c r="F7" s="259"/>
      <c r="G7" s="259"/>
      <c r="H7" s="259"/>
      <c r="I7" s="259"/>
      <c r="J7" s="259"/>
      <c r="K7" s="259"/>
      <c r="L7" s="259"/>
      <c r="M7" s="297"/>
      <c r="N7" s="273" t="s">
        <v>243</v>
      </c>
      <c r="O7" s="257" t="s">
        <v>419</v>
      </c>
      <c r="P7" s="258">
        <v>18</v>
      </c>
      <c r="Q7" s="258"/>
      <c r="R7" s="258"/>
      <c r="S7" s="259" t="s">
        <v>420</v>
      </c>
      <c r="T7" s="274" t="s">
        <v>409</v>
      </c>
      <c r="U7" s="275" t="s">
        <v>398</v>
      </c>
      <c r="V7" s="259" t="s">
        <v>404</v>
      </c>
      <c r="W7" s="259">
        <f>'Surface tension'!K9</f>
        <v>38.200000000000003</v>
      </c>
      <c r="X7" s="257" t="s">
        <v>399</v>
      </c>
      <c r="Y7" s="259">
        <f>'Surface tension'!N9</f>
        <v>6</v>
      </c>
      <c r="Z7" s="259" t="s">
        <v>400</v>
      </c>
      <c r="AA7" s="276" t="s">
        <v>408</v>
      </c>
    </row>
    <row r="8" spans="1:27" ht="15" customHeight="1" x14ac:dyDescent="0.25">
      <c r="A8" s="272"/>
      <c r="B8" s="514"/>
      <c r="C8" s="514"/>
      <c r="D8" s="506"/>
      <c r="E8" s="259"/>
      <c r="F8" s="257"/>
      <c r="G8" s="258"/>
      <c r="H8" s="259"/>
      <c r="I8" s="259"/>
      <c r="J8" s="259"/>
      <c r="K8" s="257"/>
      <c r="L8" s="259"/>
      <c r="M8" s="297"/>
      <c r="N8" s="259"/>
      <c r="O8" s="257" t="s">
        <v>421</v>
      </c>
      <c r="P8" s="258">
        <v>9.3000000000000007</v>
      </c>
      <c r="Q8" s="258"/>
      <c r="R8" s="258"/>
      <c r="S8" s="259" t="s">
        <v>420</v>
      </c>
      <c r="T8" s="274" t="s">
        <v>410</v>
      </c>
      <c r="U8" s="277"/>
      <c r="V8" s="259"/>
      <c r="W8" s="259"/>
      <c r="X8" s="259"/>
      <c r="Y8" s="259"/>
      <c r="Z8" s="259"/>
      <c r="AA8" s="260"/>
    </row>
    <row r="9" spans="1:27" ht="15" customHeight="1" x14ac:dyDescent="0.25">
      <c r="A9" s="272"/>
      <c r="B9" s="514"/>
      <c r="C9" s="514"/>
      <c r="D9" s="506"/>
      <c r="E9" s="259"/>
      <c r="F9" s="257"/>
      <c r="G9" s="258"/>
      <c r="H9" s="259"/>
      <c r="I9" s="259"/>
      <c r="J9" s="259"/>
      <c r="K9" s="259"/>
      <c r="L9" s="259"/>
      <c r="M9" s="297"/>
      <c r="N9" s="259"/>
      <c r="O9" s="257" t="s">
        <v>422</v>
      </c>
      <c r="P9" s="258">
        <v>7.7</v>
      </c>
      <c r="Q9" s="258"/>
      <c r="R9" s="258"/>
      <c r="S9" s="259" t="s">
        <v>420</v>
      </c>
      <c r="T9" s="274" t="s">
        <v>411</v>
      </c>
      <c r="U9" s="277"/>
      <c r="V9" s="259"/>
      <c r="W9" s="259"/>
      <c r="X9" s="259"/>
      <c r="Y9" s="259"/>
      <c r="Z9" s="259"/>
      <c r="AA9" s="260"/>
    </row>
    <row r="10" spans="1:27" ht="15" customHeight="1" x14ac:dyDescent="0.25">
      <c r="A10" s="272"/>
      <c r="B10" s="514"/>
      <c r="C10" s="514"/>
      <c r="D10" s="506"/>
      <c r="E10" s="259"/>
      <c r="F10" s="257"/>
      <c r="G10" s="258"/>
      <c r="H10" s="259"/>
      <c r="I10" s="259"/>
      <c r="J10" s="259"/>
      <c r="K10" s="259"/>
      <c r="L10" s="259"/>
      <c r="M10" s="297"/>
      <c r="N10" s="260"/>
      <c r="O10" s="260" t="s">
        <v>423</v>
      </c>
      <c r="P10" s="261" t="s">
        <v>401</v>
      </c>
      <c r="Q10" s="262">
        <v>5</v>
      </c>
      <c r="R10" s="260"/>
      <c r="S10" s="259" t="s">
        <v>420</v>
      </c>
      <c r="T10" s="276" t="s">
        <v>403</v>
      </c>
      <c r="U10" s="278"/>
      <c r="V10" s="260"/>
      <c r="W10" s="260"/>
      <c r="X10" s="260"/>
      <c r="Y10" s="260"/>
      <c r="Z10" s="260"/>
      <c r="AA10" s="260"/>
    </row>
    <row r="11" spans="1:27" ht="15" customHeight="1" x14ac:dyDescent="0.25">
      <c r="A11" s="272"/>
      <c r="B11" s="513"/>
      <c r="C11" s="513"/>
      <c r="D11" s="507"/>
      <c r="E11" s="250"/>
      <c r="F11" s="279"/>
      <c r="G11" s="280"/>
      <c r="H11" s="250"/>
      <c r="I11" s="250"/>
      <c r="J11" s="250"/>
      <c r="K11" s="250"/>
      <c r="L11" s="250"/>
      <c r="M11" s="298"/>
      <c r="N11" s="263"/>
      <c r="O11" s="263" t="s">
        <v>423</v>
      </c>
      <c r="P11" s="264" t="s">
        <v>401</v>
      </c>
      <c r="Q11" s="265">
        <v>6.5</v>
      </c>
      <c r="R11" s="263"/>
      <c r="S11" s="250" t="s">
        <v>420</v>
      </c>
      <c r="T11" s="281" t="s">
        <v>402</v>
      </c>
      <c r="U11" s="282"/>
      <c r="V11" s="263"/>
      <c r="W11" s="263"/>
      <c r="X11" s="263"/>
      <c r="Y11" s="263"/>
      <c r="Z11" s="263"/>
      <c r="AA11" s="263"/>
    </row>
    <row r="12" spans="1:27" ht="15" customHeight="1" x14ac:dyDescent="0.25">
      <c r="B12" s="266">
        <v>2</v>
      </c>
      <c r="C12" s="266" t="s">
        <v>391</v>
      </c>
      <c r="D12" s="283" t="s">
        <v>378</v>
      </c>
      <c r="E12" s="284"/>
      <c r="F12" s="284"/>
      <c r="G12" s="284"/>
      <c r="H12" s="509" t="s">
        <v>392</v>
      </c>
      <c r="I12" s="509"/>
      <c r="J12" s="284"/>
      <c r="K12" s="284"/>
      <c r="L12" s="284"/>
      <c r="M12" s="299"/>
      <c r="N12" s="284"/>
      <c r="O12" s="284"/>
      <c r="P12" s="284"/>
      <c r="Q12" s="284"/>
      <c r="R12" s="284"/>
      <c r="S12" s="284"/>
      <c r="T12" s="284"/>
      <c r="U12" s="285"/>
      <c r="V12" s="284"/>
      <c r="W12" s="284"/>
      <c r="X12" s="284"/>
      <c r="Y12" s="284"/>
      <c r="Z12" s="284"/>
      <c r="AA12" s="284"/>
    </row>
    <row r="13" spans="1:27" ht="15" customHeight="1" x14ac:dyDescent="0.25">
      <c r="A13" s="272"/>
      <c r="B13" s="514"/>
      <c r="C13" s="514"/>
      <c r="D13" s="506" t="s">
        <v>424</v>
      </c>
      <c r="E13" s="259"/>
      <c r="F13" s="259"/>
      <c r="G13" s="259"/>
      <c r="H13" s="259"/>
      <c r="I13" s="259"/>
      <c r="J13" s="259"/>
      <c r="K13" s="259"/>
      <c r="L13" s="259"/>
      <c r="M13" s="297"/>
      <c r="N13" s="286" t="s">
        <v>405</v>
      </c>
      <c r="O13" s="261" t="s">
        <v>407</v>
      </c>
      <c r="P13" s="267">
        <f>'Viscosity and density'!Q17</f>
        <v>1.2</v>
      </c>
      <c r="Q13" s="260"/>
      <c r="R13" s="260"/>
      <c r="S13" s="260" t="s">
        <v>406</v>
      </c>
      <c r="T13" s="276" t="s">
        <v>375</v>
      </c>
      <c r="U13" s="286"/>
      <c r="V13" s="261"/>
      <c r="W13" s="267"/>
      <c r="X13" s="260"/>
      <c r="Y13" s="260"/>
      <c r="Z13" s="260"/>
      <c r="AA13" s="276"/>
    </row>
    <row r="14" spans="1:27" ht="15" customHeight="1" x14ac:dyDescent="0.25">
      <c r="A14" s="272"/>
      <c r="B14" s="514"/>
      <c r="C14" s="514"/>
      <c r="D14" s="506"/>
      <c r="E14" s="259"/>
      <c r="F14" s="259"/>
      <c r="G14" s="259"/>
      <c r="H14" s="259"/>
      <c r="I14" s="259"/>
      <c r="J14" s="259"/>
      <c r="K14" s="259"/>
      <c r="L14" s="259"/>
      <c r="M14" s="297"/>
      <c r="N14" s="278"/>
      <c r="O14" s="260"/>
      <c r="P14" s="260"/>
      <c r="Q14" s="260"/>
      <c r="R14" s="260"/>
      <c r="S14" s="260"/>
      <c r="T14" s="260"/>
      <c r="U14" s="278"/>
      <c r="V14" s="260"/>
      <c r="W14" s="260"/>
      <c r="X14" s="260"/>
      <c r="Y14" s="260"/>
      <c r="Z14" s="260"/>
      <c r="AA14" s="260"/>
    </row>
    <row r="15" spans="1:27" ht="15" customHeight="1" x14ac:dyDescent="0.25">
      <c r="B15" s="256">
        <v>3</v>
      </c>
      <c r="C15" s="256" t="s">
        <v>389</v>
      </c>
      <c r="D15" s="269" t="s">
        <v>390</v>
      </c>
      <c r="E15" s="270"/>
      <c r="F15" s="505" t="s">
        <v>393</v>
      </c>
      <c r="G15" s="505"/>
      <c r="H15" s="270"/>
      <c r="I15" s="270"/>
      <c r="J15" s="270"/>
      <c r="K15" s="270"/>
      <c r="L15" s="270"/>
      <c r="M15" s="271"/>
      <c r="N15" s="270"/>
      <c r="O15" s="270"/>
      <c r="P15" s="270"/>
      <c r="Q15" s="270"/>
      <c r="R15" s="270"/>
      <c r="S15" s="270"/>
      <c r="T15" s="270"/>
      <c r="U15" s="287"/>
      <c r="V15" s="270"/>
      <c r="W15" s="270"/>
      <c r="X15" s="270"/>
      <c r="Y15" s="270"/>
      <c r="Z15" s="270"/>
      <c r="AA15" s="270"/>
    </row>
    <row r="16" spans="1:27" ht="15" customHeight="1" x14ac:dyDescent="0.25">
      <c r="A16" s="272"/>
      <c r="B16" s="513"/>
      <c r="C16" s="513"/>
      <c r="D16" s="300" t="s">
        <v>428</v>
      </c>
      <c r="E16" s="250"/>
      <c r="F16" s="250"/>
      <c r="G16" s="250"/>
      <c r="H16" s="250"/>
      <c r="I16" s="250"/>
      <c r="J16" s="250"/>
      <c r="K16" s="250"/>
      <c r="L16" s="250"/>
      <c r="M16" s="298"/>
      <c r="N16" s="288" t="s">
        <v>382</v>
      </c>
      <c r="O16" s="263" t="s">
        <v>412</v>
      </c>
      <c r="P16" s="265" t="s">
        <v>415</v>
      </c>
      <c r="Q16" s="263"/>
      <c r="R16" s="263"/>
      <c r="S16" s="263" t="s">
        <v>413</v>
      </c>
      <c r="T16" s="281" t="s">
        <v>584</v>
      </c>
      <c r="U16" s="289" t="s">
        <v>384</v>
      </c>
      <c r="V16" s="264" t="s">
        <v>414</v>
      </c>
      <c r="W16" s="268" t="s">
        <v>415</v>
      </c>
      <c r="X16" s="263"/>
      <c r="Y16" s="263"/>
      <c r="Z16" s="263" t="s">
        <v>585</v>
      </c>
      <c r="AA16" s="281" t="s">
        <v>584</v>
      </c>
    </row>
    <row r="17" spans="1:27" x14ac:dyDescent="0.25">
      <c r="A17" s="272"/>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row>
    <row r="18" spans="1:27" ht="12.75" customHeight="1" x14ac:dyDescent="0.25">
      <c r="A18" s="272"/>
      <c r="B18" s="512" t="s">
        <v>587</v>
      </c>
      <c r="C18" s="512"/>
      <c r="D18" s="512"/>
      <c r="E18" s="512"/>
      <c r="F18" s="512"/>
      <c r="G18" s="512"/>
      <c r="H18" s="512"/>
      <c r="I18" s="512"/>
      <c r="J18" s="512"/>
      <c r="K18" s="512"/>
      <c r="L18" s="512"/>
      <c r="M18" s="512"/>
      <c r="N18" s="272"/>
      <c r="O18" s="272"/>
      <c r="P18" s="272"/>
      <c r="Q18" s="272"/>
      <c r="R18" s="272"/>
      <c r="S18" s="272"/>
      <c r="T18" s="272"/>
      <c r="U18" s="272"/>
      <c r="V18" s="272"/>
      <c r="W18" s="272"/>
      <c r="X18" s="272"/>
      <c r="Y18" s="272"/>
      <c r="Z18" s="272"/>
      <c r="AA18" s="272"/>
    </row>
    <row r="19" spans="1:27" x14ac:dyDescent="0.25">
      <c r="B19" s="512"/>
      <c r="C19" s="512"/>
      <c r="D19" s="512"/>
      <c r="E19" s="512"/>
      <c r="F19" s="512"/>
      <c r="G19" s="512"/>
      <c r="H19" s="512"/>
      <c r="I19" s="512"/>
      <c r="J19" s="512"/>
      <c r="K19" s="512"/>
      <c r="L19" s="512"/>
      <c r="M19" s="512"/>
      <c r="N19" s="272"/>
      <c r="O19" s="272"/>
      <c r="P19" s="272"/>
      <c r="Q19" s="272"/>
      <c r="R19" s="272"/>
      <c r="S19" s="272"/>
      <c r="T19" s="272"/>
      <c r="U19" s="272"/>
      <c r="V19" s="272"/>
      <c r="W19" s="272"/>
      <c r="X19" s="272"/>
      <c r="Y19" s="272"/>
      <c r="Z19" s="272"/>
      <c r="AA19" s="272"/>
    </row>
    <row r="20" spans="1:27" x14ac:dyDescent="0.25">
      <c r="B20" s="512"/>
      <c r="C20" s="512"/>
      <c r="D20" s="512"/>
      <c r="E20" s="512"/>
      <c r="F20" s="512"/>
      <c r="G20" s="512"/>
      <c r="H20" s="512"/>
      <c r="I20" s="512"/>
      <c r="J20" s="512"/>
      <c r="K20" s="512"/>
      <c r="L20" s="512"/>
      <c r="M20" s="512"/>
    </row>
    <row r="21" spans="1:27" s="315" customFormat="1" x14ac:dyDescent="0.25">
      <c r="B21" s="316"/>
      <c r="C21" s="316"/>
      <c r="D21" s="316"/>
      <c r="E21" s="316"/>
      <c r="F21" s="316"/>
      <c r="G21" s="316"/>
      <c r="H21" s="316"/>
      <c r="I21" s="316"/>
      <c r="J21" s="316"/>
      <c r="K21" s="316"/>
      <c r="L21" s="316"/>
      <c r="M21" s="316"/>
    </row>
    <row r="22" spans="1:27" s="315" customFormat="1" x14ac:dyDescent="0.25">
      <c r="B22" s="316"/>
      <c r="C22" s="316"/>
      <c r="D22" s="316"/>
      <c r="E22" s="316"/>
      <c r="F22" s="316"/>
      <c r="G22" s="316"/>
      <c r="H22" s="316"/>
      <c r="I22" s="316"/>
      <c r="J22" s="316"/>
      <c r="K22" s="316"/>
      <c r="L22" s="316"/>
      <c r="M22" s="316"/>
    </row>
    <row r="23" spans="1:27" s="315" customFormat="1" x14ac:dyDescent="0.25">
      <c r="B23" s="316"/>
      <c r="C23" s="316"/>
      <c r="D23" s="316"/>
      <c r="E23" s="316"/>
      <c r="F23" s="316"/>
      <c r="G23" s="316"/>
      <c r="H23" s="316"/>
      <c r="I23" s="316"/>
      <c r="J23" s="316"/>
      <c r="K23" s="316"/>
      <c r="L23" s="316"/>
      <c r="M23" s="316"/>
    </row>
    <row r="24" spans="1:27" s="315" customFormat="1" x14ac:dyDescent="0.25">
      <c r="B24" s="512" t="s">
        <v>627</v>
      </c>
      <c r="C24" s="512"/>
      <c r="D24" s="512"/>
      <c r="E24" s="512"/>
      <c r="F24" s="512"/>
      <c r="G24" s="512"/>
      <c r="H24" s="512"/>
      <c r="I24" s="512"/>
      <c r="J24" s="512"/>
      <c r="K24" s="512"/>
      <c r="L24" s="512"/>
      <c r="M24" s="512"/>
    </row>
    <row r="25" spans="1:27" s="315" customFormat="1" x14ac:dyDescent="0.25">
      <c r="B25" s="512"/>
      <c r="C25" s="512"/>
      <c r="D25" s="512"/>
      <c r="E25" s="512"/>
      <c r="F25" s="512"/>
      <c r="G25" s="512"/>
      <c r="H25" s="512"/>
      <c r="I25" s="512"/>
      <c r="J25" s="512"/>
      <c r="K25" s="512"/>
      <c r="L25" s="512"/>
      <c r="M25" s="512"/>
    </row>
    <row r="26" spans="1:27" x14ac:dyDescent="0.25">
      <c r="B26" s="512"/>
      <c r="C26" s="512"/>
      <c r="D26" s="512"/>
      <c r="E26" s="512"/>
      <c r="F26" s="512"/>
      <c r="G26" s="512"/>
      <c r="H26" s="512"/>
      <c r="I26" s="512"/>
      <c r="J26" s="512"/>
      <c r="K26" s="512"/>
      <c r="L26" s="512"/>
      <c r="M26" s="512"/>
    </row>
    <row r="30" spans="1:27" x14ac:dyDescent="0.25">
      <c r="B30" s="435" t="s">
        <v>606</v>
      </c>
      <c r="C30" s="435"/>
      <c r="D30" s="435" t="s">
        <v>607</v>
      </c>
    </row>
    <row r="31" spans="1:27" ht="15" x14ac:dyDescent="0.25">
      <c r="B31" s="436" t="s">
        <v>600</v>
      </c>
      <c r="C31" s="436"/>
      <c r="D31" s="437" t="s">
        <v>613</v>
      </c>
    </row>
    <row r="32" spans="1:27" ht="15" x14ac:dyDescent="0.25">
      <c r="B32" s="436"/>
      <c r="C32" s="436"/>
      <c r="D32" s="437" t="s">
        <v>612</v>
      </c>
    </row>
    <row r="33" spans="2:17" ht="15" x14ac:dyDescent="0.25">
      <c r="B33" s="436" t="s">
        <v>601</v>
      </c>
      <c r="C33" s="436"/>
      <c r="D33" s="438" t="s">
        <v>608</v>
      </c>
    </row>
    <row r="34" spans="2:17" x14ac:dyDescent="0.25">
      <c r="B34" s="436" t="s">
        <v>602</v>
      </c>
      <c r="C34" s="436"/>
      <c r="D34" s="439" t="s">
        <v>609</v>
      </c>
    </row>
    <row r="35" spans="2:17" ht="15" x14ac:dyDescent="0.25">
      <c r="B35" s="436" t="s">
        <v>603</v>
      </c>
      <c r="C35" s="436"/>
      <c r="D35" s="440" t="s">
        <v>610</v>
      </c>
    </row>
    <row r="36" spans="2:17" ht="15" x14ac:dyDescent="0.25">
      <c r="B36" s="436" t="s">
        <v>604</v>
      </c>
      <c r="C36" s="436"/>
      <c r="D36" s="440" t="s">
        <v>610</v>
      </c>
    </row>
    <row r="37" spans="2:17" ht="15" x14ac:dyDescent="0.25">
      <c r="B37" s="436" t="s">
        <v>605</v>
      </c>
      <c r="C37" s="436"/>
      <c r="D37" s="440" t="s">
        <v>611</v>
      </c>
    </row>
    <row r="43" spans="2:17" x14ac:dyDescent="0.25">
      <c r="N43" s="290"/>
      <c r="O43" s="291"/>
      <c r="P43" s="291"/>
      <c r="Q43" s="292"/>
    </row>
    <row r="44" spans="2:17" x14ac:dyDescent="0.25">
      <c r="N44" s="278"/>
      <c r="O44" s="260"/>
      <c r="P44" s="260"/>
      <c r="Q44" s="293"/>
    </row>
    <row r="45" spans="2:17" x14ac:dyDescent="0.25">
      <c r="N45" s="278"/>
      <c r="O45" s="260"/>
      <c r="P45" s="260"/>
      <c r="Q45" s="293"/>
    </row>
    <row r="46" spans="2:17" x14ac:dyDescent="0.25">
      <c r="N46" s="278"/>
      <c r="O46" s="260"/>
      <c r="P46" s="260"/>
      <c r="Q46" s="293"/>
    </row>
    <row r="47" spans="2:17" x14ac:dyDescent="0.25">
      <c r="N47" s="278"/>
      <c r="O47" s="260"/>
      <c r="P47" s="260"/>
      <c r="Q47" s="293"/>
    </row>
    <row r="48" spans="2:17" x14ac:dyDescent="0.25">
      <c r="N48" s="278"/>
      <c r="O48" s="260"/>
      <c r="P48" s="260"/>
      <c r="Q48" s="293"/>
    </row>
    <row r="49" spans="14:17" x14ac:dyDescent="0.25">
      <c r="N49" s="278"/>
      <c r="O49" s="260"/>
      <c r="P49" s="260"/>
      <c r="Q49" s="293"/>
    </row>
    <row r="50" spans="14:17" x14ac:dyDescent="0.25">
      <c r="N50" s="278"/>
      <c r="O50" s="260"/>
      <c r="P50" s="260"/>
      <c r="Q50" s="293"/>
    </row>
    <row r="51" spans="14:17" x14ac:dyDescent="0.25">
      <c r="N51" s="278"/>
      <c r="O51" s="260"/>
      <c r="P51" s="260"/>
      <c r="Q51" s="293"/>
    </row>
    <row r="52" spans="14:17" x14ac:dyDescent="0.25">
      <c r="N52" s="294" t="s">
        <v>312</v>
      </c>
      <c r="O52" s="295"/>
      <c r="P52" s="295"/>
      <c r="Q52" s="296"/>
    </row>
  </sheetData>
  <mergeCells count="16">
    <mergeCell ref="B24:M26"/>
    <mergeCell ref="B18:M20"/>
    <mergeCell ref="B16:C16"/>
    <mergeCell ref="B7:C11"/>
    <mergeCell ref="B13:C14"/>
    <mergeCell ref="P4:R4"/>
    <mergeCell ref="F15:G15"/>
    <mergeCell ref="W4:Y4"/>
    <mergeCell ref="D7:D11"/>
    <mergeCell ref="D13:D14"/>
    <mergeCell ref="E4:M4"/>
    <mergeCell ref="B4:D4"/>
    <mergeCell ref="J6:K6"/>
    <mergeCell ref="H12:I12"/>
    <mergeCell ref="B5:C5"/>
    <mergeCell ref="H6:I6"/>
  </mergeCells>
  <hyperlinks>
    <hyperlink ref="D31" location="Polarity!A1" display="&quot;Polarity&quot;"/>
    <hyperlink ref="D32" location="'Surface tension'!A1" display=" &quot;Surface tension&quot;"/>
    <hyperlink ref="D33" location="'Viscosity and density'!A1" display="&quot;Viscosity and density&quot;"/>
    <hyperlink ref="D35" location="Shortlist!A1" display="&quot;Shortlist&quot;"/>
    <hyperlink ref="D36" location="Shortlist!A1" display="&quot;Shortlist&quot;"/>
    <hyperlink ref="D37" location="'Final decision'!A1" display="&quot;Final decision&quot;"/>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9"/>
  <sheetViews>
    <sheetView zoomScale="80" zoomScaleNormal="80" workbookViewId="0"/>
  </sheetViews>
  <sheetFormatPr defaultRowHeight="15" x14ac:dyDescent="0.25"/>
  <cols>
    <col min="1" max="1" width="1.42578125" customWidth="1"/>
    <col min="2" max="7" width="35.7109375" customWidth="1"/>
    <col min="8" max="13" width="9.140625" style="463"/>
  </cols>
  <sheetData>
    <row r="3" spans="2:13" ht="30" customHeight="1" x14ac:dyDescent="0.25">
      <c r="B3" s="434" t="s">
        <v>631</v>
      </c>
      <c r="C3" s="314"/>
      <c r="D3" s="314"/>
      <c r="E3" s="314"/>
      <c r="F3" s="314"/>
      <c r="G3" s="314"/>
      <c r="H3" s="460"/>
      <c r="I3" s="460"/>
      <c r="J3" s="460"/>
      <c r="K3" s="460"/>
      <c r="L3" s="460"/>
      <c r="M3" s="460"/>
    </row>
    <row r="4" spans="2:13" x14ac:dyDescent="0.25">
      <c r="B4" s="504" t="s">
        <v>628</v>
      </c>
      <c r="C4" s="504"/>
      <c r="D4" s="504"/>
      <c r="E4" s="504" t="s">
        <v>629</v>
      </c>
      <c r="F4" s="504"/>
      <c r="G4" s="459" t="s">
        <v>630</v>
      </c>
      <c r="H4" s="461"/>
      <c r="I4" s="461"/>
      <c r="J4" s="461"/>
      <c r="K4" s="461"/>
      <c r="L4" s="461"/>
      <c r="M4" s="461"/>
    </row>
    <row r="5" spans="2:13" x14ac:dyDescent="0.25">
      <c r="B5" s="458" t="s">
        <v>632</v>
      </c>
      <c r="C5" s="458" t="s">
        <v>633</v>
      </c>
      <c r="D5" s="433" t="s">
        <v>634</v>
      </c>
      <c r="E5" s="458" t="s">
        <v>635</v>
      </c>
      <c r="F5" s="458" t="s">
        <v>636</v>
      </c>
      <c r="G5" s="302" t="s">
        <v>637</v>
      </c>
      <c r="H5" s="462"/>
      <c r="I5" s="462"/>
      <c r="J5" s="462"/>
      <c r="K5" s="462"/>
      <c r="L5" s="462"/>
      <c r="M5" s="462"/>
    </row>
    <row r="6" spans="2:13" x14ac:dyDescent="0.25">
      <c r="B6" s="467" t="s">
        <v>97</v>
      </c>
      <c r="C6" s="465" t="s">
        <v>97</v>
      </c>
      <c r="D6" s="445"/>
      <c r="E6" s="6"/>
      <c r="F6" s="453"/>
      <c r="G6" s="482"/>
      <c r="M6"/>
    </row>
    <row r="7" spans="2:13" x14ac:dyDescent="0.25">
      <c r="B7" s="468" t="s">
        <v>100</v>
      </c>
      <c r="C7" s="466" t="s">
        <v>100</v>
      </c>
      <c r="D7" s="445"/>
      <c r="E7" s="5"/>
      <c r="F7" s="453"/>
      <c r="G7" s="482"/>
      <c r="M7"/>
    </row>
    <row r="8" spans="2:13" x14ac:dyDescent="0.25">
      <c r="B8" s="469" t="s">
        <v>101</v>
      </c>
      <c r="C8" s="471" t="s">
        <v>101</v>
      </c>
      <c r="D8" s="473"/>
      <c r="E8" s="474" t="s">
        <v>101</v>
      </c>
      <c r="F8" s="475" t="s">
        <v>101</v>
      </c>
      <c r="G8" s="482"/>
      <c r="M8"/>
    </row>
    <row r="9" spans="2:13" x14ac:dyDescent="0.25">
      <c r="B9" s="476" t="s">
        <v>102</v>
      </c>
      <c r="C9" s="6"/>
      <c r="D9" s="445"/>
      <c r="E9" s="6"/>
      <c r="F9" s="6"/>
      <c r="G9" s="482"/>
      <c r="M9"/>
    </row>
    <row r="10" spans="2:13" x14ac:dyDescent="0.25">
      <c r="B10" s="476" t="s">
        <v>181</v>
      </c>
      <c r="C10" s="6"/>
      <c r="D10" s="445"/>
      <c r="E10" s="6"/>
      <c r="F10" s="6"/>
      <c r="G10" s="482"/>
      <c r="M10"/>
    </row>
    <row r="11" spans="2:13" x14ac:dyDescent="0.25">
      <c r="B11" s="481" t="s">
        <v>84</v>
      </c>
      <c r="C11" s="3"/>
      <c r="D11" s="445"/>
      <c r="E11" s="3"/>
      <c r="F11" s="3"/>
      <c r="G11" s="482"/>
      <c r="M11"/>
    </row>
    <row r="12" spans="2:13" x14ac:dyDescent="0.25">
      <c r="B12" s="469" t="s">
        <v>187</v>
      </c>
      <c r="C12" s="465" t="s">
        <v>187</v>
      </c>
      <c r="D12" s="445"/>
      <c r="E12" s="2"/>
      <c r="F12" s="2"/>
      <c r="G12" s="482"/>
      <c r="M12"/>
    </row>
    <row r="13" spans="2:13" x14ac:dyDescent="0.25">
      <c r="B13" s="469" t="s">
        <v>73</v>
      </c>
      <c r="C13" s="472" t="s">
        <v>73</v>
      </c>
      <c r="D13" s="445"/>
      <c r="E13" s="6"/>
      <c r="F13" s="6"/>
      <c r="G13" s="482"/>
      <c r="M13"/>
    </row>
    <row r="14" spans="2:13" x14ac:dyDescent="0.25">
      <c r="B14" s="481" t="s">
        <v>132</v>
      </c>
      <c r="C14" s="3"/>
      <c r="D14" s="477"/>
      <c r="E14" s="5"/>
      <c r="F14" s="5"/>
      <c r="G14" s="482"/>
      <c r="M14"/>
    </row>
    <row r="15" spans="2:13" x14ac:dyDescent="0.25">
      <c r="B15" s="469" t="s">
        <v>64</v>
      </c>
      <c r="C15" s="465" t="s">
        <v>64</v>
      </c>
      <c r="D15" s="445"/>
      <c r="E15" s="6"/>
      <c r="F15" s="6"/>
      <c r="G15" s="482"/>
      <c r="M15"/>
    </row>
    <row r="16" spans="2:13" x14ac:dyDescent="0.25">
      <c r="B16" s="469" t="s">
        <v>195</v>
      </c>
      <c r="C16" s="471" t="s">
        <v>195</v>
      </c>
      <c r="D16" s="473"/>
      <c r="E16" s="474" t="s">
        <v>195</v>
      </c>
      <c r="F16" s="475" t="s">
        <v>195</v>
      </c>
      <c r="G16" s="482"/>
      <c r="M16"/>
    </row>
    <row r="17" spans="2:13" x14ac:dyDescent="0.25">
      <c r="B17" s="476" t="s">
        <v>87</v>
      </c>
      <c r="C17" s="6"/>
      <c r="D17" s="445"/>
      <c r="E17" s="6"/>
      <c r="F17" s="6"/>
      <c r="G17" s="482"/>
      <c r="M17"/>
    </row>
    <row r="18" spans="2:13" x14ac:dyDescent="0.25">
      <c r="B18" s="490" t="s">
        <v>36</v>
      </c>
      <c r="C18" s="491" t="s">
        <v>36</v>
      </c>
      <c r="D18" s="492"/>
      <c r="E18" s="491" t="s">
        <v>36</v>
      </c>
      <c r="F18" s="491" t="s">
        <v>36</v>
      </c>
      <c r="G18" s="493" t="s">
        <v>36</v>
      </c>
      <c r="M18"/>
    </row>
    <row r="19" spans="2:13" x14ac:dyDescent="0.25">
      <c r="B19" s="468" t="s">
        <v>189</v>
      </c>
      <c r="C19" s="116" t="s">
        <v>189</v>
      </c>
      <c r="D19" s="321"/>
      <c r="E19" s="116" t="s">
        <v>189</v>
      </c>
      <c r="F19" s="466" t="s">
        <v>189</v>
      </c>
      <c r="G19" s="453"/>
      <c r="M19"/>
    </row>
    <row r="20" spans="2:13" x14ac:dyDescent="0.25">
      <c r="B20" s="468" t="s">
        <v>190</v>
      </c>
      <c r="C20" s="116" t="s">
        <v>190</v>
      </c>
      <c r="D20" s="321"/>
      <c r="E20" s="116" t="s">
        <v>190</v>
      </c>
      <c r="F20" s="466" t="s">
        <v>190</v>
      </c>
      <c r="G20" s="453"/>
      <c r="M20"/>
    </row>
    <row r="21" spans="2:13" x14ac:dyDescent="0.25">
      <c r="B21" s="483" t="s">
        <v>227</v>
      </c>
      <c r="C21" s="488" t="s">
        <v>227</v>
      </c>
      <c r="D21" s="489"/>
      <c r="E21" s="484" t="s">
        <v>227</v>
      </c>
      <c r="F21" s="484" t="s">
        <v>227</v>
      </c>
      <c r="G21" s="487" t="s">
        <v>227</v>
      </c>
      <c r="M21"/>
    </row>
    <row r="22" spans="2:13" x14ac:dyDescent="0.25">
      <c r="B22" s="469" t="s">
        <v>128</v>
      </c>
      <c r="C22" s="470" t="s">
        <v>128</v>
      </c>
      <c r="D22" s="445"/>
      <c r="E22" s="6"/>
      <c r="F22" s="6"/>
      <c r="G22" s="453"/>
      <c r="M22"/>
    </row>
    <row r="23" spans="2:13" x14ac:dyDescent="0.25">
      <c r="B23" s="469" t="s">
        <v>37</v>
      </c>
      <c r="C23" s="470" t="s">
        <v>37</v>
      </c>
      <c r="D23" s="445"/>
      <c r="E23" s="2"/>
      <c r="F23" s="2"/>
      <c r="G23" s="453"/>
      <c r="M23"/>
    </row>
    <row r="24" spans="2:13" x14ac:dyDescent="0.25">
      <c r="B24" s="483" t="s">
        <v>65</v>
      </c>
      <c r="C24" s="496" t="s">
        <v>65</v>
      </c>
      <c r="D24" s="445"/>
      <c r="E24" s="2"/>
      <c r="F24" s="2"/>
      <c r="G24" s="453"/>
      <c r="M24"/>
    </row>
    <row r="25" spans="2:13" x14ac:dyDescent="0.25">
      <c r="B25" s="494" t="s">
        <v>577</v>
      </c>
      <c r="C25" s="5"/>
      <c r="D25" s="445"/>
      <c r="E25" s="5"/>
      <c r="F25" s="5"/>
      <c r="G25" s="453"/>
      <c r="M25"/>
    </row>
    <row r="26" spans="2:13" x14ac:dyDescent="0.25">
      <c r="B26" s="469" t="s">
        <v>78</v>
      </c>
      <c r="C26" s="465" t="s">
        <v>78</v>
      </c>
      <c r="D26" s="445"/>
      <c r="E26" s="6"/>
      <c r="F26" s="6"/>
      <c r="G26" s="453"/>
      <c r="M26"/>
    </row>
    <row r="27" spans="2:13" x14ac:dyDescent="0.25">
      <c r="B27" s="469" t="s">
        <v>622</v>
      </c>
      <c r="C27" s="470" t="s">
        <v>622</v>
      </c>
      <c r="D27" s="445"/>
      <c r="E27" s="6"/>
      <c r="F27" s="6"/>
      <c r="G27" s="453"/>
      <c r="M27"/>
    </row>
    <row r="28" spans="2:13" x14ac:dyDescent="0.25">
      <c r="B28" s="469" t="s">
        <v>621</v>
      </c>
      <c r="C28" s="470" t="s">
        <v>621</v>
      </c>
      <c r="D28" s="445"/>
      <c r="E28" s="2"/>
      <c r="F28" s="2"/>
      <c r="G28" s="453"/>
      <c r="M28"/>
    </row>
    <row r="29" spans="2:13" x14ac:dyDescent="0.25">
      <c r="B29" s="468" t="s">
        <v>199</v>
      </c>
      <c r="C29" s="466" t="s">
        <v>199</v>
      </c>
      <c r="D29" s="445"/>
      <c r="E29" s="3"/>
      <c r="F29" s="3"/>
      <c r="G29" s="453"/>
      <c r="M29"/>
    </row>
    <row r="30" spans="2:13" x14ac:dyDescent="0.25">
      <c r="B30" s="469" t="s">
        <v>226</v>
      </c>
      <c r="C30" s="470" t="s">
        <v>226</v>
      </c>
      <c r="D30" s="445"/>
      <c r="E30" s="6"/>
      <c r="F30" s="6"/>
      <c r="G30" s="453"/>
      <c r="M30"/>
    </row>
    <row r="31" spans="2:13" x14ac:dyDescent="0.25">
      <c r="B31" s="468" t="s">
        <v>192</v>
      </c>
      <c r="C31" s="119" t="s">
        <v>192</v>
      </c>
      <c r="D31" s="473"/>
      <c r="E31" s="478" t="s">
        <v>192</v>
      </c>
      <c r="F31" s="479" t="s">
        <v>192</v>
      </c>
      <c r="G31" s="453"/>
      <c r="M31"/>
    </row>
    <row r="32" spans="2:13" x14ac:dyDescent="0.25">
      <c r="B32" s="483" t="s">
        <v>47</v>
      </c>
      <c r="C32" s="495" t="s">
        <v>47</v>
      </c>
      <c r="D32" s="445"/>
      <c r="E32" s="2"/>
      <c r="F32" s="2"/>
      <c r="G32" s="453"/>
      <c r="M32"/>
    </row>
    <row r="33" spans="2:13" x14ac:dyDescent="0.25">
      <c r="B33" s="483" t="s">
        <v>330</v>
      </c>
      <c r="C33" s="484" t="s">
        <v>330</v>
      </c>
      <c r="D33" s="485"/>
      <c r="E33" s="486" t="s">
        <v>330</v>
      </c>
      <c r="F33" s="486" t="s">
        <v>330</v>
      </c>
      <c r="G33" s="487" t="s">
        <v>330</v>
      </c>
      <c r="M33"/>
    </row>
    <row r="34" spans="2:13" x14ac:dyDescent="0.25">
      <c r="B34" s="480" t="s">
        <v>203</v>
      </c>
      <c r="C34" s="6"/>
      <c r="D34" s="464"/>
      <c r="E34" s="100"/>
      <c r="F34" s="100"/>
      <c r="G34" s="100"/>
      <c r="M34"/>
    </row>
    <row r="36" spans="2:13" x14ac:dyDescent="0.25">
      <c r="B36" s="497">
        <f>COUNTA(B6:B34)</f>
        <v>29</v>
      </c>
      <c r="C36" s="498">
        <f t="shared" ref="C36:G36" si="0">COUNTA(C6:C34)</f>
        <v>22</v>
      </c>
      <c r="D36" s="498"/>
      <c r="E36" s="498">
        <f t="shared" si="0"/>
        <v>8</v>
      </c>
      <c r="F36" s="498">
        <f t="shared" si="0"/>
        <v>8</v>
      </c>
      <c r="G36" s="499">
        <f t="shared" si="0"/>
        <v>3</v>
      </c>
    </row>
    <row r="37" spans="2:13" x14ac:dyDescent="0.25">
      <c r="B37" s="500">
        <v>6</v>
      </c>
      <c r="C37" s="501">
        <v>5</v>
      </c>
      <c r="D37" s="501"/>
      <c r="E37" s="501">
        <v>3</v>
      </c>
      <c r="F37" s="501">
        <v>3</v>
      </c>
      <c r="G37" s="502">
        <v>3</v>
      </c>
    </row>
    <row r="39" spans="2:13" x14ac:dyDescent="0.25">
      <c r="G39" s="503" t="s">
        <v>638</v>
      </c>
    </row>
  </sheetData>
  <mergeCells count="2">
    <mergeCell ref="B4:D4"/>
    <mergeCell ref="E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00"/>
  <sheetViews>
    <sheetView zoomScale="80" zoomScaleNormal="80" workbookViewId="0"/>
  </sheetViews>
  <sheetFormatPr defaultColWidth="9.140625" defaultRowHeight="12.75" x14ac:dyDescent="0.2"/>
  <cols>
    <col min="1" max="1" width="1.42578125" style="39" customWidth="1"/>
    <col min="2" max="2" width="55.7109375" style="39" customWidth="1"/>
    <col min="3" max="8" width="12.7109375" style="39" customWidth="1"/>
    <col min="9" max="9" width="3.28515625" style="39" customWidth="1"/>
    <col min="10" max="11" width="12.7109375" style="39" customWidth="1"/>
    <col min="12" max="12" width="32.7109375" style="39" customWidth="1"/>
    <col min="13" max="18" width="12.7109375" style="39" customWidth="1"/>
    <col min="19" max="16384" width="9.140625" style="39"/>
  </cols>
  <sheetData>
    <row r="1" spans="2:27" ht="15" customHeight="1" x14ac:dyDescent="0.2"/>
    <row r="2" spans="2:27" ht="15" customHeight="1" x14ac:dyDescent="0.2"/>
    <row r="3" spans="2:27" ht="45" customHeight="1" x14ac:dyDescent="0.2">
      <c r="B3" s="73" t="s">
        <v>555</v>
      </c>
      <c r="C3" s="107" t="s">
        <v>281</v>
      </c>
      <c r="D3" s="107" t="s">
        <v>282</v>
      </c>
      <c r="E3" s="107" t="s">
        <v>283</v>
      </c>
      <c r="F3" s="108" t="s">
        <v>284</v>
      </c>
      <c r="G3" s="104" t="s">
        <v>243</v>
      </c>
      <c r="J3" s="328" t="s">
        <v>436</v>
      </c>
      <c r="K3" s="192"/>
      <c r="L3" s="192"/>
      <c r="V3" s="237"/>
      <c r="AA3" s="237"/>
    </row>
    <row r="4" spans="2:27" ht="15" customHeight="1" x14ac:dyDescent="0.2">
      <c r="B4" s="39" t="s">
        <v>175</v>
      </c>
      <c r="C4" s="309">
        <v>18</v>
      </c>
      <c r="D4" s="309">
        <v>1.4</v>
      </c>
      <c r="E4" s="309">
        <v>2</v>
      </c>
      <c r="F4" s="441">
        <f>((4*((C19-C4)^2))+((D19-D4)^2)+((E19-E4)^2))^0.5</f>
        <v>9.7416631023660436</v>
      </c>
      <c r="G4" s="97" t="s">
        <v>236</v>
      </c>
      <c r="J4" s="329" t="s">
        <v>336</v>
      </c>
      <c r="K4" s="329"/>
      <c r="L4" s="329" t="s">
        <v>285</v>
      </c>
    </row>
    <row r="5" spans="2:27" ht="15" customHeight="1" x14ac:dyDescent="0.2">
      <c r="B5" s="5" t="s">
        <v>186</v>
      </c>
      <c r="C5" s="312">
        <v>15.5</v>
      </c>
      <c r="D5" s="312">
        <v>10.4</v>
      </c>
      <c r="E5" s="312">
        <v>7</v>
      </c>
      <c r="F5" s="443">
        <f>((4*((C19-C5)^2))+((D19-D5)^2)+((E19-E5)^2))^0.5</f>
        <v>5.1672042731055257</v>
      </c>
      <c r="G5" s="181" t="s">
        <v>235</v>
      </c>
      <c r="J5" s="112" t="s">
        <v>485</v>
      </c>
      <c r="K5" s="112"/>
      <c r="L5" s="112" t="s">
        <v>486</v>
      </c>
    </row>
    <row r="6" spans="2:27" ht="15" customHeight="1" x14ac:dyDescent="0.2">
      <c r="B6" s="304" t="s">
        <v>143</v>
      </c>
      <c r="C6" s="330">
        <v>16.8</v>
      </c>
      <c r="D6" s="330">
        <v>5.7</v>
      </c>
      <c r="E6" s="330">
        <v>8</v>
      </c>
      <c r="F6" s="442">
        <f>((4*((C19-C6)^2))+((D19-D6)^2)+((E19-E6)^2))^0.5</f>
        <v>4.3370496884402883</v>
      </c>
      <c r="G6" s="305" t="s">
        <v>235</v>
      </c>
      <c r="J6" s="193" t="s">
        <v>337</v>
      </c>
      <c r="K6" s="193"/>
      <c r="L6" s="193" t="s">
        <v>286</v>
      </c>
    </row>
    <row r="7" spans="2:27" ht="15" customHeight="1" x14ac:dyDescent="0.2"/>
    <row r="8" spans="2:27" ht="15" customHeight="1" x14ac:dyDescent="0.2">
      <c r="B8" s="515" t="s">
        <v>614</v>
      </c>
      <c r="C8" s="515"/>
      <c r="D8" s="515"/>
      <c r="E8" s="515"/>
      <c r="F8" s="515"/>
      <c r="G8" s="515"/>
    </row>
    <row r="9" spans="2:27" ht="15" customHeight="1" x14ac:dyDescent="0.2">
      <c r="B9" s="515"/>
      <c r="C9" s="515"/>
      <c r="D9" s="515"/>
      <c r="E9" s="515"/>
      <c r="F9" s="515"/>
      <c r="G9" s="515"/>
    </row>
    <row r="10" spans="2:27" ht="15" customHeight="1" x14ac:dyDescent="0.2">
      <c r="B10" s="515"/>
      <c r="C10" s="515"/>
      <c r="D10" s="515"/>
      <c r="E10" s="515"/>
      <c r="F10" s="515"/>
      <c r="G10" s="515"/>
    </row>
    <row r="11" spans="2:27" ht="15" customHeight="1" x14ac:dyDescent="0.2">
      <c r="B11" s="515"/>
      <c r="C11" s="515"/>
      <c r="D11" s="515"/>
      <c r="E11" s="515"/>
      <c r="F11" s="515"/>
      <c r="G11" s="515"/>
    </row>
    <row r="12" spans="2:27" ht="15" customHeight="1" x14ac:dyDescent="0.2">
      <c r="B12" s="515"/>
      <c r="C12" s="515"/>
      <c r="D12" s="515"/>
      <c r="E12" s="515"/>
      <c r="F12" s="515"/>
      <c r="G12" s="515"/>
    </row>
    <row r="13" spans="2:27" ht="15" customHeight="1" x14ac:dyDescent="0.2">
      <c r="B13" s="515"/>
      <c r="C13" s="515"/>
      <c r="D13" s="515"/>
      <c r="E13" s="515"/>
      <c r="F13" s="515"/>
      <c r="G13" s="515"/>
    </row>
    <row r="14" spans="2:27" ht="15" customHeight="1" x14ac:dyDescent="0.2">
      <c r="B14" s="515"/>
      <c r="C14" s="515"/>
      <c r="D14" s="515"/>
      <c r="E14" s="515"/>
      <c r="F14" s="515"/>
      <c r="G14" s="515"/>
    </row>
    <row r="15" spans="2:27" ht="15" customHeight="1" x14ac:dyDescent="0.2">
      <c r="B15" s="515"/>
      <c r="C15" s="515"/>
      <c r="D15" s="515"/>
      <c r="E15" s="515"/>
      <c r="F15" s="515"/>
      <c r="G15" s="515"/>
    </row>
    <row r="16" spans="2:27" ht="15" customHeight="1" x14ac:dyDescent="0.2"/>
    <row r="17" spans="2:8" ht="15" customHeight="1" x14ac:dyDescent="0.2"/>
    <row r="18" spans="2:8" ht="15" customHeight="1" x14ac:dyDescent="0.2">
      <c r="B18" s="318" t="s">
        <v>429</v>
      </c>
      <c r="C18" s="319" t="s">
        <v>281</v>
      </c>
      <c r="D18" s="319" t="s">
        <v>282</v>
      </c>
      <c r="E18" s="319" t="s">
        <v>283</v>
      </c>
      <c r="F18" s="516" t="s">
        <v>431</v>
      </c>
      <c r="G18" s="516"/>
      <c r="H18" s="516"/>
    </row>
    <row r="19" spans="2:8" ht="15" customHeight="1" x14ac:dyDescent="0.2">
      <c r="B19" s="110" t="s">
        <v>430</v>
      </c>
      <c r="C19" s="331">
        <v>18</v>
      </c>
      <c r="D19" s="331">
        <v>9.3000000000000007</v>
      </c>
      <c r="E19" s="331">
        <v>7.7</v>
      </c>
      <c r="F19" s="192" t="s">
        <v>432</v>
      </c>
      <c r="G19" s="192"/>
      <c r="H19" s="192"/>
    </row>
    <row r="20" spans="2:8" ht="15" customHeight="1" x14ac:dyDescent="0.2"/>
    <row r="21" spans="2:8" ht="15" customHeight="1" x14ac:dyDescent="0.2">
      <c r="C21" s="111"/>
      <c r="D21" s="111"/>
      <c r="E21" s="111"/>
    </row>
    <row r="22" spans="2:8" ht="15" customHeight="1" x14ac:dyDescent="0.2"/>
    <row r="23" spans="2:8" ht="15" customHeight="1" x14ac:dyDescent="0.2"/>
    <row r="24" spans="2:8" ht="15" customHeight="1" x14ac:dyDescent="0.2"/>
    <row r="25" spans="2:8" ht="15" customHeight="1" x14ac:dyDescent="0.2"/>
    <row r="26" spans="2:8" ht="15" customHeight="1" x14ac:dyDescent="0.2"/>
    <row r="27" spans="2:8" ht="15" customHeight="1" x14ac:dyDescent="0.2"/>
    <row r="28" spans="2:8" ht="15" customHeight="1" x14ac:dyDescent="0.2"/>
    <row r="29" spans="2:8" ht="15" customHeight="1" x14ac:dyDescent="0.2"/>
    <row r="30" spans="2:8" ht="15" customHeight="1" x14ac:dyDescent="0.2"/>
    <row r="31" spans="2:8" ht="15" customHeight="1" x14ac:dyDescent="0.2"/>
    <row r="32" spans="2: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sheetData>
  <mergeCells count="2">
    <mergeCell ref="B8:G15"/>
    <mergeCell ref="F18:H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67"/>
  <sheetViews>
    <sheetView zoomScale="80" zoomScaleNormal="80" workbookViewId="0"/>
  </sheetViews>
  <sheetFormatPr defaultColWidth="9.140625" defaultRowHeight="12.75" x14ac:dyDescent="0.2"/>
  <cols>
    <col min="1" max="1" width="1.42578125" style="39" customWidth="1"/>
    <col min="2" max="2" width="55.7109375" style="8" customWidth="1"/>
    <col min="3" max="3" width="12.7109375" style="20" customWidth="1"/>
    <col min="4" max="4" width="51.42578125" style="20" customWidth="1"/>
    <col min="5" max="5" width="3.42578125" style="22" customWidth="1"/>
    <col min="6" max="7" width="12.7109375" style="39" customWidth="1"/>
    <col min="8" max="8" width="9.140625" style="111"/>
    <col min="9" max="9" width="9.140625" style="39"/>
    <col min="10" max="10" width="3.28515625" style="39" customWidth="1"/>
    <col min="11" max="17" width="9.140625" style="39"/>
    <col min="18" max="18" width="17.140625" style="39" customWidth="1"/>
    <col min="19" max="19" width="114.28515625" style="39" customWidth="1"/>
    <col min="20" max="16384" width="9.140625" style="39"/>
  </cols>
  <sheetData>
    <row r="2" spans="2:21" x14ac:dyDescent="0.2">
      <c r="E2" s="78"/>
    </row>
    <row r="3" spans="2:21" ht="45" customHeight="1" x14ac:dyDescent="0.2">
      <c r="B3" s="73" t="s">
        <v>0</v>
      </c>
      <c r="C3" s="75" t="s">
        <v>230</v>
      </c>
      <c r="D3" s="75" t="s">
        <v>212</v>
      </c>
      <c r="E3" s="72"/>
      <c r="F3" s="76" t="s">
        <v>275</v>
      </c>
      <c r="G3" s="76" t="s">
        <v>276</v>
      </c>
      <c r="H3" s="77" t="s">
        <v>264</v>
      </c>
      <c r="I3" s="105" t="s">
        <v>285</v>
      </c>
      <c r="K3" s="189" t="s">
        <v>277</v>
      </c>
      <c r="L3" s="85"/>
      <c r="M3" s="85"/>
      <c r="N3" s="85"/>
      <c r="O3" s="86"/>
      <c r="P3" s="87"/>
      <c r="R3" s="322" t="s">
        <v>435</v>
      </c>
      <c r="S3" s="118"/>
      <c r="T3" s="118"/>
      <c r="U3" s="118"/>
    </row>
    <row r="4" spans="2:21" x14ac:dyDescent="0.2">
      <c r="B4" s="1" t="s">
        <v>203</v>
      </c>
      <c r="C4" s="11">
        <v>38.200000000000003</v>
      </c>
      <c r="D4" s="10" t="s">
        <v>216</v>
      </c>
      <c r="E4" s="19"/>
      <c r="F4" s="59">
        <f t="shared" ref="F4:F36" si="0">$K$9-C4</f>
        <v>0</v>
      </c>
      <c r="G4" s="95">
        <f t="shared" ref="G4:G21" si="1">(F4^2)^0.5</f>
        <v>0</v>
      </c>
      <c r="H4" s="197">
        <v>1</v>
      </c>
      <c r="I4" s="98" t="str">
        <f t="shared" ref="I4:I36" si="2">IF(G4&lt;=$N$9,"PASS","FAIL")</f>
        <v>PASS</v>
      </c>
      <c r="K4" s="93">
        <f>46.7-(0.1*298)</f>
        <v>16.900000000000002</v>
      </c>
      <c r="L4" s="88" t="s">
        <v>233</v>
      </c>
      <c r="M4" s="88"/>
      <c r="N4" s="88"/>
      <c r="O4" s="88"/>
      <c r="P4" s="89"/>
      <c r="R4" s="116" t="s">
        <v>223</v>
      </c>
      <c r="S4" s="116" t="s">
        <v>288</v>
      </c>
      <c r="T4" s="116"/>
      <c r="U4" s="116"/>
    </row>
    <row r="5" spans="2:21" x14ac:dyDescent="0.2">
      <c r="B5" s="6" t="s">
        <v>42</v>
      </c>
      <c r="C5" s="14">
        <v>38</v>
      </c>
      <c r="D5" s="13" t="s">
        <v>215</v>
      </c>
      <c r="E5" s="28"/>
      <c r="F5" s="59">
        <f t="shared" si="0"/>
        <v>0.20000000000000284</v>
      </c>
      <c r="G5" s="95">
        <f t="shared" si="1"/>
        <v>0.20000000000000284</v>
      </c>
      <c r="H5" s="197">
        <f>1+H4</f>
        <v>2</v>
      </c>
      <c r="I5" s="98" t="str">
        <f t="shared" si="2"/>
        <v>PASS</v>
      </c>
      <c r="K5" s="93">
        <f>75-(0.1*298)</f>
        <v>45.2</v>
      </c>
      <c r="L5" s="88" t="s">
        <v>232</v>
      </c>
      <c r="M5" s="88"/>
      <c r="N5" s="88"/>
      <c r="O5" s="90"/>
      <c r="P5" s="89"/>
      <c r="R5" s="116" t="s">
        <v>222</v>
      </c>
      <c r="S5" s="116" t="s">
        <v>289</v>
      </c>
      <c r="T5" s="116"/>
      <c r="U5" s="116"/>
    </row>
    <row r="6" spans="2:21" x14ac:dyDescent="0.2">
      <c r="B6" s="6" t="s">
        <v>64</v>
      </c>
      <c r="C6" s="9">
        <v>38</v>
      </c>
      <c r="D6" s="10" t="s">
        <v>216</v>
      </c>
      <c r="E6" s="19"/>
      <c r="F6" s="59">
        <f t="shared" si="0"/>
        <v>0.20000000000000284</v>
      </c>
      <c r="G6" s="95">
        <f t="shared" si="1"/>
        <v>0.20000000000000284</v>
      </c>
      <c r="H6" s="197">
        <f t="shared" ref="H6:H71" si="3">1+H5</f>
        <v>3</v>
      </c>
      <c r="I6" s="98" t="str">
        <f t="shared" si="2"/>
        <v>PASS</v>
      </c>
      <c r="K6" s="185">
        <f>68-29.8</f>
        <v>38.200000000000003</v>
      </c>
      <c r="L6" s="88" t="s">
        <v>356</v>
      </c>
      <c r="M6" s="88"/>
      <c r="N6" s="88"/>
      <c r="O6" s="88"/>
      <c r="P6" s="89"/>
      <c r="R6" s="321" t="s">
        <v>495</v>
      </c>
      <c r="S6" s="320" t="s">
        <v>496</v>
      </c>
      <c r="T6" s="50"/>
      <c r="U6" s="50"/>
    </row>
    <row r="7" spans="2:21" x14ac:dyDescent="0.2">
      <c r="B7" s="2" t="s">
        <v>71</v>
      </c>
      <c r="C7" s="11">
        <v>37.96</v>
      </c>
      <c r="D7" s="10" t="s">
        <v>216</v>
      </c>
      <c r="E7" s="19"/>
      <c r="F7" s="59">
        <f t="shared" si="0"/>
        <v>0.24000000000000199</v>
      </c>
      <c r="G7" s="95">
        <f t="shared" si="1"/>
        <v>0.24000000000000199</v>
      </c>
      <c r="H7" s="197">
        <f t="shared" si="3"/>
        <v>4</v>
      </c>
      <c r="I7" s="98" t="str">
        <f t="shared" si="2"/>
        <v>PASS</v>
      </c>
      <c r="K7" s="94">
        <v>37.44</v>
      </c>
      <c r="L7" s="91" t="s">
        <v>278</v>
      </c>
      <c r="M7" s="91"/>
      <c r="N7" s="91"/>
      <c r="O7" s="91"/>
      <c r="P7" s="92"/>
      <c r="R7" s="321" t="s">
        <v>494</v>
      </c>
      <c r="S7" s="320" t="s">
        <v>498</v>
      </c>
      <c r="T7" s="50"/>
      <c r="U7" s="50"/>
    </row>
    <row r="8" spans="2:21" x14ac:dyDescent="0.2">
      <c r="B8" s="4" t="s">
        <v>50</v>
      </c>
      <c r="C8" s="14">
        <v>37.799999999999997</v>
      </c>
      <c r="D8" s="10" t="s">
        <v>219</v>
      </c>
      <c r="E8" s="19"/>
      <c r="F8" s="59">
        <f>$K$9-C8</f>
        <v>0.40000000000000568</v>
      </c>
      <c r="G8" s="95">
        <f t="shared" si="1"/>
        <v>0.40000000000000568</v>
      </c>
      <c r="H8" s="197">
        <f t="shared" si="3"/>
        <v>5</v>
      </c>
      <c r="I8" s="98" t="str">
        <f t="shared" si="2"/>
        <v>PASS</v>
      </c>
      <c r="K8" s="83"/>
      <c r="R8" s="116" t="s">
        <v>216</v>
      </c>
      <c r="S8" s="116" t="s">
        <v>269</v>
      </c>
      <c r="T8" s="115" t="s">
        <v>270</v>
      </c>
      <c r="U8" s="116"/>
    </row>
    <row r="9" spans="2:21" x14ac:dyDescent="0.2">
      <c r="B9" s="5" t="s">
        <v>100</v>
      </c>
      <c r="C9" s="11">
        <v>37.700000000000003</v>
      </c>
      <c r="D9" s="10" t="s">
        <v>216</v>
      </c>
      <c r="E9" s="19"/>
      <c r="F9" s="59">
        <f t="shared" si="0"/>
        <v>0.5</v>
      </c>
      <c r="G9" s="95">
        <f t="shared" si="1"/>
        <v>0.5</v>
      </c>
      <c r="H9" s="197">
        <f t="shared" si="3"/>
        <v>6</v>
      </c>
      <c r="I9" s="98" t="str">
        <f t="shared" si="2"/>
        <v>PASS</v>
      </c>
      <c r="K9" s="80">
        <v>38.200000000000003</v>
      </c>
      <c r="L9" s="40" t="s">
        <v>279</v>
      </c>
      <c r="M9" s="40"/>
      <c r="N9" s="191">
        <v>6</v>
      </c>
      <c r="O9" s="40" t="s">
        <v>346</v>
      </c>
      <c r="P9" s="40"/>
      <c r="R9" s="116" t="s">
        <v>219</v>
      </c>
      <c r="S9" s="116" t="s">
        <v>272</v>
      </c>
      <c r="T9" s="115"/>
      <c r="U9" s="116"/>
    </row>
    <row r="10" spans="2:21" x14ac:dyDescent="0.2">
      <c r="B10" s="6" t="s">
        <v>195</v>
      </c>
      <c r="C10" s="11">
        <v>38.79</v>
      </c>
      <c r="D10" s="13" t="s">
        <v>217</v>
      </c>
      <c r="E10" s="28"/>
      <c r="F10" s="59">
        <f t="shared" si="0"/>
        <v>-0.58999999999999631</v>
      </c>
      <c r="G10" s="95">
        <f t="shared" si="1"/>
        <v>0.58999999999999631</v>
      </c>
      <c r="H10" s="197">
        <f t="shared" si="3"/>
        <v>7</v>
      </c>
      <c r="I10" s="98" t="str">
        <f t="shared" si="2"/>
        <v>PASS</v>
      </c>
      <c r="K10" s="83">
        <f>K9-N9</f>
        <v>32.200000000000003</v>
      </c>
      <c r="L10" s="188" t="s">
        <v>615</v>
      </c>
      <c r="N10" s="200" t="s">
        <v>235</v>
      </c>
      <c r="R10" s="116" t="s">
        <v>215</v>
      </c>
      <c r="S10" s="117" t="s">
        <v>273</v>
      </c>
      <c r="T10" s="115" t="s">
        <v>268</v>
      </c>
      <c r="U10" s="117"/>
    </row>
    <row r="11" spans="2:21" x14ac:dyDescent="0.2">
      <c r="B11" s="2" t="s">
        <v>138</v>
      </c>
      <c r="C11" s="14">
        <v>38.82</v>
      </c>
      <c r="D11" s="13" t="s">
        <v>215</v>
      </c>
      <c r="E11" s="28"/>
      <c r="F11" s="59">
        <f t="shared" si="0"/>
        <v>-0.61999999999999744</v>
      </c>
      <c r="G11" s="95">
        <f t="shared" si="1"/>
        <v>0.61999999999999744</v>
      </c>
      <c r="H11" s="197">
        <f t="shared" si="3"/>
        <v>8</v>
      </c>
      <c r="I11" s="98" t="str">
        <f t="shared" si="2"/>
        <v>PASS</v>
      </c>
      <c r="K11" s="83">
        <f>K9+N9</f>
        <v>44.2</v>
      </c>
      <c r="L11" s="188" t="s">
        <v>616</v>
      </c>
      <c r="N11" s="200" t="s">
        <v>236</v>
      </c>
      <c r="R11" s="119" t="s">
        <v>263</v>
      </c>
      <c r="S11" s="50" t="s">
        <v>229</v>
      </c>
      <c r="T11" s="115" t="s">
        <v>290</v>
      </c>
      <c r="U11" s="50"/>
    </row>
    <row r="12" spans="2:21" ht="12.75" customHeight="1" x14ac:dyDescent="0.2">
      <c r="B12" s="4" t="s">
        <v>3</v>
      </c>
      <c r="C12" s="14">
        <v>37.58</v>
      </c>
      <c r="D12" s="13" t="s">
        <v>215</v>
      </c>
      <c r="E12" s="28"/>
      <c r="F12" s="59">
        <f t="shared" si="0"/>
        <v>0.62000000000000455</v>
      </c>
      <c r="G12" s="95">
        <f t="shared" si="1"/>
        <v>0.62000000000000455</v>
      </c>
      <c r="H12" s="197">
        <f t="shared" si="3"/>
        <v>9</v>
      </c>
      <c r="I12" s="98" t="str">
        <f t="shared" si="2"/>
        <v>PASS</v>
      </c>
      <c r="O12" s="79"/>
      <c r="R12" s="50" t="s">
        <v>251</v>
      </c>
      <c r="S12" s="50" t="s">
        <v>313</v>
      </c>
      <c r="T12" s="50"/>
      <c r="U12" s="50"/>
    </row>
    <row r="13" spans="2:21" ht="12.75" customHeight="1" x14ac:dyDescent="0.2">
      <c r="B13" s="6" t="s">
        <v>78</v>
      </c>
      <c r="C13" s="11">
        <v>37.5</v>
      </c>
      <c r="D13" s="10" t="s">
        <v>219</v>
      </c>
      <c r="E13" s="19"/>
      <c r="F13" s="59">
        <f t="shared" si="0"/>
        <v>0.70000000000000284</v>
      </c>
      <c r="G13" s="95">
        <f t="shared" si="1"/>
        <v>0.70000000000000284</v>
      </c>
      <c r="H13" s="197">
        <f t="shared" si="3"/>
        <v>10</v>
      </c>
      <c r="I13" s="98" t="str">
        <f t="shared" si="2"/>
        <v>PASS</v>
      </c>
      <c r="K13" s="515" t="s">
        <v>492</v>
      </c>
      <c r="L13" s="515"/>
      <c r="M13" s="515"/>
      <c r="N13" s="515"/>
      <c r="O13" s="515"/>
      <c r="P13" s="515"/>
      <c r="R13" s="321" t="s">
        <v>433</v>
      </c>
      <c r="S13" s="320" t="s">
        <v>434</v>
      </c>
      <c r="T13" s="50"/>
      <c r="U13" s="50"/>
    </row>
    <row r="14" spans="2:21" x14ac:dyDescent="0.2">
      <c r="B14" s="6" t="s">
        <v>128</v>
      </c>
      <c r="C14" s="11">
        <v>37.5</v>
      </c>
      <c r="D14" s="10" t="s">
        <v>216</v>
      </c>
      <c r="E14" s="19"/>
      <c r="F14" s="59">
        <f t="shared" si="0"/>
        <v>0.70000000000000284</v>
      </c>
      <c r="G14" s="95">
        <f t="shared" si="1"/>
        <v>0.70000000000000284</v>
      </c>
      <c r="H14" s="197">
        <f t="shared" si="3"/>
        <v>11</v>
      </c>
      <c r="I14" s="98" t="str">
        <f t="shared" si="2"/>
        <v>PASS</v>
      </c>
      <c r="K14" s="515"/>
      <c r="L14" s="515"/>
      <c r="M14" s="515"/>
      <c r="N14" s="515"/>
      <c r="O14" s="515"/>
      <c r="P14" s="515"/>
      <c r="R14" s="321" t="s">
        <v>493</v>
      </c>
      <c r="S14" s="320" t="s">
        <v>497</v>
      </c>
      <c r="T14" s="50"/>
      <c r="U14" s="50"/>
    </row>
    <row r="15" spans="2:21" x14ac:dyDescent="0.2">
      <c r="B15" s="6" t="s">
        <v>23</v>
      </c>
      <c r="C15" s="11">
        <v>39</v>
      </c>
      <c r="D15" s="47" t="s">
        <v>217</v>
      </c>
      <c r="E15" s="48"/>
      <c r="F15" s="59">
        <f t="shared" si="0"/>
        <v>-0.79999999999999716</v>
      </c>
      <c r="G15" s="95">
        <f t="shared" si="1"/>
        <v>0.79999999999999716</v>
      </c>
      <c r="H15" s="197">
        <f t="shared" si="3"/>
        <v>12</v>
      </c>
      <c r="I15" s="98" t="str">
        <f t="shared" si="2"/>
        <v>PASS</v>
      </c>
      <c r="K15" s="515"/>
      <c r="L15" s="515"/>
      <c r="M15" s="515"/>
      <c r="N15" s="515"/>
      <c r="O15" s="515"/>
      <c r="P15" s="515"/>
    </row>
    <row r="16" spans="2:21" x14ac:dyDescent="0.2">
      <c r="B16" s="4" t="s">
        <v>44</v>
      </c>
      <c r="C16" s="14">
        <v>39</v>
      </c>
      <c r="D16" s="13" t="s">
        <v>215</v>
      </c>
      <c r="E16" s="28"/>
      <c r="F16" s="59">
        <f t="shared" si="0"/>
        <v>-0.79999999999999716</v>
      </c>
      <c r="G16" s="95">
        <f t="shared" si="1"/>
        <v>0.79999999999999716</v>
      </c>
      <c r="H16" s="197">
        <f t="shared" si="3"/>
        <v>13</v>
      </c>
      <c r="I16" s="98" t="str">
        <f t="shared" si="2"/>
        <v>PASS</v>
      </c>
      <c r="K16" s="515"/>
      <c r="L16" s="515"/>
      <c r="M16" s="515"/>
      <c r="N16" s="515"/>
      <c r="O16" s="515"/>
      <c r="P16" s="515"/>
    </row>
    <row r="17" spans="1:21" x14ac:dyDescent="0.2">
      <c r="B17" s="6" t="s">
        <v>201</v>
      </c>
      <c r="C17" s="11">
        <v>37.19</v>
      </c>
      <c r="D17" s="13" t="s">
        <v>216</v>
      </c>
      <c r="E17" s="28"/>
      <c r="F17" s="59">
        <f t="shared" si="0"/>
        <v>1.0100000000000051</v>
      </c>
      <c r="G17" s="95">
        <f t="shared" si="1"/>
        <v>1.0100000000000051</v>
      </c>
      <c r="H17" s="197">
        <f t="shared" si="3"/>
        <v>14</v>
      </c>
      <c r="I17" s="98" t="str">
        <f t="shared" si="2"/>
        <v>PASS</v>
      </c>
      <c r="K17" s="515"/>
      <c r="L17" s="515"/>
      <c r="M17" s="515"/>
      <c r="N17" s="515"/>
      <c r="O17" s="515"/>
      <c r="P17" s="515"/>
    </row>
    <row r="18" spans="1:21" x14ac:dyDescent="0.2">
      <c r="B18" s="2" t="s">
        <v>47</v>
      </c>
      <c r="C18" s="14">
        <v>37</v>
      </c>
      <c r="D18" s="13" t="s">
        <v>215</v>
      </c>
      <c r="E18" s="28"/>
      <c r="F18" s="59">
        <f t="shared" si="0"/>
        <v>1.2000000000000028</v>
      </c>
      <c r="G18" s="95">
        <f t="shared" si="1"/>
        <v>1.2000000000000028</v>
      </c>
      <c r="H18" s="197">
        <f t="shared" si="3"/>
        <v>15</v>
      </c>
      <c r="I18" s="98" t="str">
        <f t="shared" si="2"/>
        <v>PASS</v>
      </c>
    </row>
    <row r="19" spans="1:21" x14ac:dyDescent="0.2">
      <c r="B19" s="2" t="s">
        <v>577</v>
      </c>
      <c r="C19" s="14">
        <v>39.700000000000003</v>
      </c>
      <c r="D19" s="13" t="s">
        <v>580</v>
      </c>
      <c r="E19" s="28"/>
      <c r="F19" s="59">
        <f t="shared" si="0"/>
        <v>-1.5</v>
      </c>
      <c r="G19" s="95">
        <f>(F19^2)^0.5</f>
        <v>1.5</v>
      </c>
      <c r="H19" s="197">
        <f t="shared" si="3"/>
        <v>16</v>
      </c>
      <c r="I19" s="98" t="str">
        <f t="shared" si="2"/>
        <v>PASS</v>
      </c>
    </row>
    <row r="20" spans="1:21" x14ac:dyDescent="0.2">
      <c r="B20" s="2" t="s">
        <v>101</v>
      </c>
      <c r="C20" s="14">
        <v>36.61</v>
      </c>
      <c r="D20" s="10" t="s">
        <v>216</v>
      </c>
      <c r="E20" s="19"/>
      <c r="F20" s="59">
        <f t="shared" si="0"/>
        <v>1.5900000000000034</v>
      </c>
      <c r="G20" s="95">
        <f t="shared" si="1"/>
        <v>1.5900000000000034</v>
      </c>
      <c r="H20" s="197">
        <f t="shared" si="3"/>
        <v>17</v>
      </c>
      <c r="I20" s="98" t="str">
        <f t="shared" si="2"/>
        <v>PASS</v>
      </c>
    </row>
    <row r="21" spans="1:21" x14ac:dyDescent="0.2">
      <c r="B21" s="2" t="s">
        <v>187</v>
      </c>
      <c r="C21" s="11">
        <v>39.799999999999997</v>
      </c>
      <c r="D21" s="10" t="s">
        <v>216</v>
      </c>
      <c r="E21" s="19"/>
      <c r="F21" s="59">
        <f t="shared" si="0"/>
        <v>-1.5999999999999943</v>
      </c>
      <c r="G21" s="95">
        <f t="shared" si="1"/>
        <v>1.5999999999999943</v>
      </c>
      <c r="H21" s="197">
        <f t="shared" si="3"/>
        <v>18</v>
      </c>
      <c r="I21" s="98" t="str">
        <f t="shared" si="2"/>
        <v>PASS</v>
      </c>
    </row>
    <row r="22" spans="1:21" x14ac:dyDescent="0.2">
      <c r="B22" s="3" t="s">
        <v>192</v>
      </c>
      <c r="C22" s="11">
        <v>36.6</v>
      </c>
      <c r="D22" s="13" t="s">
        <v>215</v>
      </c>
      <c r="E22" s="28"/>
      <c r="F22" s="59">
        <f t="shared" si="0"/>
        <v>1.6000000000000014</v>
      </c>
      <c r="G22" s="95">
        <f t="shared" ref="G22:G39" si="4">(F22^2)^0.5</f>
        <v>1.6000000000000014</v>
      </c>
      <c r="H22" s="197">
        <f t="shared" si="3"/>
        <v>19</v>
      </c>
      <c r="I22" s="98" t="str">
        <f t="shared" si="2"/>
        <v>PASS</v>
      </c>
    </row>
    <row r="23" spans="1:21" x14ac:dyDescent="0.2">
      <c r="B23" s="2" t="s">
        <v>62</v>
      </c>
      <c r="C23" s="11">
        <v>36.5</v>
      </c>
      <c r="D23" s="10" t="s">
        <v>219</v>
      </c>
      <c r="E23" s="19"/>
      <c r="F23" s="59">
        <f t="shared" si="0"/>
        <v>1.7000000000000028</v>
      </c>
      <c r="G23" s="95">
        <f t="shared" si="4"/>
        <v>1.7000000000000028</v>
      </c>
      <c r="H23" s="197">
        <f t="shared" si="3"/>
        <v>20</v>
      </c>
      <c r="I23" s="98" t="str">
        <f t="shared" si="2"/>
        <v>PASS</v>
      </c>
      <c r="Q23" s="231"/>
      <c r="R23" s="231"/>
      <c r="S23" s="231"/>
      <c r="T23" s="231"/>
      <c r="U23" s="231"/>
    </row>
    <row r="24" spans="1:21" x14ac:dyDescent="0.2">
      <c r="B24" s="2" t="s">
        <v>49</v>
      </c>
      <c r="C24" s="14">
        <v>40.1</v>
      </c>
      <c r="D24" s="13" t="s">
        <v>216</v>
      </c>
      <c r="E24" s="28"/>
      <c r="F24" s="59">
        <f t="shared" si="0"/>
        <v>-1.8999999999999986</v>
      </c>
      <c r="G24" s="95">
        <f t="shared" si="4"/>
        <v>1.8999999999999986</v>
      </c>
      <c r="H24" s="197">
        <f t="shared" si="3"/>
        <v>21</v>
      </c>
      <c r="I24" s="98" t="str">
        <f t="shared" si="2"/>
        <v>PASS</v>
      </c>
      <c r="Q24" s="231"/>
      <c r="R24" s="231"/>
      <c r="S24" s="231"/>
      <c r="T24" s="231"/>
      <c r="U24" s="231"/>
    </row>
    <row r="25" spans="1:21" x14ac:dyDescent="0.2">
      <c r="B25" s="2" t="s">
        <v>106</v>
      </c>
      <c r="C25" s="11">
        <v>36.200000000000003</v>
      </c>
      <c r="D25" s="10" t="s">
        <v>216</v>
      </c>
      <c r="E25" s="19"/>
      <c r="F25" s="59">
        <f t="shared" si="0"/>
        <v>2</v>
      </c>
      <c r="G25" s="95">
        <f t="shared" si="4"/>
        <v>2</v>
      </c>
      <c r="H25" s="197">
        <f t="shared" si="3"/>
        <v>22</v>
      </c>
      <c r="I25" s="98" t="str">
        <f t="shared" si="2"/>
        <v>PASS</v>
      </c>
      <c r="K25" s="83"/>
      <c r="Q25" s="231"/>
      <c r="R25" s="231"/>
      <c r="S25" s="231"/>
      <c r="T25" s="231"/>
      <c r="U25" s="231"/>
    </row>
    <row r="26" spans="1:21" x14ac:dyDescent="0.2">
      <c r="B26" s="6" t="s">
        <v>87</v>
      </c>
      <c r="C26" s="11">
        <v>36</v>
      </c>
      <c r="D26" s="10" t="s">
        <v>216</v>
      </c>
      <c r="E26" s="19"/>
      <c r="F26" s="59">
        <f t="shared" si="0"/>
        <v>2.2000000000000028</v>
      </c>
      <c r="G26" s="95">
        <f t="shared" si="4"/>
        <v>2.2000000000000028</v>
      </c>
      <c r="H26" s="197">
        <f t="shared" si="3"/>
        <v>23</v>
      </c>
      <c r="I26" s="98" t="str">
        <f t="shared" si="2"/>
        <v>PASS</v>
      </c>
      <c r="Q26" s="231"/>
      <c r="R26" s="231"/>
      <c r="S26" s="231"/>
      <c r="T26" s="231"/>
      <c r="U26" s="231"/>
    </row>
    <row r="27" spans="1:21" x14ac:dyDescent="0.2">
      <c r="B27" s="7" t="s">
        <v>261</v>
      </c>
      <c r="C27" s="14">
        <v>40.43</v>
      </c>
      <c r="D27" s="13" t="s">
        <v>215</v>
      </c>
      <c r="E27" s="28"/>
      <c r="F27" s="59">
        <f t="shared" si="0"/>
        <v>-2.2299999999999969</v>
      </c>
      <c r="G27" s="95">
        <f t="shared" si="4"/>
        <v>2.2299999999999969</v>
      </c>
      <c r="H27" s="197">
        <f t="shared" si="3"/>
        <v>24</v>
      </c>
      <c r="I27" s="98" t="str">
        <f t="shared" si="2"/>
        <v>PASS</v>
      </c>
      <c r="Q27" s="231"/>
      <c r="R27" s="231"/>
      <c r="S27" s="231"/>
      <c r="T27" s="231"/>
      <c r="U27" s="231"/>
    </row>
    <row r="28" spans="1:21" x14ac:dyDescent="0.2">
      <c r="B28" s="6" t="s">
        <v>226</v>
      </c>
      <c r="C28" s="14">
        <v>40.700000000000003</v>
      </c>
      <c r="D28" s="13" t="s">
        <v>215</v>
      </c>
      <c r="E28" s="28"/>
      <c r="F28" s="59">
        <f t="shared" si="0"/>
        <v>-2.5</v>
      </c>
      <c r="G28" s="95">
        <f t="shared" si="4"/>
        <v>2.5</v>
      </c>
      <c r="H28" s="197">
        <f t="shared" si="3"/>
        <v>25</v>
      </c>
      <c r="I28" s="98" t="str">
        <f t="shared" si="2"/>
        <v>PASS</v>
      </c>
      <c r="Q28" s="231"/>
      <c r="R28" s="231"/>
      <c r="S28" s="231"/>
      <c r="T28" s="231"/>
      <c r="U28" s="231"/>
    </row>
    <row r="29" spans="1:21" x14ac:dyDescent="0.2">
      <c r="B29" s="2" t="s">
        <v>330</v>
      </c>
      <c r="C29" s="11">
        <v>35.520000000000003</v>
      </c>
      <c r="D29" s="47" t="s">
        <v>433</v>
      </c>
      <c r="E29" s="48"/>
      <c r="F29" s="59">
        <f t="shared" si="0"/>
        <v>2.6799999999999997</v>
      </c>
      <c r="G29" s="95">
        <f t="shared" si="4"/>
        <v>2.6799999999999997</v>
      </c>
      <c r="H29" s="197">
        <f t="shared" si="3"/>
        <v>26</v>
      </c>
      <c r="I29" s="98" t="str">
        <f t="shared" si="2"/>
        <v>PASS</v>
      </c>
      <c r="Q29" s="231"/>
      <c r="R29" s="231"/>
      <c r="S29" s="231"/>
      <c r="T29" s="231"/>
      <c r="U29" s="231"/>
    </row>
    <row r="30" spans="1:21" x14ac:dyDescent="0.2">
      <c r="A30" s="45"/>
      <c r="B30" s="6" t="s">
        <v>79</v>
      </c>
      <c r="C30" s="14">
        <v>35.5</v>
      </c>
      <c r="D30" s="10" t="s">
        <v>216</v>
      </c>
      <c r="E30" s="48"/>
      <c r="F30" s="59">
        <f t="shared" si="0"/>
        <v>2.7000000000000028</v>
      </c>
      <c r="G30" s="95">
        <f t="shared" si="4"/>
        <v>2.7000000000000028</v>
      </c>
      <c r="H30" s="197">
        <f t="shared" si="3"/>
        <v>27</v>
      </c>
      <c r="I30" s="98" t="str">
        <f t="shared" si="2"/>
        <v>PASS</v>
      </c>
      <c r="Q30" s="231"/>
      <c r="R30" s="231"/>
      <c r="S30" s="231"/>
      <c r="T30" s="231"/>
      <c r="U30" s="231"/>
    </row>
    <row r="31" spans="1:21" x14ac:dyDescent="0.2">
      <c r="B31" s="2" t="s">
        <v>209</v>
      </c>
      <c r="C31" s="14">
        <v>35.5</v>
      </c>
      <c r="D31" s="13" t="s">
        <v>215</v>
      </c>
      <c r="E31" s="28"/>
      <c r="F31" s="59">
        <f t="shared" si="0"/>
        <v>2.7000000000000028</v>
      </c>
      <c r="G31" s="95">
        <f t="shared" si="4"/>
        <v>2.7000000000000028</v>
      </c>
      <c r="H31" s="197">
        <f t="shared" si="3"/>
        <v>28</v>
      </c>
      <c r="I31" s="98" t="str">
        <f t="shared" si="2"/>
        <v>PASS</v>
      </c>
      <c r="Q31" s="231"/>
      <c r="R31" s="231"/>
      <c r="S31" s="231"/>
      <c r="T31" s="231"/>
      <c r="U31" s="231"/>
    </row>
    <row r="32" spans="1:21" x14ac:dyDescent="0.2">
      <c r="B32" s="6" t="s">
        <v>73</v>
      </c>
      <c r="C32" s="11">
        <v>41.12</v>
      </c>
      <c r="D32" s="47" t="s">
        <v>217</v>
      </c>
      <c r="E32" s="48"/>
      <c r="F32" s="59">
        <f t="shared" si="0"/>
        <v>-2.9199999999999946</v>
      </c>
      <c r="G32" s="95">
        <f t="shared" si="4"/>
        <v>2.9199999999999946</v>
      </c>
      <c r="H32" s="197">
        <f t="shared" si="3"/>
        <v>29</v>
      </c>
      <c r="I32" s="98" t="str">
        <f t="shared" si="2"/>
        <v>PASS</v>
      </c>
      <c r="Q32" s="231"/>
      <c r="R32" s="81" t="s">
        <v>234</v>
      </c>
      <c r="S32" s="61">
        <v>0</v>
      </c>
      <c r="T32" s="238">
        <f>N9</f>
        <v>6</v>
      </c>
      <c r="U32" s="231"/>
    </row>
    <row r="33" spans="1:21" x14ac:dyDescent="0.2">
      <c r="B33" s="3" t="s">
        <v>9</v>
      </c>
      <c r="C33" s="11">
        <v>35.17</v>
      </c>
      <c r="D33" s="10" t="s">
        <v>216</v>
      </c>
      <c r="E33" s="19"/>
      <c r="F33" s="59">
        <f t="shared" si="0"/>
        <v>3.0300000000000011</v>
      </c>
      <c r="G33" s="95">
        <f t="shared" si="4"/>
        <v>3.0300000000000011</v>
      </c>
      <c r="H33" s="197">
        <f t="shared" si="3"/>
        <v>30</v>
      </c>
      <c r="I33" s="98" t="str">
        <f t="shared" si="2"/>
        <v>PASS</v>
      </c>
      <c r="Q33" s="231"/>
      <c r="R33" s="82"/>
      <c r="S33" s="43">
        <v>80</v>
      </c>
      <c r="T33" s="239">
        <f>N9</f>
        <v>6</v>
      </c>
      <c r="U33" s="231"/>
    </row>
    <row r="34" spans="1:21" x14ac:dyDescent="0.2">
      <c r="B34" s="5" t="s">
        <v>189</v>
      </c>
      <c r="C34" s="14">
        <v>35.049999999999997</v>
      </c>
      <c r="D34" s="13" t="s">
        <v>215</v>
      </c>
      <c r="E34" s="28"/>
      <c r="F34" s="59">
        <f t="shared" si="0"/>
        <v>3.1500000000000057</v>
      </c>
      <c r="G34" s="95">
        <f t="shared" si="4"/>
        <v>3.1500000000000057</v>
      </c>
      <c r="H34" s="197">
        <f t="shared" si="3"/>
        <v>31</v>
      </c>
      <c r="I34" s="98" t="str">
        <f t="shared" si="2"/>
        <v>PASS</v>
      </c>
      <c r="Q34" s="231"/>
      <c r="R34" s="231"/>
      <c r="S34" s="231"/>
      <c r="T34" s="231"/>
      <c r="U34" s="231"/>
    </row>
    <row r="35" spans="1:21" x14ac:dyDescent="0.2">
      <c r="B35" s="6" t="s">
        <v>91</v>
      </c>
      <c r="C35" s="14">
        <v>41.39</v>
      </c>
      <c r="D35" s="13" t="s">
        <v>215</v>
      </c>
      <c r="E35" s="28"/>
      <c r="F35" s="59">
        <f t="shared" si="0"/>
        <v>-3.1899999999999977</v>
      </c>
      <c r="G35" s="95">
        <f t="shared" si="4"/>
        <v>3.1899999999999977</v>
      </c>
      <c r="H35" s="197">
        <f t="shared" si="3"/>
        <v>32</v>
      </c>
      <c r="I35" s="98" t="str">
        <f t="shared" si="2"/>
        <v>PASS</v>
      </c>
      <c r="Q35" s="231"/>
      <c r="R35" s="231"/>
      <c r="S35" s="231"/>
      <c r="T35" s="231"/>
      <c r="U35" s="231"/>
    </row>
    <row r="36" spans="1:21" x14ac:dyDescent="0.2">
      <c r="B36" s="4" t="s">
        <v>36</v>
      </c>
      <c r="C36" s="14">
        <v>35</v>
      </c>
      <c r="D36" s="13" t="s">
        <v>215</v>
      </c>
      <c r="E36" s="28"/>
      <c r="F36" s="59">
        <f t="shared" si="0"/>
        <v>3.2000000000000028</v>
      </c>
      <c r="G36" s="95">
        <f t="shared" si="4"/>
        <v>3.2000000000000028</v>
      </c>
      <c r="H36" s="197">
        <f t="shared" si="3"/>
        <v>33</v>
      </c>
      <c r="I36" s="98" t="str">
        <f t="shared" si="2"/>
        <v>PASS</v>
      </c>
      <c r="Q36" s="231"/>
      <c r="R36" s="231"/>
      <c r="S36" s="231"/>
      <c r="T36" s="231"/>
      <c r="U36" s="231"/>
    </row>
    <row r="37" spans="1:21" x14ac:dyDescent="0.2">
      <c r="B37" s="2" t="s">
        <v>69</v>
      </c>
      <c r="C37" s="14">
        <v>35</v>
      </c>
      <c r="D37" s="10" t="s">
        <v>219</v>
      </c>
      <c r="E37" s="19"/>
      <c r="F37" s="59">
        <f t="shared" ref="F37:F68" si="5">$K$9-C37</f>
        <v>3.2000000000000028</v>
      </c>
      <c r="G37" s="95">
        <f t="shared" si="4"/>
        <v>3.2000000000000028</v>
      </c>
      <c r="H37" s="197">
        <f t="shared" si="3"/>
        <v>34</v>
      </c>
      <c r="I37" s="98" t="str">
        <f t="shared" ref="I37:I68" si="6">IF(G37&lt;=$N$9,"PASS","FAIL")</f>
        <v>PASS</v>
      </c>
      <c r="Q37" s="231"/>
      <c r="R37" s="231"/>
      <c r="S37" s="231"/>
      <c r="T37" s="231"/>
      <c r="U37" s="231"/>
    </row>
    <row r="38" spans="1:21" x14ac:dyDescent="0.2">
      <c r="B38" s="5" t="s">
        <v>132</v>
      </c>
      <c r="C38" s="14">
        <v>35</v>
      </c>
      <c r="D38" s="13" t="s">
        <v>215</v>
      </c>
      <c r="E38" s="28"/>
      <c r="F38" s="59">
        <f t="shared" si="5"/>
        <v>3.2000000000000028</v>
      </c>
      <c r="G38" s="95">
        <f t="shared" si="4"/>
        <v>3.2000000000000028</v>
      </c>
      <c r="H38" s="197">
        <f t="shared" si="3"/>
        <v>35</v>
      </c>
      <c r="I38" s="98" t="str">
        <f t="shared" si="6"/>
        <v>PASS</v>
      </c>
      <c r="Q38" s="231"/>
      <c r="R38" s="231"/>
      <c r="S38" s="231"/>
      <c r="T38" s="231"/>
      <c r="U38" s="231"/>
    </row>
    <row r="39" spans="1:21" x14ac:dyDescent="0.2">
      <c r="A39" s="41"/>
      <c r="B39" s="2" t="s">
        <v>97</v>
      </c>
      <c r="C39" s="11">
        <v>34.72</v>
      </c>
      <c r="D39" s="10" t="s">
        <v>216</v>
      </c>
      <c r="E39" s="19"/>
      <c r="F39" s="59">
        <f t="shared" si="5"/>
        <v>3.480000000000004</v>
      </c>
      <c r="G39" s="95">
        <f t="shared" si="4"/>
        <v>3.480000000000004</v>
      </c>
      <c r="H39" s="197">
        <f t="shared" si="3"/>
        <v>36</v>
      </c>
      <c r="I39" s="98" t="str">
        <f t="shared" si="6"/>
        <v>PASS</v>
      </c>
      <c r="Q39" s="231"/>
      <c r="R39" s="231"/>
      <c r="S39" s="231"/>
      <c r="T39" s="231"/>
      <c r="U39" s="231"/>
    </row>
    <row r="40" spans="1:21" x14ac:dyDescent="0.2">
      <c r="A40" s="41"/>
      <c r="B40" s="5" t="s">
        <v>24</v>
      </c>
      <c r="C40" s="14">
        <v>33.909999999999997</v>
      </c>
      <c r="D40" s="13" t="s">
        <v>215</v>
      </c>
      <c r="E40" s="28"/>
      <c r="F40" s="59">
        <f t="shared" si="5"/>
        <v>4.2900000000000063</v>
      </c>
      <c r="G40" s="95">
        <f t="shared" ref="G40:G68" si="7">(F40^2)^0.5</f>
        <v>4.2900000000000063</v>
      </c>
      <c r="H40" s="197">
        <f t="shared" si="3"/>
        <v>37</v>
      </c>
      <c r="I40" s="98" t="str">
        <f t="shared" si="6"/>
        <v>PASS</v>
      </c>
      <c r="Q40" s="231"/>
      <c r="R40" s="231"/>
      <c r="S40" s="231"/>
      <c r="T40" s="231"/>
      <c r="U40" s="231"/>
    </row>
    <row r="41" spans="1:21" x14ac:dyDescent="0.2">
      <c r="A41" s="22"/>
      <c r="B41" s="6" t="s">
        <v>181</v>
      </c>
      <c r="C41" s="14">
        <v>33.869999999999997</v>
      </c>
      <c r="D41" s="13" t="s">
        <v>215</v>
      </c>
      <c r="E41" s="28"/>
      <c r="F41" s="59">
        <f t="shared" si="5"/>
        <v>4.3300000000000054</v>
      </c>
      <c r="G41" s="95">
        <f t="shared" si="7"/>
        <v>4.3300000000000054</v>
      </c>
      <c r="H41" s="197">
        <f t="shared" si="3"/>
        <v>38</v>
      </c>
      <c r="I41" s="98" t="str">
        <f t="shared" si="6"/>
        <v>PASS</v>
      </c>
      <c r="Q41" s="231"/>
      <c r="R41" s="231"/>
      <c r="S41" s="231"/>
      <c r="T41" s="231"/>
      <c r="U41" s="231"/>
    </row>
    <row r="42" spans="1:21" x14ac:dyDescent="0.2">
      <c r="A42" s="41"/>
      <c r="B42" s="2" t="s">
        <v>72</v>
      </c>
      <c r="C42" s="11">
        <v>33.67</v>
      </c>
      <c r="D42" s="10" t="s">
        <v>216</v>
      </c>
      <c r="E42" s="19"/>
      <c r="F42" s="59">
        <f t="shared" si="5"/>
        <v>4.5300000000000011</v>
      </c>
      <c r="G42" s="95">
        <f t="shared" si="7"/>
        <v>4.5300000000000011</v>
      </c>
      <c r="H42" s="197">
        <f t="shared" si="3"/>
        <v>39</v>
      </c>
      <c r="I42" s="98" t="str">
        <f t="shared" si="6"/>
        <v>PASS</v>
      </c>
      <c r="Q42" s="231"/>
      <c r="R42" s="231"/>
      <c r="S42" s="231"/>
      <c r="T42" s="231"/>
      <c r="U42" s="231"/>
    </row>
    <row r="43" spans="1:21" x14ac:dyDescent="0.2">
      <c r="A43" s="41"/>
      <c r="B43" s="5" t="s">
        <v>227</v>
      </c>
      <c r="C43" s="14">
        <v>33.6</v>
      </c>
      <c r="D43" s="10" t="s">
        <v>266</v>
      </c>
      <c r="E43" s="19"/>
      <c r="F43" s="59">
        <f t="shared" si="5"/>
        <v>4.6000000000000014</v>
      </c>
      <c r="G43" s="95">
        <f t="shared" si="7"/>
        <v>4.6000000000000014</v>
      </c>
      <c r="H43" s="197">
        <f t="shared" si="3"/>
        <v>40</v>
      </c>
      <c r="I43" s="98" t="str">
        <f t="shared" si="6"/>
        <v>PASS</v>
      </c>
      <c r="Q43" s="231"/>
      <c r="R43" s="231"/>
      <c r="S43" s="231"/>
      <c r="T43" s="231"/>
      <c r="U43" s="231"/>
    </row>
    <row r="44" spans="1:21" x14ac:dyDescent="0.2">
      <c r="A44" s="41"/>
      <c r="B44" s="6" t="s">
        <v>208</v>
      </c>
      <c r="C44" s="14">
        <v>42.98</v>
      </c>
      <c r="D44" s="13" t="s">
        <v>215</v>
      </c>
      <c r="E44" s="28"/>
      <c r="F44" s="59">
        <f t="shared" si="5"/>
        <v>-4.779999999999994</v>
      </c>
      <c r="G44" s="95">
        <f t="shared" si="7"/>
        <v>4.779999999999994</v>
      </c>
      <c r="H44" s="197">
        <f t="shared" si="3"/>
        <v>41</v>
      </c>
      <c r="I44" s="98" t="str">
        <f t="shared" si="6"/>
        <v>PASS</v>
      </c>
      <c r="Q44" s="231"/>
      <c r="R44" s="231"/>
      <c r="S44" s="231"/>
      <c r="T44" s="231"/>
      <c r="U44" s="231"/>
    </row>
    <row r="45" spans="1:21" x14ac:dyDescent="0.2">
      <c r="B45" s="5" t="s">
        <v>190</v>
      </c>
      <c r="C45" s="11">
        <v>33.4</v>
      </c>
      <c r="D45" s="10" t="s">
        <v>291</v>
      </c>
      <c r="E45" s="19"/>
      <c r="F45" s="59">
        <f t="shared" si="5"/>
        <v>4.8000000000000043</v>
      </c>
      <c r="G45" s="95">
        <f t="shared" si="7"/>
        <v>4.8000000000000043</v>
      </c>
      <c r="H45" s="197">
        <f t="shared" si="3"/>
        <v>42</v>
      </c>
      <c r="I45" s="98" t="str">
        <f t="shared" si="6"/>
        <v>PASS</v>
      </c>
      <c r="Q45" s="231"/>
      <c r="R45" s="231"/>
      <c r="S45" s="231"/>
      <c r="T45" s="231"/>
      <c r="U45" s="231"/>
    </row>
    <row r="46" spans="1:21" x14ac:dyDescent="0.2">
      <c r="B46" s="3" t="s">
        <v>199</v>
      </c>
      <c r="C46" s="11">
        <v>43.4</v>
      </c>
      <c r="D46" s="13" t="s">
        <v>217</v>
      </c>
      <c r="E46" s="28"/>
      <c r="F46" s="59">
        <f t="shared" si="5"/>
        <v>-5.1999999999999957</v>
      </c>
      <c r="G46" s="95">
        <f t="shared" si="7"/>
        <v>5.1999999999999957</v>
      </c>
      <c r="H46" s="197">
        <f t="shared" si="3"/>
        <v>43</v>
      </c>
      <c r="I46" s="98" t="str">
        <f t="shared" si="6"/>
        <v>PASS</v>
      </c>
      <c r="Q46" s="231"/>
      <c r="R46" s="231"/>
      <c r="S46" s="231"/>
      <c r="T46" s="231"/>
      <c r="U46" s="231"/>
    </row>
    <row r="47" spans="1:21" x14ac:dyDescent="0.2">
      <c r="A47" s="45"/>
      <c r="B47" s="5" t="s">
        <v>95</v>
      </c>
      <c r="C47" s="11">
        <v>33</v>
      </c>
      <c r="D47" s="47" t="s">
        <v>217</v>
      </c>
      <c r="E47" s="48"/>
      <c r="F47" s="59">
        <f t="shared" si="5"/>
        <v>5.2000000000000028</v>
      </c>
      <c r="G47" s="95">
        <f t="shared" si="7"/>
        <v>5.2000000000000028</v>
      </c>
      <c r="H47" s="197">
        <f t="shared" si="3"/>
        <v>44</v>
      </c>
      <c r="I47" s="98" t="str">
        <f t="shared" si="6"/>
        <v>PASS</v>
      </c>
      <c r="Q47" s="231"/>
      <c r="R47" s="231"/>
      <c r="S47" s="231"/>
      <c r="T47" s="231"/>
      <c r="U47" s="231"/>
    </row>
    <row r="48" spans="1:21" x14ac:dyDescent="0.2">
      <c r="B48" s="2" t="s">
        <v>65</v>
      </c>
      <c r="C48" s="14">
        <v>43.5</v>
      </c>
      <c r="D48" s="47" t="s">
        <v>217</v>
      </c>
      <c r="E48" s="48"/>
      <c r="F48" s="59">
        <f t="shared" si="5"/>
        <v>-5.2999999999999972</v>
      </c>
      <c r="G48" s="95">
        <f t="shared" si="7"/>
        <v>5.2999999999999972</v>
      </c>
      <c r="H48" s="197">
        <f t="shared" si="3"/>
        <v>45</v>
      </c>
      <c r="I48" s="98" t="str">
        <f t="shared" si="6"/>
        <v>PASS</v>
      </c>
      <c r="Q48" s="231"/>
      <c r="R48" s="231"/>
      <c r="S48" s="231"/>
      <c r="T48" s="231"/>
      <c r="U48" s="231"/>
    </row>
    <row r="49" spans="2:21" x14ac:dyDescent="0.2">
      <c r="B49" s="2" t="s">
        <v>7</v>
      </c>
      <c r="C49" s="11">
        <v>32.799999999999997</v>
      </c>
      <c r="D49" s="10" t="s">
        <v>216</v>
      </c>
      <c r="E49" s="19"/>
      <c r="F49" s="59">
        <f t="shared" si="5"/>
        <v>5.4000000000000057</v>
      </c>
      <c r="G49" s="95">
        <f t="shared" si="7"/>
        <v>5.4000000000000057</v>
      </c>
      <c r="H49" s="197">
        <f t="shared" si="3"/>
        <v>46</v>
      </c>
      <c r="I49" s="98" t="str">
        <f t="shared" si="6"/>
        <v>PASS</v>
      </c>
      <c r="Q49" s="231"/>
      <c r="R49" s="231"/>
      <c r="S49" s="231"/>
      <c r="T49" s="231"/>
      <c r="U49" s="231"/>
    </row>
    <row r="50" spans="2:21" x14ac:dyDescent="0.2">
      <c r="B50" s="2" t="s">
        <v>37</v>
      </c>
      <c r="C50" s="11">
        <v>32.799999999999997</v>
      </c>
      <c r="D50" s="47" t="s">
        <v>217</v>
      </c>
      <c r="E50" s="48"/>
      <c r="F50" s="59">
        <f t="shared" si="5"/>
        <v>5.4000000000000057</v>
      </c>
      <c r="G50" s="95">
        <f t="shared" si="7"/>
        <v>5.4000000000000057</v>
      </c>
      <c r="H50" s="197">
        <f t="shared" si="3"/>
        <v>47</v>
      </c>
      <c r="I50" s="98" t="str">
        <f t="shared" si="6"/>
        <v>PASS</v>
      </c>
      <c r="J50" s="187"/>
      <c r="Q50" s="231"/>
      <c r="R50" s="231"/>
      <c r="S50" s="231"/>
      <c r="T50" s="231"/>
      <c r="U50" s="231"/>
    </row>
    <row r="51" spans="2:21" x14ac:dyDescent="0.2">
      <c r="B51" s="6" t="s">
        <v>145</v>
      </c>
      <c r="C51" s="14">
        <v>32.799999999999997</v>
      </c>
      <c r="D51" s="13" t="s">
        <v>215</v>
      </c>
      <c r="E51" s="28"/>
      <c r="F51" s="59">
        <f t="shared" si="5"/>
        <v>5.4000000000000057</v>
      </c>
      <c r="G51" s="95">
        <f t="shared" si="7"/>
        <v>5.4000000000000057</v>
      </c>
      <c r="H51" s="197">
        <f t="shared" si="3"/>
        <v>48</v>
      </c>
      <c r="I51" s="98" t="str">
        <f t="shared" si="6"/>
        <v>PASS</v>
      </c>
      <c r="Q51" s="231"/>
      <c r="R51" s="231"/>
      <c r="S51" s="231"/>
      <c r="T51" s="231"/>
      <c r="U51" s="231"/>
    </row>
    <row r="52" spans="2:21" x14ac:dyDescent="0.2">
      <c r="B52" s="3" t="s">
        <v>84</v>
      </c>
      <c r="C52" s="11">
        <v>32.700000000000003</v>
      </c>
      <c r="D52" s="47" t="s">
        <v>217</v>
      </c>
      <c r="E52" s="48"/>
      <c r="F52" s="59">
        <f t="shared" si="5"/>
        <v>5.5</v>
      </c>
      <c r="G52" s="95">
        <f t="shared" si="7"/>
        <v>5.5</v>
      </c>
      <c r="H52" s="197">
        <f t="shared" si="3"/>
        <v>49</v>
      </c>
      <c r="I52" s="98" t="str">
        <f t="shared" si="6"/>
        <v>PASS</v>
      </c>
      <c r="Q52" s="231"/>
      <c r="R52" s="231"/>
      <c r="S52" s="231"/>
      <c r="T52" s="231"/>
      <c r="U52" s="231"/>
    </row>
    <row r="53" spans="2:21" x14ac:dyDescent="0.2">
      <c r="B53" s="6" t="s">
        <v>200</v>
      </c>
      <c r="C53" s="14">
        <v>32.659999999999997</v>
      </c>
      <c r="D53" s="13" t="s">
        <v>216</v>
      </c>
      <c r="E53" s="28"/>
      <c r="F53" s="60">
        <f t="shared" si="5"/>
        <v>5.5400000000000063</v>
      </c>
      <c r="G53" s="96">
        <f t="shared" si="7"/>
        <v>5.5400000000000063</v>
      </c>
      <c r="H53" s="197">
        <f t="shared" si="3"/>
        <v>50</v>
      </c>
      <c r="I53" s="98" t="str">
        <f t="shared" si="6"/>
        <v>PASS</v>
      </c>
    </row>
    <row r="54" spans="2:21" x14ac:dyDescent="0.2">
      <c r="B54" s="6" t="s">
        <v>68</v>
      </c>
      <c r="C54" s="14">
        <v>32.43</v>
      </c>
      <c r="D54" s="13" t="s">
        <v>215</v>
      </c>
      <c r="E54" s="28"/>
      <c r="F54" s="60">
        <f t="shared" si="5"/>
        <v>5.7700000000000031</v>
      </c>
      <c r="G54" s="96">
        <f t="shared" si="7"/>
        <v>5.7700000000000031</v>
      </c>
      <c r="H54" s="197">
        <f t="shared" si="3"/>
        <v>51</v>
      </c>
      <c r="I54" s="98" t="str">
        <f t="shared" si="6"/>
        <v>PASS</v>
      </c>
    </row>
    <row r="55" spans="2:21" x14ac:dyDescent="0.2">
      <c r="B55" s="2" t="s">
        <v>57</v>
      </c>
      <c r="C55" s="14">
        <v>44.13</v>
      </c>
      <c r="D55" s="13" t="s">
        <v>215</v>
      </c>
      <c r="E55" s="28"/>
      <c r="F55" s="59">
        <f t="shared" si="5"/>
        <v>-5.93</v>
      </c>
      <c r="G55" s="95">
        <f t="shared" si="7"/>
        <v>5.93</v>
      </c>
      <c r="H55" s="197">
        <f t="shared" si="3"/>
        <v>52</v>
      </c>
      <c r="I55" s="98" t="str">
        <f t="shared" si="6"/>
        <v>PASS</v>
      </c>
    </row>
    <row r="56" spans="2:21" x14ac:dyDescent="0.2">
      <c r="B56" s="6" t="s">
        <v>102</v>
      </c>
      <c r="C56" s="14">
        <v>32.200000000000003</v>
      </c>
      <c r="D56" s="47" t="s">
        <v>217</v>
      </c>
      <c r="E56" s="48"/>
      <c r="F56" s="60">
        <f t="shared" si="5"/>
        <v>6</v>
      </c>
      <c r="G56" s="96">
        <f t="shared" si="7"/>
        <v>6</v>
      </c>
      <c r="H56" s="197">
        <f t="shared" si="3"/>
        <v>53</v>
      </c>
      <c r="I56" s="98" t="str">
        <f t="shared" si="6"/>
        <v>PASS</v>
      </c>
    </row>
    <row r="57" spans="2:21" x14ac:dyDescent="0.2">
      <c r="B57" s="2" t="s">
        <v>46</v>
      </c>
      <c r="C57" s="11">
        <v>32.1</v>
      </c>
      <c r="D57" s="10" t="s">
        <v>274</v>
      </c>
      <c r="E57" s="19"/>
      <c r="F57" s="59">
        <f t="shared" si="5"/>
        <v>6.1000000000000014</v>
      </c>
      <c r="G57" s="95">
        <f t="shared" si="7"/>
        <v>6.1000000000000014</v>
      </c>
      <c r="H57" s="197">
        <f t="shared" si="3"/>
        <v>54</v>
      </c>
      <c r="I57" s="98" t="str">
        <f t="shared" si="6"/>
        <v>FAIL</v>
      </c>
    </row>
    <row r="58" spans="2:21" x14ac:dyDescent="0.2">
      <c r="B58" s="5" t="s">
        <v>89</v>
      </c>
      <c r="C58" s="11">
        <v>32</v>
      </c>
      <c r="D58" s="10" t="s">
        <v>219</v>
      </c>
      <c r="E58" s="19"/>
      <c r="F58" s="59">
        <f t="shared" si="5"/>
        <v>6.2000000000000028</v>
      </c>
      <c r="G58" s="95">
        <f t="shared" si="7"/>
        <v>6.2000000000000028</v>
      </c>
      <c r="H58" s="197">
        <f t="shared" si="3"/>
        <v>55</v>
      </c>
      <c r="I58" s="98" t="str">
        <f t="shared" si="6"/>
        <v>FAIL</v>
      </c>
    </row>
    <row r="59" spans="2:21" x14ac:dyDescent="0.2">
      <c r="B59" s="6" t="s">
        <v>90</v>
      </c>
      <c r="C59" s="11">
        <v>31.925000000000001</v>
      </c>
      <c r="D59" s="10" t="s">
        <v>216</v>
      </c>
      <c r="E59" s="19"/>
      <c r="F59" s="59">
        <f t="shared" si="5"/>
        <v>6.2750000000000021</v>
      </c>
      <c r="G59" s="95">
        <f t="shared" si="7"/>
        <v>6.2750000000000021</v>
      </c>
      <c r="H59" s="197">
        <f t="shared" si="3"/>
        <v>56</v>
      </c>
      <c r="I59" s="98" t="str">
        <f t="shared" si="6"/>
        <v>FAIL</v>
      </c>
    </row>
    <row r="60" spans="2:21" x14ac:dyDescent="0.2">
      <c r="B60" s="2" t="s">
        <v>30</v>
      </c>
      <c r="C60" s="11">
        <v>44.5</v>
      </c>
      <c r="D60" s="10" t="s">
        <v>220</v>
      </c>
      <c r="E60" s="19"/>
      <c r="F60" s="59">
        <f t="shared" si="5"/>
        <v>-6.2999999999999972</v>
      </c>
      <c r="G60" s="95">
        <f t="shared" si="7"/>
        <v>6.2999999999999972</v>
      </c>
      <c r="H60" s="197">
        <f t="shared" si="3"/>
        <v>57</v>
      </c>
      <c r="I60" s="98" t="str">
        <f t="shared" si="6"/>
        <v>FAIL</v>
      </c>
    </row>
    <row r="61" spans="2:21" x14ac:dyDescent="0.2">
      <c r="B61" s="6" t="s">
        <v>51</v>
      </c>
      <c r="C61" s="11">
        <v>44.6</v>
      </c>
      <c r="D61" s="10" t="s">
        <v>216</v>
      </c>
      <c r="E61" s="19"/>
      <c r="F61" s="59">
        <f t="shared" si="5"/>
        <v>-6.3999999999999986</v>
      </c>
      <c r="G61" s="95">
        <f t="shared" si="7"/>
        <v>6.3999999999999986</v>
      </c>
      <c r="H61" s="197">
        <f t="shared" si="3"/>
        <v>58</v>
      </c>
      <c r="I61" s="98" t="str">
        <f t="shared" si="6"/>
        <v>FAIL</v>
      </c>
    </row>
    <row r="62" spans="2:21" x14ac:dyDescent="0.2">
      <c r="B62" s="4" t="s">
        <v>110</v>
      </c>
      <c r="C62" s="14">
        <v>31.8</v>
      </c>
      <c r="D62" s="13" t="s">
        <v>216</v>
      </c>
      <c r="E62" s="28"/>
      <c r="F62" s="59">
        <f t="shared" si="5"/>
        <v>6.4000000000000021</v>
      </c>
      <c r="G62" s="95">
        <f t="shared" si="7"/>
        <v>6.4000000000000021</v>
      </c>
      <c r="H62" s="197">
        <f t="shared" si="3"/>
        <v>59</v>
      </c>
      <c r="I62" s="98" t="str">
        <f t="shared" si="6"/>
        <v>FAIL</v>
      </c>
    </row>
    <row r="63" spans="2:21" x14ac:dyDescent="0.2">
      <c r="B63" s="2" t="s">
        <v>29</v>
      </c>
      <c r="C63" s="14">
        <v>31.6</v>
      </c>
      <c r="D63" s="13" t="s">
        <v>215</v>
      </c>
      <c r="E63" s="28"/>
      <c r="F63" s="59">
        <f t="shared" si="5"/>
        <v>6.6000000000000014</v>
      </c>
      <c r="G63" s="95">
        <f t="shared" si="7"/>
        <v>6.6000000000000014</v>
      </c>
      <c r="H63" s="197">
        <f t="shared" si="3"/>
        <v>60</v>
      </c>
      <c r="I63" s="98" t="str">
        <f t="shared" si="6"/>
        <v>FAIL</v>
      </c>
    </row>
    <row r="64" spans="2:21" x14ac:dyDescent="0.2">
      <c r="B64" s="6" t="s">
        <v>193</v>
      </c>
      <c r="C64" s="26">
        <v>45</v>
      </c>
      <c r="D64" s="13" t="s">
        <v>215</v>
      </c>
      <c r="E64" s="28"/>
      <c r="F64" s="59">
        <f t="shared" si="5"/>
        <v>-6.7999999999999972</v>
      </c>
      <c r="G64" s="95">
        <f t="shared" si="7"/>
        <v>6.7999999999999972</v>
      </c>
      <c r="H64" s="197">
        <f t="shared" si="3"/>
        <v>61</v>
      </c>
      <c r="I64" s="98" t="str">
        <f t="shared" si="6"/>
        <v>FAIL</v>
      </c>
    </row>
    <row r="65" spans="2:9" x14ac:dyDescent="0.2">
      <c r="B65" s="3" t="s">
        <v>103</v>
      </c>
      <c r="C65" s="11">
        <v>31.4</v>
      </c>
      <c r="D65" s="10" t="s">
        <v>216</v>
      </c>
      <c r="E65" s="19"/>
      <c r="F65" s="59">
        <f t="shared" si="5"/>
        <v>6.8000000000000043</v>
      </c>
      <c r="G65" s="95">
        <f t="shared" si="7"/>
        <v>6.8000000000000043</v>
      </c>
      <c r="H65" s="197">
        <f t="shared" si="3"/>
        <v>62</v>
      </c>
      <c r="I65" s="98" t="str">
        <f t="shared" si="6"/>
        <v>FAIL</v>
      </c>
    </row>
    <row r="66" spans="2:9" x14ac:dyDescent="0.2">
      <c r="B66" s="2" t="s">
        <v>107</v>
      </c>
      <c r="C66" s="14">
        <v>31.3</v>
      </c>
      <c r="D66" s="13" t="s">
        <v>215</v>
      </c>
      <c r="E66" s="28"/>
      <c r="F66" s="59">
        <f t="shared" si="5"/>
        <v>6.9000000000000021</v>
      </c>
      <c r="G66" s="95">
        <f t="shared" si="7"/>
        <v>6.9000000000000021</v>
      </c>
      <c r="H66" s="197">
        <f t="shared" si="3"/>
        <v>63</v>
      </c>
      <c r="I66" s="98" t="str">
        <f t="shared" si="6"/>
        <v>FAIL</v>
      </c>
    </row>
    <row r="67" spans="2:9" x14ac:dyDescent="0.2">
      <c r="B67" s="2" t="s">
        <v>124</v>
      </c>
      <c r="C67" s="11">
        <v>31.3</v>
      </c>
      <c r="D67" s="10" t="s">
        <v>216</v>
      </c>
      <c r="E67" s="19"/>
      <c r="F67" s="59">
        <f t="shared" si="5"/>
        <v>6.9000000000000021</v>
      </c>
      <c r="G67" s="95">
        <f t="shared" si="7"/>
        <v>6.9000000000000021</v>
      </c>
      <c r="H67" s="197">
        <f t="shared" si="3"/>
        <v>64</v>
      </c>
      <c r="I67" s="98" t="str">
        <f t="shared" si="6"/>
        <v>FAIL</v>
      </c>
    </row>
    <row r="68" spans="2:9" x14ac:dyDescent="0.2">
      <c r="B68" s="2" t="s">
        <v>58</v>
      </c>
      <c r="C68" s="14">
        <v>45.2</v>
      </c>
      <c r="D68" s="13" t="s">
        <v>216</v>
      </c>
      <c r="E68" s="28"/>
      <c r="F68" s="59">
        <f t="shared" si="5"/>
        <v>-7</v>
      </c>
      <c r="G68" s="95">
        <f t="shared" si="7"/>
        <v>7</v>
      </c>
      <c r="H68" s="197">
        <f t="shared" si="3"/>
        <v>65</v>
      </c>
      <c r="I68" s="98" t="str">
        <f t="shared" si="6"/>
        <v>FAIL</v>
      </c>
    </row>
    <row r="69" spans="2:9" x14ac:dyDescent="0.2">
      <c r="B69" s="2" t="s">
        <v>188</v>
      </c>
      <c r="C69" s="11">
        <v>31.2</v>
      </c>
      <c r="D69" s="13" t="s">
        <v>217</v>
      </c>
      <c r="E69" s="28"/>
      <c r="F69" s="59">
        <f t="shared" ref="F69:F100" si="8">$K$9-C69</f>
        <v>7.0000000000000036</v>
      </c>
      <c r="G69" s="95">
        <f t="shared" ref="G69:G100" si="9">(F69^2)^0.5</f>
        <v>7.0000000000000036</v>
      </c>
      <c r="H69" s="197">
        <f t="shared" si="3"/>
        <v>66</v>
      </c>
      <c r="I69" s="98" t="str">
        <f t="shared" ref="I69:I100" si="10">IF(G69&lt;=$N$9,"PASS","FAIL")</f>
        <v>FAIL</v>
      </c>
    </row>
    <row r="70" spans="2:9" x14ac:dyDescent="0.2">
      <c r="B70" s="2" t="s">
        <v>59</v>
      </c>
      <c r="C70" s="11">
        <v>30.928999999999998</v>
      </c>
      <c r="D70" s="10" t="s">
        <v>216</v>
      </c>
      <c r="E70" s="19"/>
      <c r="F70" s="59">
        <f t="shared" si="8"/>
        <v>7.2710000000000043</v>
      </c>
      <c r="G70" s="95">
        <f t="shared" si="9"/>
        <v>7.2710000000000043</v>
      </c>
      <c r="H70" s="197">
        <f t="shared" si="3"/>
        <v>67</v>
      </c>
      <c r="I70" s="98" t="str">
        <f t="shared" si="10"/>
        <v>FAIL</v>
      </c>
    </row>
    <row r="71" spans="2:9" x14ac:dyDescent="0.2">
      <c r="B71" s="2" t="s">
        <v>35</v>
      </c>
      <c r="C71" s="14">
        <v>30.84</v>
      </c>
      <c r="D71" s="13" t="s">
        <v>215</v>
      </c>
      <c r="E71" s="28"/>
      <c r="F71" s="59">
        <f t="shared" si="8"/>
        <v>7.360000000000003</v>
      </c>
      <c r="G71" s="95">
        <f t="shared" si="9"/>
        <v>7.360000000000003</v>
      </c>
      <c r="H71" s="197">
        <f t="shared" si="3"/>
        <v>68</v>
      </c>
      <c r="I71" s="98" t="str">
        <f t="shared" si="10"/>
        <v>FAIL</v>
      </c>
    </row>
    <row r="72" spans="2:9" x14ac:dyDescent="0.2">
      <c r="B72" s="3" t="s">
        <v>60</v>
      </c>
      <c r="C72" s="11">
        <v>30.812999999999999</v>
      </c>
      <c r="D72" s="10" t="s">
        <v>216</v>
      </c>
      <c r="E72" s="19"/>
      <c r="F72" s="59">
        <f t="shared" si="8"/>
        <v>7.387000000000004</v>
      </c>
      <c r="G72" s="95">
        <f t="shared" si="9"/>
        <v>7.387000000000004</v>
      </c>
      <c r="H72" s="197">
        <f t="shared" ref="H72:H135" si="11">1+H71</f>
        <v>69</v>
      </c>
      <c r="I72" s="98" t="str">
        <f t="shared" si="10"/>
        <v>FAIL</v>
      </c>
    </row>
    <row r="73" spans="2:9" x14ac:dyDescent="0.2">
      <c r="B73" s="5" t="s">
        <v>81</v>
      </c>
      <c r="C73" s="11">
        <v>30.564</v>
      </c>
      <c r="D73" s="10" t="s">
        <v>216</v>
      </c>
      <c r="E73" s="19"/>
      <c r="F73" s="59">
        <f t="shared" si="8"/>
        <v>7.6360000000000028</v>
      </c>
      <c r="G73" s="95">
        <f t="shared" si="9"/>
        <v>7.6360000000000028</v>
      </c>
      <c r="H73" s="197">
        <f t="shared" si="11"/>
        <v>70</v>
      </c>
      <c r="I73" s="98" t="str">
        <f t="shared" si="10"/>
        <v>FAIL</v>
      </c>
    </row>
    <row r="74" spans="2:9" x14ac:dyDescent="0.2">
      <c r="B74" s="3" t="s">
        <v>198</v>
      </c>
      <c r="C74" s="11">
        <v>30</v>
      </c>
      <c r="D74" s="10" t="s">
        <v>219</v>
      </c>
      <c r="E74" s="19"/>
      <c r="F74" s="59">
        <f t="shared" si="8"/>
        <v>8.2000000000000028</v>
      </c>
      <c r="G74" s="95">
        <f t="shared" si="9"/>
        <v>8.2000000000000028</v>
      </c>
      <c r="H74" s="197">
        <f t="shared" si="11"/>
        <v>71</v>
      </c>
      <c r="I74" s="98" t="str">
        <f t="shared" si="10"/>
        <v>FAIL</v>
      </c>
    </row>
    <row r="75" spans="2:9" x14ac:dyDescent="0.2">
      <c r="B75" s="2" t="s">
        <v>182</v>
      </c>
      <c r="C75" s="11">
        <v>29.879000000000001</v>
      </c>
      <c r="D75" s="10" t="s">
        <v>216</v>
      </c>
      <c r="E75" s="19"/>
      <c r="F75" s="59">
        <f t="shared" si="8"/>
        <v>8.3210000000000015</v>
      </c>
      <c r="G75" s="95">
        <f t="shared" si="9"/>
        <v>8.3210000000000015</v>
      </c>
      <c r="H75" s="197">
        <f t="shared" si="11"/>
        <v>72</v>
      </c>
      <c r="I75" s="98" t="str">
        <f t="shared" si="10"/>
        <v>FAIL</v>
      </c>
    </row>
    <row r="76" spans="2:9" x14ac:dyDescent="0.2">
      <c r="B76" s="4" t="s">
        <v>38</v>
      </c>
      <c r="C76" s="14">
        <v>29.53</v>
      </c>
      <c r="D76" s="13" t="s">
        <v>215</v>
      </c>
      <c r="E76" s="28"/>
      <c r="F76" s="59">
        <f t="shared" si="8"/>
        <v>8.6700000000000017</v>
      </c>
      <c r="G76" s="95">
        <f t="shared" si="9"/>
        <v>8.6700000000000017</v>
      </c>
      <c r="H76" s="197">
        <f t="shared" si="11"/>
        <v>73</v>
      </c>
      <c r="I76" s="98" t="str">
        <f t="shared" si="10"/>
        <v>FAIL</v>
      </c>
    </row>
    <row r="77" spans="2:9" x14ac:dyDescent="0.2">
      <c r="B77" s="4" t="s">
        <v>150</v>
      </c>
      <c r="C77" s="14">
        <v>29.5</v>
      </c>
      <c r="D77" s="13" t="s">
        <v>215</v>
      </c>
      <c r="E77" s="28"/>
      <c r="F77" s="59">
        <f t="shared" si="8"/>
        <v>8.7000000000000028</v>
      </c>
      <c r="G77" s="95">
        <f t="shared" si="9"/>
        <v>8.7000000000000028</v>
      </c>
      <c r="H77" s="197">
        <f t="shared" si="11"/>
        <v>74</v>
      </c>
      <c r="I77" s="98" t="str">
        <f t="shared" si="10"/>
        <v>FAIL</v>
      </c>
    </row>
    <row r="78" spans="2:9" x14ac:dyDescent="0.2">
      <c r="B78" s="2" t="s">
        <v>172</v>
      </c>
      <c r="C78" s="14">
        <v>29.49</v>
      </c>
      <c r="D78" s="13" t="s">
        <v>215</v>
      </c>
      <c r="E78" s="28"/>
      <c r="F78" s="59">
        <f t="shared" si="8"/>
        <v>8.7100000000000044</v>
      </c>
      <c r="G78" s="95">
        <f t="shared" si="9"/>
        <v>8.7100000000000044</v>
      </c>
      <c r="H78" s="197">
        <f t="shared" si="11"/>
        <v>75</v>
      </c>
      <c r="I78" s="98" t="str">
        <f t="shared" si="10"/>
        <v>FAIL</v>
      </c>
    </row>
    <row r="79" spans="2:9" x14ac:dyDescent="0.2">
      <c r="B79" s="7" t="s">
        <v>154</v>
      </c>
      <c r="C79" s="14">
        <v>29.4</v>
      </c>
      <c r="D79" s="10" t="s">
        <v>216</v>
      </c>
      <c r="E79" s="19"/>
      <c r="F79" s="59">
        <f t="shared" si="8"/>
        <v>8.8000000000000043</v>
      </c>
      <c r="G79" s="95">
        <f t="shared" si="9"/>
        <v>8.8000000000000043</v>
      </c>
      <c r="H79" s="197">
        <f t="shared" si="11"/>
        <v>76</v>
      </c>
      <c r="I79" s="98" t="str">
        <f t="shared" si="10"/>
        <v>FAIL</v>
      </c>
    </row>
    <row r="80" spans="2:9" x14ac:dyDescent="0.2">
      <c r="B80" s="6" t="s">
        <v>41</v>
      </c>
      <c r="C80" s="12">
        <v>29.2</v>
      </c>
      <c r="D80" s="13" t="s">
        <v>215</v>
      </c>
      <c r="E80" s="28"/>
      <c r="F80" s="59">
        <f t="shared" si="8"/>
        <v>9.0000000000000036</v>
      </c>
      <c r="G80" s="95">
        <f t="shared" si="9"/>
        <v>9.0000000000000036</v>
      </c>
      <c r="H80" s="197">
        <f t="shared" si="11"/>
        <v>77</v>
      </c>
      <c r="I80" s="98" t="str">
        <f t="shared" si="10"/>
        <v>FAIL</v>
      </c>
    </row>
    <row r="81" spans="2:9" x14ac:dyDescent="0.2">
      <c r="B81" s="3" t="s">
        <v>194</v>
      </c>
      <c r="C81" s="11">
        <v>29</v>
      </c>
      <c r="D81" s="13" t="s">
        <v>217</v>
      </c>
      <c r="E81" s="28"/>
      <c r="F81" s="59">
        <f t="shared" si="8"/>
        <v>9.2000000000000028</v>
      </c>
      <c r="G81" s="95">
        <f t="shared" si="9"/>
        <v>9.2000000000000028</v>
      </c>
      <c r="H81" s="197">
        <f t="shared" si="11"/>
        <v>78</v>
      </c>
      <c r="I81" s="98" t="str">
        <f t="shared" si="10"/>
        <v>FAIL</v>
      </c>
    </row>
    <row r="82" spans="2:9" x14ac:dyDescent="0.2">
      <c r="B82" s="2" t="s">
        <v>12</v>
      </c>
      <c r="C82" s="11">
        <v>28.9</v>
      </c>
      <c r="D82" s="47" t="s">
        <v>216</v>
      </c>
      <c r="E82" s="48"/>
      <c r="F82" s="59">
        <f t="shared" si="8"/>
        <v>9.3000000000000043</v>
      </c>
      <c r="G82" s="95">
        <f t="shared" si="9"/>
        <v>9.3000000000000043</v>
      </c>
      <c r="H82" s="197">
        <f t="shared" si="11"/>
        <v>79</v>
      </c>
      <c r="I82" s="98" t="str">
        <f t="shared" si="10"/>
        <v>FAIL</v>
      </c>
    </row>
    <row r="83" spans="2:9" x14ac:dyDescent="0.2">
      <c r="B83" s="6" t="s">
        <v>164</v>
      </c>
      <c r="C83" s="11">
        <v>28.84</v>
      </c>
      <c r="D83" s="10" t="s">
        <v>216</v>
      </c>
      <c r="E83" s="19"/>
      <c r="F83" s="59">
        <f t="shared" si="8"/>
        <v>9.360000000000003</v>
      </c>
      <c r="G83" s="95">
        <f t="shared" si="9"/>
        <v>9.360000000000003</v>
      </c>
      <c r="H83" s="197">
        <f t="shared" si="11"/>
        <v>80</v>
      </c>
      <c r="I83" s="98" t="str">
        <f t="shared" si="10"/>
        <v>FAIL</v>
      </c>
    </row>
    <row r="84" spans="2:9" x14ac:dyDescent="0.2">
      <c r="B84" s="4" t="s">
        <v>40</v>
      </c>
      <c r="C84" s="14">
        <v>28.8</v>
      </c>
      <c r="D84" s="13" t="s">
        <v>215</v>
      </c>
      <c r="E84" s="28"/>
      <c r="F84" s="59">
        <f t="shared" si="8"/>
        <v>9.4000000000000021</v>
      </c>
      <c r="G84" s="95">
        <f t="shared" si="9"/>
        <v>9.4000000000000021</v>
      </c>
      <c r="H84" s="197">
        <f t="shared" si="11"/>
        <v>81</v>
      </c>
      <c r="I84" s="98" t="str">
        <f t="shared" si="10"/>
        <v>FAIL</v>
      </c>
    </row>
    <row r="85" spans="2:9" x14ac:dyDescent="0.2">
      <c r="B85" s="2" t="s">
        <v>108</v>
      </c>
      <c r="C85" s="14">
        <v>28.8</v>
      </c>
      <c r="D85" s="13" t="s">
        <v>215</v>
      </c>
      <c r="E85" s="28"/>
      <c r="F85" s="59">
        <f t="shared" si="8"/>
        <v>9.4000000000000021</v>
      </c>
      <c r="G85" s="95">
        <f t="shared" si="9"/>
        <v>9.4000000000000021</v>
      </c>
      <c r="H85" s="197">
        <f t="shared" si="11"/>
        <v>82</v>
      </c>
      <c r="I85" s="98" t="str">
        <f t="shared" si="10"/>
        <v>FAIL</v>
      </c>
    </row>
    <row r="86" spans="2:9" x14ac:dyDescent="0.2">
      <c r="B86" s="5" t="s">
        <v>6</v>
      </c>
      <c r="C86" s="14">
        <v>28.6</v>
      </c>
      <c r="D86" s="47" t="s">
        <v>217</v>
      </c>
      <c r="E86" s="48"/>
      <c r="F86" s="59">
        <f t="shared" si="8"/>
        <v>9.6000000000000014</v>
      </c>
      <c r="G86" s="95">
        <f t="shared" si="9"/>
        <v>9.6000000000000014</v>
      </c>
      <c r="H86" s="197">
        <f t="shared" si="11"/>
        <v>83</v>
      </c>
      <c r="I86" s="98" t="str">
        <f t="shared" si="10"/>
        <v>FAIL</v>
      </c>
    </row>
    <row r="87" spans="2:9" x14ac:dyDescent="0.2">
      <c r="B87" s="4" t="s">
        <v>39</v>
      </c>
      <c r="C87" s="14">
        <v>28.49</v>
      </c>
      <c r="D87" s="13" t="s">
        <v>215</v>
      </c>
      <c r="E87" s="28"/>
      <c r="F87" s="59">
        <f t="shared" si="8"/>
        <v>9.7100000000000044</v>
      </c>
      <c r="G87" s="95">
        <f t="shared" si="9"/>
        <v>9.7100000000000044</v>
      </c>
      <c r="H87" s="197">
        <f t="shared" si="11"/>
        <v>84</v>
      </c>
      <c r="I87" s="98" t="str">
        <f t="shared" si="10"/>
        <v>FAIL</v>
      </c>
    </row>
    <row r="88" spans="2:9" x14ac:dyDescent="0.2">
      <c r="B88" s="5" t="s">
        <v>162</v>
      </c>
      <c r="C88" s="14">
        <v>28.48</v>
      </c>
      <c r="D88" s="13" t="s">
        <v>215</v>
      </c>
      <c r="E88" s="28"/>
      <c r="F88" s="59">
        <f t="shared" si="8"/>
        <v>9.7200000000000024</v>
      </c>
      <c r="G88" s="95">
        <f t="shared" si="9"/>
        <v>9.7200000000000024</v>
      </c>
      <c r="H88" s="197">
        <f t="shared" si="11"/>
        <v>85</v>
      </c>
      <c r="I88" s="98" t="str">
        <f t="shared" si="10"/>
        <v>FAIL</v>
      </c>
    </row>
    <row r="89" spans="2:9" x14ac:dyDescent="0.2">
      <c r="B89" s="5" t="s">
        <v>155</v>
      </c>
      <c r="C89" s="14">
        <v>28.22</v>
      </c>
      <c r="D89" s="13" t="s">
        <v>216</v>
      </c>
      <c r="E89" s="28"/>
      <c r="F89" s="59">
        <f t="shared" si="8"/>
        <v>9.980000000000004</v>
      </c>
      <c r="G89" s="95">
        <f t="shared" si="9"/>
        <v>9.980000000000004</v>
      </c>
      <c r="H89" s="197">
        <f t="shared" si="11"/>
        <v>86</v>
      </c>
      <c r="I89" s="98" t="str">
        <f t="shared" si="10"/>
        <v>FAIL</v>
      </c>
    </row>
    <row r="90" spans="2:9" x14ac:dyDescent="0.2">
      <c r="B90" s="7" t="s">
        <v>34</v>
      </c>
      <c r="C90" s="14">
        <v>28.2</v>
      </c>
      <c r="D90" s="13" t="s">
        <v>215</v>
      </c>
      <c r="E90" s="28"/>
      <c r="F90" s="59">
        <f t="shared" si="8"/>
        <v>10.000000000000004</v>
      </c>
      <c r="G90" s="95">
        <f t="shared" si="9"/>
        <v>10.000000000000004</v>
      </c>
      <c r="H90" s="197">
        <f t="shared" si="11"/>
        <v>87</v>
      </c>
      <c r="I90" s="98" t="str">
        <f t="shared" si="10"/>
        <v>FAIL</v>
      </c>
    </row>
    <row r="91" spans="2:9" x14ac:dyDescent="0.2">
      <c r="B91" s="2" t="s">
        <v>166</v>
      </c>
      <c r="C91" s="14">
        <v>28.1</v>
      </c>
      <c r="D91" s="13" t="s">
        <v>215</v>
      </c>
      <c r="E91" s="28"/>
      <c r="F91" s="59">
        <f t="shared" si="8"/>
        <v>10.100000000000001</v>
      </c>
      <c r="G91" s="95">
        <f t="shared" si="9"/>
        <v>10.100000000000001</v>
      </c>
      <c r="H91" s="197">
        <f t="shared" si="11"/>
        <v>88</v>
      </c>
      <c r="I91" s="98" t="str">
        <f t="shared" si="10"/>
        <v>FAIL</v>
      </c>
    </row>
    <row r="92" spans="2:9" x14ac:dyDescent="0.2">
      <c r="B92" s="6" t="s">
        <v>173</v>
      </c>
      <c r="C92" s="11">
        <v>28.09</v>
      </c>
      <c r="D92" s="10" t="s">
        <v>216</v>
      </c>
      <c r="E92" s="19"/>
      <c r="F92" s="59">
        <f t="shared" si="8"/>
        <v>10.110000000000003</v>
      </c>
      <c r="G92" s="95">
        <f t="shared" si="9"/>
        <v>10.110000000000003</v>
      </c>
      <c r="H92" s="197">
        <f t="shared" si="11"/>
        <v>89</v>
      </c>
      <c r="I92" s="98" t="str">
        <f t="shared" si="10"/>
        <v>FAIL</v>
      </c>
    </row>
    <row r="93" spans="2:9" x14ac:dyDescent="0.2">
      <c r="B93" s="6" t="s">
        <v>109</v>
      </c>
      <c r="C93" s="11">
        <v>28</v>
      </c>
      <c r="D93" s="47" t="s">
        <v>216</v>
      </c>
      <c r="E93" s="48"/>
      <c r="F93" s="59">
        <f t="shared" si="8"/>
        <v>10.200000000000003</v>
      </c>
      <c r="G93" s="95">
        <f t="shared" si="9"/>
        <v>10.200000000000003</v>
      </c>
      <c r="H93" s="197">
        <f t="shared" si="11"/>
        <v>90</v>
      </c>
      <c r="I93" s="98" t="str">
        <f t="shared" si="10"/>
        <v>FAIL</v>
      </c>
    </row>
    <row r="94" spans="2:9" x14ac:dyDescent="0.2">
      <c r="B94" s="2" t="s">
        <v>175</v>
      </c>
      <c r="C94" s="14">
        <v>27.92</v>
      </c>
      <c r="D94" s="13" t="s">
        <v>215</v>
      </c>
      <c r="E94" s="28"/>
      <c r="F94" s="59">
        <f t="shared" si="8"/>
        <v>10.280000000000001</v>
      </c>
      <c r="G94" s="95">
        <f t="shared" si="9"/>
        <v>10.280000000000001</v>
      </c>
      <c r="H94" s="197">
        <f t="shared" si="11"/>
        <v>91</v>
      </c>
      <c r="I94" s="98" t="str">
        <f t="shared" si="10"/>
        <v>FAIL</v>
      </c>
    </row>
    <row r="95" spans="2:9" x14ac:dyDescent="0.2">
      <c r="B95" s="6" t="s">
        <v>54</v>
      </c>
      <c r="C95" s="14">
        <v>48.49</v>
      </c>
      <c r="D95" s="13" t="s">
        <v>215</v>
      </c>
      <c r="E95" s="28"/>
      <c r="F95" s="59">
        <f t="shared" si="8"/>
        <v>-10.29</v>
      </c>
      <c r="G95" s="95">
        <f t="shared" si="9"/>
        <v>10.29</v>
      </c>
      <c r="H95" s="197">
        <f t="shared" si="11"/>
        <v>92</v>
      </c>
      <c r="I95" s="98" t="str">
        <f t="shared" si="10"/>
        <v>FAIL</v>
      </c>
    </row>
    <row r="96" spans="2:9" x14ac:dyDescent="0.2">
      <c r="B96" s="3" t="s">
        <v>52</v>
      </c>
      <c r="C96" s="14">
        <v>48.5</v>
      </c>
      <c r="D96" s="13" t="s">
        <v>216</v>
      </c>
      <c r="E96" s="28"/>
      <c r="F96" s="59">
        <f t="shared" si="8"/>
        <v>-10.299999999999997</v>
      </c>
      <c r="G96" s="95">
        <f t="shared" si="9"/>
        <v>10.299999999999997</v>
      </c>
      <c r="H96" s="197">
        <f t="shared" si="11"/>
        <v>93</v>
      </c>
      <c r="I96" s="98" t="str">
        <f t="shared" si="10"/>
        <v>FAIL</v>
      </c>
    </row>
    <row r="97" spans="2:9" x14ac:dyDescent="0.2">
      <c r="B97" s="5" t="s">
        <v>231</v>
      </c>
      <c r="C97" s="14">
        <v>27.89</v>
      </c>
      <c r="D97" s="13" t="s">
        <v>215</v>
      </c>
      <c r="E97" s="28"/>
      <c r="F97" s="59">
        <f t="shared" si="8"/>
        <v>10.310000000000002</v>
      </c>
      <c r="G97" s="95">
        <f t="shared" si="9"/>
        <v>10.310000000000002</v>
      </c>
      <c r="H97" s="197">
        <f t="shared" si="11"/>
        <v>94</v>
      </c>
      <c r="I97" s="98" t="str">
        <f t="shared" si="10"/>
        <v>FAIL</v>
      </c>
    </row>
    <row r="98" spans="2:9" x14ac:dyDescent="0.2">
      <c r="B98" s="6" t="s">
        <v>10</v>
      </c>
      <c r="C98" s="11">
        <v>27.8</v>
      </c>
      <c r="D98" s="10" t="s">
        <v>216</v>
      </c>
      <c r="E98" s="19"/>
      <c r="F98" s="59">
        <f t="shared" si="8"/>
        <v>10.400000000000002</v>
      </c>
      <c r="G98" s="95">
        <f t="shared" si="9"/>
        <v>10.400000000000002</v>
      </c>
      <c r="H98" s="197">
        <f t="shared" si="11"/>
        <v>95</v>
      </c>
      <c r="I98" s="98" t="str">
        <f t="shared" si="10"/>
        <v>FAIL</v>
      </c>
    </row>
    <row r="99" spans="2:9" x14ac:dyDescent="0.2">
      <c r="B99" s="5" t="s">
        <v>174</v>
      </c>
      <c r="C99" s="14">
        <v>27.76</v>
      </c>
      <c r="D99" s="13" t="s">
        <v>215</v>
      </c>
      <c r="E99" s="28"/>
      <c r="F99" s="59">
        <f t="shared" si="8"/>
        <v>10.440000000000001</v>
      </c>
      <c r="G99" s="95">
        <f t="shared" si="9"/>
        <v>10.440000000000001</v>
      </c>
      <c r="H99" s="197">
        <f t="shared" si="11"/>
        <v>96</v>
      </c>
      <c r="I99" s="98" t="str">
        <f t="shared" si="10"/>
        <v>FAIL</v>
      </c>
    </row>
    <row r="100" spans="2:9" x14ac:dyDescent="0.2">
      <c r="B100" s="3" t="s">
        <v>157</v>
      </c>
      <c r="C100" s="11">
        <v>27.69</v>
      </c>
      <c r="D100" s="47" t="s">
        <v>217</v>
      </c>
      <c r="E100" s="48"/>
      <c r="F100" s="59">
        <f t="shared" si="8"/>
        <v>10.510000000000002</v>
      </c>
      <c r="G100" s="95">
        <f t="shared" si="9"/>
        <v>10.510000000000002</v>
      </c>
      <c r="H100" s="197">
        <f t="shared" si="11"/>
        <v>97</v>
      </c>
      <c r="I100" s="98" t="str">
        <f t="shared" si="10"/>
        <v>FAIL</v>
      </c>
    </row>
    <row r="101" spans="2:9" x14ac:dyDescent="0.2">
      <c r="B101" s="6" t="s">
        <v>202</v>
      </c>
      <c r="C101" s="11">
        <v>27.55</v>
      </c>
      <c r="D101" s="10" t="s">
        <v>216</v>
      </c>
      <c r="E101" s="19"/>
      <c r="F101" s="59">
        <f t="shared" ref="F101:F132" si="12">$K$9-C101</f>
        <v>10.650000000000002</v>
      </c>
      <c r="G101" s="95">
        <f t="shared" ref="G101:G132" si="13">(F101^2)^0.5</f>
        <v>10.650000000000002</v>
      </c>
      <c r="H101" s="197">
        <f t="shared" si="11"/>
        <v>98</v>
      </c>
      <c r="I101" s="98" t="str">
        <f t="shared" ref="I101:I132" si="14">IF(G101&lt;=$N$9,"PASS","FAIL")</f>
        <v>FAIL</v>
      </c>
    </row>
    <row r="102" spans="2:9" x14ac:dyDescent="0.2">
      <c r="B102" s="2" t="s">
        <v>1</v>
      </c>
      <c r="C102" s="14">
        <v>27.42</v>
      </c>
      <c r="D102" s="13" t="s">
        <v>215</v>
      </c>
      <c r="E102" s="28"/>
      <c r="F102" s="59">
        <f t="shared" si="12"/>
        <v>10.780000000000001</v>
      </c>
      <c r="G102" s="95">
        <f t="shared" si="13"/>
        <v>10.780000000000001</v>
      </c>
      <c r="H102" s="197">
        <f t="shared" si="11"/>
        <v>99</v>
      </c>
      <c r="I102" s="98" t="str">
        <f t="shared" si="14"/>
        <v>FAIL</v>
      </c>
    </row>
    <row r="103" spans="2:9" x14ac:dyDescent="0.2">
      <c r="B103" s="2" t="s">
        <v>196</v>
      </c>
      <c r="C103" s="11">
        <v>27.33</v>
      </c>
      <c r="D103" s="10" t="s">
        <v>216</v>
      </c>
      <c r="E103" s="19"/>
      <c r="F103" s="59">
        <f t="shared" si="12"/>
        <v>10.870000000000005</v>
      </c>
      <c r="G103" s="95">
        <f t="shared" si="13"/>
        <v>10.870000000000005</v>
      </c>
      <c r="H103" s="197">
        <f t="shared" si="11"/>
        <v>100</v>
      </c>
      <c r="I103" s="98" t="str">
        <f t="shared" si="14"/>
        <v>FAIL</v>
      </c>
    </row>
    <row r="104" spans="2:9" x14ac:dyDescent="0.2">
      <c r="B104" s="2" t="s">
        <v>197</v>
      </c>
      <c r="C104" s="11">
        <v>27.25</v>
      </c>
      <c r="D104" s="10" t="s">
        <v>216</v>
      </c>
      <c r="E104" s="19"/>
      <c r="F104" s="59">
        <f t="shared" si="12"/>
        <v>10.950000000000003</v>
      </c>
      <c r="G104" s="95">
        <f t="shared" si="13"/>
        <v>10.950000000000003</v>
      </c>
      <c r="H104" s="197">
        <f t="shared" si="11"/>
        <v>101</v>
      </c>
      <c r="I104" s="98" t="str">
        <f t="shared" si="14"/>
        <v>FAIL</v>
      </c>
    </row>
    <row r="105" spans="2:9" x14ac:dyDescent="0.2">
      <c r="B105" s="6" t="s">
        <v>8</v>
      </c>
      <c r="C105" s="11">
        <v>27.21</v>
      </c>
      <c r="D105" s="47" t="s">
        <v>217</v>
      </c>
      <c r="E105" s="48"/>
      <c r="F105" s="59">
        <f t="shared" si="12"/>
        <v>10.990000000000002</v>
      </c>
      <c r="G105" s="95">
        <f t="shared" si="13"/>
        <v>10.990000000000002</v>
      </c>
      <c r="H105" s="197">
        <f t="shared" si="11"/>
        <v>102</v>
      </c>
      <c r="I105" s="98" t="str">
        <f t="shared" si="14"/>
        <v>FAIL</v>
      </c>
    </row>
    <row r="106" spans="2:9" x14ac:dyDescent="0.2">
      <c r="B106" s="2" t="s">
        <v>31</v>
      </c>
      <c r="C106" s="11">
        <v>27</v>
      </c>
      <c r="D106" s="10" t="s">
        <v>219</v>
      </c>
      <c r="E106" s="19"/>
      <c r="F106" s="59">
        <f t="shared" si="12"/>
        <v>11.200000000000003</v>
      </c>
      <c r="G106" s="95">
        <f t="shared" si="13"/>
        <v>11.200000000000003</v>
      </c>
      <c r="H106" s="197">
        <f t="shared" si="11"/>
        <v>103</v>
      </c>
      <c r="I106" s="98" t="str">
        <f t="shared" si="14"/>
        <v>FAIL</v>
      </c>
    </row>
    <row r="107" spans="2:9" x14ac:dyDescent="0.2">
      <c r="B107" s="4" t="s">
        <v>148</v>
      </c>
      <c r="C107" s="14">
        <v>27</v>
      </c>
      <c r="D107" s="13" t="s">
        <v>215</v>
      </c>
      <c r="E107" s="28"/>
      <c r="F107" s="59">
        <f t="shared" si="12"/>
        <v>11.200000000000003</v>
      </c>
      <c r="G107" s="95">
        <f t="shared" si="13"/>
        <v>11.200000000000003</v>
      </c>
      <c r="H107" s="197">
        <f t="shared" si="11"/>
        <v>104</v>
      </c>
      <c r="I107" s="98" t="str">
        <f t="shared" si="14"/>
        <v>FAIL</v>
      </c>
    </row>
    <row r="108" spans="2:9" x14ac:dyDescent="0.2">
      <c r="B108" s="5" t="s">
        <v>15</v>
      </c>
      <c r="C108" s="14">
        <v>26.92</v>
      </c>
      <c r="D108" s="13" t="s">
        <v>215</v>
      </c>
      <c r="E108" s="28"/>
      <c r="F108" s="59">
        <f t="shared" si="12"/>
        <v>11.280000000000001</v>
      </c>
      <c r="G108" s="95">
        <f t="shared" si="13"/>
        <v>11.280000000000001</v>
      </c>
      <c r="H108" s="197">
        <f t="shared" si="11"/>
        <v>105</v>
      </c>
      <c r="I108" s="98" t="str">
        <f t="shared" si="14"/>
        <v>FAIL</v>
      </c>
    </row>
    <row r="109" spans="2:9" x14ac:dyDescent="0.2">
      <c r="B109" s="5" t="s">
        <v>104</v>
      </c>
      <c r="C109" s="14">
        <v>26.92</v>
      </c>
      <c r="D109" s="13" t="s">
        <v>215</v>
      </c>
      <c r="E109" s="28"/>
      <c r="F109" s="59">
        <f t="shared" si="12"/>
        <v>11.280000000000001</v>
      </c>
      <c r="G109" s="95">
        <f t="shared" si="13"/>
        <v>11.280000000000001</v>
      </c>
      <c r="H109" s="197">
        <f t="shared" si="11"/>
        <v>106</v>
      </c>
      <c r="I109" s="98" t="str">
        <f t="shared" si="14"/>
        <v>FAIL</v>
      </c>
    </row>
    <row r="110" spans="2:9" x14ac:dyDescent="0.2">
      <c r="B110" s="6" t="s">
        <v>161</v>
      </c>
      <c r="C110" s="14">
        <v>26.87</v>
      </c>
      <c r="D110" s="13" t="s">
        <v>215</v>
      </c>
      <c r="E110" s="28"/>
      <c r="F110" s="59">
        <f t="shared" si="12"/>
        <v>11.330000000000002</v>
      </c>
      <c r="G110" s="95">
        <f t="shared" si="13"/>
        <v>11.330000000000002</v>
      </c>
      <c r="H110" s="197">
        <f t="shared" si="11"/>
        <v>107</v>
      </c>
      <c r="I110" s="98" t="str">
        <f t="shared" si="14"/>
        <v>FAIL</v>
      </c>
    </row>
    <row r="111" spans="2:9" x14ac:dyDescent="0.2">
      <c r="B111" s="2" t="s">
        <v>177</v>
      </c>
      <c r="C111" s="11">
        <v>26.85</v>
      </c>
      <c r="D111" s="10" t="s">
        <v>216</v>
      </c>
      <c r="E111" s="19"/>
      <c r="F111" s="59">
        <f t="shared" si="12"/>
        <v>11.350000000000001</v>
      </c>
      <c r="G111" s="95">
        <f t="shared" si="13"/>
        <v>11.350000000000001</v>
      </c>
      <c r="H111" s="197">
        <f t="shared" si="11"/>
        <v>108</v>
      </c>
      <c r="I111" s="98" t="str">
        <f t="shared" si="14"/>
        <v>FAIL</v>
      </c>
    </row>
    <row r="112" spans="2:9" x14ac:dyDescent="0.2">
      <c r="B112" s="3" t="s">
        <v>2</v>
      </c>
      <c r="C112" s="11">
        <v>26.74</v>
      </c>
      <c r="D112" s="47" t="s">
        <v>217</v>
      </c>
      <c r="E112" s="48"/>
      <c r="F112" s="59">
        <f t="shared" si="12"/>
        <v>11.460000000000004</v>
      </c>
      <c r="G112" s="95">
        <f t="shared" si="13"/>
        <v>11.460000000000004</v>
      </c>
      <c r="H112" s="197">
        <f t="shared" si="11"/>
        <v>109</v>
      </c>
      <c r="I112" s="98" t="str">
        <f t="shared" si="14"/>
        <v>FAIL</v>
      </c>
    </row>
    <row r="113" spans="2:9" x14ac:dyDescent="0.2">
      <c r="B113" s="3" t="s">
        <v>149</v>
      </c>
      <c r="C113" s="14">
        <v>26.68</v>
      </c>
      <c r="D113" s="13" t="s">
        <v>215</v>
      </c>
      <c r="E113" s="28"/>
      <c r="F113" s="59">
        <f t="shared" si="12"/>
        <v>11.520000000000003</v>
      </c>
      <c r="G113" s="95">
        <f t="shared" si="13"/>
        <v>11.520000000000003</v>
      </c>
      <c r="H113" s="197">
        <f t="shared" si="11"/>
        <v>110</v>
      </c>
      <c r="I113" s="98" t="str">
        <f t="shared" si="14"/>
        <v>FAIL</v>
      </c>
    </row>
    <row r="114" spans="2:9" x14ac:dyDescent="0.2">
      <c r="B114" s="5" t="s">
        <v>5</v>
      </c>
      <c r="C114" s="14">
        <v>26.6</v>
      </c>
      <c r="D114" s="13" t="s">
        <v>216</v>
      </c>
      <c r="E114" s="28"/>
      <c r="F114" s="59">
        <f t="shared" si="12"/>
        <v>11.600000000000001</v>
      </c>
      <c r="G114" s="95">
        <f t="shared" si="13"/>
        <v>11.600000000000001</v>
      </c>
      <c r="H114" s="197">
        <f t="shared" si="11"/>
        <v>111</v>
      </c>
      <c r="I114" s="98" t="str">
        <f t="shared" si="14"/>
        <v>FAIL</v>
      </c>
    </row>
    <row r="115" spans="2:9" x14ac:dyDescent="0.2">
      <c r="B115" s="2" t="s">
        <v>112</v>
      </c>
      <c r="C115" s="11">
        <v>26.6</v>
      </c>
      <c r="D115" s="10" t="s">
        <v>216</v>
      </c>
      <c r="E115" s="19"/>
      <c r="F115" s="59">
        <f t="shared" si="12"/>
        <v>11.600000000000001</v>
      </c>
      <c r="G115" s="95">
        <f t="shared" si="13"/>
        <v>11.600000000000001</v>
      </c>
      <c r="H115" s="197">
        <f t="shared" si="11"/>
        <v>112</v>
      </c>
      <c r="I115" s="98" t="str">
        <f t="shared" si="14"/>
        <v>FAIL</v>
      </c>
    </row>
    <row r="116" spans="2:9" x14ac:dyDescent="0.2">
      <c r="B116" s="6" t="s">
        <v>159</v>
      </c>
      <c r="C116" s="11">
        <v>26.56</v>
      </c>
      <c r="D116" s="10" t="s">
        <v>216</v>
      </c>
      <c r="E116" s="19"/>
      <c r="F116" s="59">
        <f t="shared" si="12"/>
        <v>11.640000000000004</v>
      </c>
      <c r="G116" s="95">
        <f t="shared" si="13"/>
        <v>11.640000000000004</v>
      </c>
      <c r="H116" s="197">
        <f t="shared" si="11"/>
        <v>113</v>
      </c>
      <c r="I116" s="98" t="str">
        <f t="shared" si="14"/>
        <v>FAIL</v>
      </c>
    </row>
    <row r="117" spans="2:9" x14ac:dyDescent="0.2">
      <c r="B117" s="2" t="s">
        <v>105</v>
      </c>
      <c r="C117" s="14">
        <v>26.53</v>
      </c>
      <c r="D117" s="13" t="s">
        <v>215</v>
      </c>
      <c r="E117" s="28"/>
      <c r="F117" s="59">
        <f t="shared" si="12"/>
        <v>11.670000000000002</v>
      </c>
      <c r="G117" s="95">
        <f t="shared" si="13"/>
        <v>11.670000000000002</v>
      </c>
      <c r="H117" s="197">
        <f t="shared" si="11"/>
        <v>114</v>
      </c>
      <c r="I117" s="98" t="str">
        <f t="shared" si="14"/>
        <v>FAIL</v>
      </c>
    </row>
    <row r="118" spans="2:9" x14ac:dyDescent="0.2">
      <c r="B118" s="5" t="s">
        <v>210</v>
      </c>
      <c r="C118" s="14">
        <v>26.5</v>
      </c>
      <c r="D118" s="13" t="s">
        <v>216</v>
      </c>
      <c r="E118" s="28"/>
      <c r="F118" s="59">
        <f t="shared" si="12"/>
        <v>11.700000000000003</v>
      </c>
      <c r="G118" s="95">
        <f t="shared" si="13"/>
        <v>11.700000000000003</v>
      </c>
      <c r="H118" s="197">
        <f t="shared" si="11"/>
        <v>115</v>
      </c>
      <c r="I118" s="98" t="str">
        <f t="shared" si="14"/>
        <v>FAIL</v>
      </c>
    </row>
    <row r="119" spans="2:9" x14ac:dyDescent="0.2">
      <c r="B119" s="6" t="s">
        <v>143</v>
      </c>
      <c r="C119" s="14">
        <v>26.4</v>
      </c>
      <c r="D119" s="13" t="s">
        <v>215</v>
      </c>
      <c r="E119" s="28"/>
      <c r="F119" s="59">
        <f t="shared" si="12"/>
        <v>11.800000000000004</v>
      </c>
      <c r="G119" s="95">
        <f t="shared" si="13"/>
        <v>11.800000000000004</v>
      </c>
      <c r="H119" s="197">
        <f t="shared" si="11"/>
        <v>116</v>
      </c>
      <c r="I119" s="98" t="str">
        <f t="shared" si="14"/>
        <v>FAIL</v>
      </c>
    </row>
    <row r="120" spans="2:9" x14ac:dyDescent="0.2">
      <c r="B120" s="7" t="s">
        <v>21</v>
      </c>
      <c r="C120" s="14">
        <v>26.38</v>
      </c>
      <c r="D120" s="13" t="s">
        <v>215</v>
      </c>
      <c r="E120" s="28"/>
      <c r="F120" s="59">
        <f t="shared" si="12"/>
        <v>11.820000000000004</v>
      </c>
      <c r="G120" s="95">
        <f t="shared" si="13"/>
        <v>11.820000000000004</v>
      </c>
      <c r="H120" s="197">
        <f t="shared" si="11"/>
        <v>117</v>
      </c>
      <c r="I120" s="98" t="str">
        <f t="shared" si="14"/>
        <v>FAIL</v>
      </c>
    </row>
    <row r="121" spans="2:9" x14ac:dyDescent="0.2">
      <c r="B121" s="3" t="s">
        <v>13</v>
      </c>
      <c r="C121" s="14">
        <v>26.2</v>
      </c>
      <c r="D121" s="13" t="s">
        <v>215</v>
      </c>
      <c r="E121" s="28"/>
      <c r="F121" s="59">
        <f t="shared" si="12"/>
        <v>12.000000000000004</v>
      </c>
      <c r="G121" s="95">
        <f t="shared" si="13"/>
        <v>12.000000000000004</v>
      </c>
      <c r="H121" s="197">
        <f t="shared" si="11"/>
        <v>118</v>
      </c>
      <c r="I121" s="98" t="str">
        <f t="shared" si="14"/>
        <v>FAIL</v>
      </c>
    </row>
    <row r="122" spans="2:9" x14ac:dyDescent="0.2">
      <c r="B122" s="4" t="s">
        <v>179</v>
      </c>
      <c r="C122" s="14">
        <v>26.17</v>
      </c>
      <c r="D122" s="13" t="s">
        <v>216</v>
      </c>
      <c r="E122" s="28"/>
      <c r="F122" s="59">
        <f t="shared" si="12"/>
        <v>12.030000000000001</v>
      </c>
      <c r="G122" s="95">
        <f t="shared" si="13"/>
        <v>12.030000000000001</v>
      </c>
      <c r="H122" s="197">
        <f t="shared" si="11"/>
        <v>119</v>
      </c>
      <c r="I122" s="98" t="str">
        <f t="shared" si="14"/>
        <v>FAIL</v>
      </c>
    </row>
    <row r="123" spans="2:9" x14ac:dyDescent="0.2">
      <c r="B123" s="3" t="s">
        <v>33</v>
      </c>
      <c r="C123" s="14">
        <v>26.14</v>
      </c>
      <c r="D123" s="13" t="s">
        <v>216</v>
      </c>
      <c r="E123" s="28"/>
      <c r="F123" s="59">
        <f t="shared" si="12"/>
        <v>12.060000000000002</v>
      </c>
      <c r="G123" s="95">
        <f t="shared" si="13"/>
        <v>12.060000000000002</v>
      </c>
      <c r="H123" s="197">
        <f t="shared" si="11"/>
        <v>120</v>
      </c>
      <c r="I123" s="98" t="str">
        <f t="shared" si="14"/>
        <v>FAIL</v>
      </c>
    </row>
    <row r="124" spans="2:9" x14ac:dyDescent="0.2">
      <c r="B124" s="7" t="s">
        <v>125</v>
      </c>
      <c r="C124" s="14">
        <v>26</v>
      </c>
      <c r="D124" s="13" t="s">
        <v>215</v>
      </c>
      <c r="E124" s="28"/>
      <c r="F124" s="59">
        <f t="shared" si="12"/>
        <v>12.200000000000003</v>
      </c>
      <c r="G124" s="95">
        <f t="shared" si="13"/>
        <v>12.200000000000003</v>
      </c>
      <c r="H124" s="197">
        <f t="shared" si="11"/>
        <v>121</v>
      </c>
      <c r="I124" s="98" t="str">
        <f t="shared" si="14"/>
        <v>FAIL</v>
      </c>
    </row>
    <row r="125" spans="2:9" x14ac:dyDescent="0.2">
      <c r="B125" s="6" t="s">
        <v>86</v>
      </c>
      <c r="C125" s="11">
        <v>25.9</v>
      </c>
      <c r="D125" s="10" t="s">
        <v>216</v>
      </c>
      <c r="E125" s="19"/>
      <c r="F125" s="59">
        <f t="shared" si="12"/>
        <v>12.300000000000004</v>
      </c>
      <c r="G125" s="95">
        <f t="shared" si="13"/>
        <v>12.300000000000004</v>
      </c>
      <c r="H125" s="197">
        <f t="shared" si="11"/>
        <v>122</v>
      </c>
      <c r="I125" s="98" t="str">
        <f t="shared" si="14"/>
        <v>FAIL</v>
      </c>
    </row>
    <row r="126" spans="2:9" x14ac:dyDescent="0.2">
      <c r="B126" s="6" t="s">
        <v>176</v>
      </c>
      <c r="C126" s="11">
        <v>25.87</v>
      </c>
      <c r="D126" s="10" t="s">
        <v>216</v>
      </c>
      <c r="E126" s="19"/>
      <c r="F126" s="59">
        <f t="shared" si="12"/>
        <v>12.330000000000002</v>
      </c>
      <c r="G126" s="95">
        <f t="shared" si="13"/>
        <v>12.330000000000002</v>
      </c>
      <c r="H126" s="197">
        <f t="shared" si="11"/>
        <v>123</v>
      </c>
      <c r="I126" s="98" t="str">
        <f t="shared" si="14"/>
        <v>FAIL</v>
      </c>
    </row>
    <row r="127" spans="2:9" x14ac:dyDescent="0.2">
      <c r="B127" s="3" t="s">
        <v>14</v>
      </c>
      <c r="C127" s="14">
        <v>25.73</v>
      </c>
      <c r="D127" s="13" t="s">
        <v>215</v>
      </c>
      <c r="E127" s="28"/>
      <c r="F127" s="59">
        <f t="shared" si="12"/>
        <v>12.470000000000002</v>
      </c>
      <c r="G127" s="95">
        <f t="shared" si="13"/>
        <v>12.470000000000002</v>
      </c>
      <c r="H127" s="197">
        <f t="shared" si="11"/>
        <v>124</v>
      </c>
      <c r="I127" s="98" t="str">
        <f t="shared" si="14"/>
        <v>FAIL</v>
      </c>
    </row>
    <row r="128" spans="2:9" x14ac:dyDescent="0.2">
      <c r="B128" s="5" t="s">
        <v>16</v>
      </c>
      <c r="C128" s="14">
        <v>25.6</v>
      </c>
      <c r="D128" s="13" t="s">
        <v>215</v>
      </c>
      <c r="E128" s="28"/>
      <c r="F128" s="59">
        <f t="shared" si="12"/>
        <v>12.600000000000001</v>
      </c>
      <c r="G128" s="95">
        <f t="shared" si="13"/>
        <v>12.600000000000001</v>
      </c>
      <c r="H128" s="197">
        <f t="shared" si="11"/>
        <v>125</v>
      </c>
      <c r="I128" s="98" t="str">
        <f t="shared" si="14"/>
        <v>FAIL</v>
      </c>
    </row>
    <row r="129" spans="2:9" x14ac:dyDescent="0.2">
      <c r="B129" s="2" t="s">
        <v>96</v>
      </c>
      <c r="C129" s="14">
        <v>25.56</v>
      </c>
      <c r="D129" s="13" t="s">
        <v>215</v>
      </c>
      <c r="E129" s="28"/>
      <c r="F129" s="59">
        <f t="shared" si="12"/>
        <v>12.640000000000004</v>
      </c>
      <c r="G129" s="95">
        <f t="shared" si="13"/>
        <v>12.640000000000004</v>
      </c>
      <c r="H129" s="197">
        <f t="shared" si="11"/>
        <v>126</v>
      </c>
      <c r="I129" s="98" t="str">
        <f t="shared" si="14"/>
        <v>FAIL</v>
      </c>
    </row>
    <row r="130" spans="2:9" x14ac:dyDescent="0.2">
      <c r="B130" s="7" t="s">
        <v>180</v>
      </c>
      <c r="C130" s="14">
        <v>25.5</v>
      </c>
      <c r="D130" s="13" t="s">
        <v>215</v>
      </c>
      <c r="E130" s="28"/>
      <c r="F130" s="59">
        <f t="shared" si="12"/>
        <v>12.700000000000003</v>
      </c>
      <c r="G130" s="95">
        <f t="shared" si="13"/>
        <v>12.700000000000003</v>
      </c>
      <c r="H130" s="197">
        <f t="shared" si="11"/>
        <v>127</v>
      </c>
      <c r="I130" s="98" t="str">
        <f t="shared" si="14"/>
        <v>FAIL</v>
      </c>
    </row>
    <row r="131" spans="2:9" x14ac:dyDescent="0.2">
      <c r="B131" s="3" t="s">
        <v>184</v>
      </c>
      <c r="C131" s="11">
        <v>25.33</v>
      </c>
      <c r="D131" s="47" t="s">
        <v>217</v>
      </c>
      <c r="E131" s="48"/>
      <c r="F131" s="59">
        <f t="shared" si="12"/>
        <v>12.870000000000005</v>
      </c>
      <c r="G131" s="95">
        <f t="shared" si="13"/>
        <v>12.870000000000005</v>
      </c>
      <c r="H131" s="197">
        <f t="shared" si="11"/>
        <v>128</v>
      </c>
      <c r="I131" s="98" t="str">
        <f t="shared" si="14"/>
        <v>FAIL</v>
      </c>
    </row>
    <row r="132" spans="2:9" x14ac:dyDescent="0.2">
      <c r="B132" s="5" t="s">
        <v>111</v>
      </c>
      <c r="C132" s="14">
        <v>25.13</v>
      </c>
      <c r="D132" s="13" t="s">
        <v>215</v>
      </c>
      <c r="E132" s="28"/>
      <c r="F132" s="59">
        <f t="shared" si="12"/>
        <v>13.070000000000004</v>
      </c>
      <c r="G132" s="95">
        <f t="shared" si="13"/>
        <v>13.070000000000004</v>
      </c>
      <c r="H132" s="197">
        <f t="shared" si="11"/>
        <v>129</v>
      </c>
      <c r="I132" s="98" t="str">
        <f t="shared" si="14"/>
        <v>FAIL</v>
      </c>
    </row>
    <row r="133" spans="2:9" x14ac:dyDescent="0.2">
      <c r="B133" s="6" t="s">
        <v>158</v>
      </c>
      <c r="C133" s="11">
        <v>24.98</v>
      </c>
      <c r="D133" s="10" t="s">
        <v>219</v>
      </c>
      <c r="E133" s="19"/>
      <c r="F133" s="59">
        <f t="shared" ref="F133:F164" si="15">$K$9-C133</f>
        <v>13.220000000000002</v>
      </c>
      <c r="G133" s="95">
        <f t="shared" ref="G133:G164" si="16">(F133^2)^0.5</f>
        <v>13.220000000000002</v>
      </c>
      <c r="H133" s="197">
        <f t="shared" si="11"/>
        <v>130</v>
      </c>
      <c r="I133" s="98" t="str">
        <f t="shared" ref="I133:I164" si="17">IF(G133&lt;=$N$9,"PASS","FAIL")</f>
        <v>FAIL</v>
      </c>
    </row>
    <row r="134" spans="2:9" x14ac:dyDescent="0.2">
      <c r="B134" s="2" t="s">
        <v>82</v>
      </c>
      <c r="C134" s="11">
        <v>24.9</v>
      </c>
      <c r="D134" s="10" t="s">
        <v>216</v>
      </c>
      <c r="E134" s="19"/>
      <c r="F134" s="59">
        <f t="shared" si="15"/>
        <v>13.300000000000004</v>
      </c>
      <c r="G134" s="95">
        <f t="shared" si="16"/>
        <v>13.300000000000004</v>
      </c>
      <c r="H134" s="197">
        <f t="shared" si="11"/>
        <v>131</v>
      </c>
      <c r="I134" s="98" t="str">
        <f t="shared" si="17"/>
        <v>FAIL</v>
      </c>
    </row>
    <row r="135" spans="2:9" x14ac:dyDescent="0.2">
      <c r="B135" s="2" t="s">
        <v>98</v>
      </c>
      <c r="C135" s="11">
        <v>24.75</v>
      </c>
      <c r="D135" s="10" t="s">
        <v>216</v>
      </c>
      <c r="E135" s="19"/>
      <c r="F135" s="59">
        <f t="shared" si="15"/>
        <v>13.450000000000003</v>
      </c>
      <c r="G135" s="95">
        <f t="shared" si="16"/>
        <v>13.450000000000003</v>
      </c>
      <c r="H135" s="197">
        <f t="shared" si="11"/>
        <v>132</v>
      </c>
      <c r="I135" s="98" t="str">
        <f t="shared" si="17"/>
        <v>FAIL</v>
      </c>
    </row>
    <row r="136" spans="2:9" x14ac:dyDescent="0.2">
      <c r="B136" s="2" t="s">
        <v>11</v>
      </c>
      <c r="C136" s="14">
        <v>24.67</v>
      </c>
      <c r="D136" s="13" t="s">
        <v>215</v>
      </c>
      <c r="E136" s="28"/>
      <c r="F136" s="59">
        <f t="shared" si="15"/>
        <v>13.530000000000001</v>
      </c>
      <c r="G136" s="95">
        <f t="shared" si="16"/>
        <v>13.530000000000001</v>
      </c>
      <c r="H136" s="197">
        <f t="shared" ref="H136:H195" si="18">1+H135</f>
        <v>133</v>
      </c>
      <c r="I136" s="98" t="str">
        <f t="shared" si="17"/>
        <v>FAIL</v>
      </c>
    </row>
    <row r="137" spans="2:9" x14ac:dyDescent="0.2">
      <c r="B137" s="2" t="s">
        <v>144</v>
      </c>
      <c r="C137" s="11">
        <v>24.61</v>
      </c>
      <c r="D137" s="10" t="s">
        <v>216</v>
      </c>
      <c r="E137" s="19"/>
      <c r="F137" s="59">
        <f t="shared" si="15"/>
        <v>13.590000000000003</v>
      </c>
      <c r="G137" s="95">
        <f t="shared" si="16"/>
        <v>13.590000000000003</v>
      </c>
      <c r="H137" s="197">
        <f t="shared" si="18"/>
        <v>134</v>
      </c>
      <c r="I137" s="98" t="str">
        <f t="shared" si="17"/>
        <v>FAIL</v>
      </c>
    </row>
    <row r="138" spans="2:9" x14ac:dyDescent="0.2">
      <c r="B138" s="6" t="s">
        <v>191</v>
      </c>
      <c r="C138" s="14">
        <v>24.6</v>
      </c>
      <c r="D138" s="13" t="s">
        <v>215</v>
      </c>
      <c r="E138" s="28"/>
      <c r="F138" s="59">
        <f t="shared" si="15"/>
        <v>13.600000000000001</v>
      </c>
      <c r="G138" s="95">
        <f t="shared" si="16"/>
        <v>13.600000000000001</v>
      </c>
      <c r="H138" s="197">
        <f t="shared" si="18"/>
        <v>135</v>
      </c>
      <c r="I138" s="98" t="str">
        <f t="shared" si="17"/>
        <v>FAIL</v>
      </c>
    </row>
    <row r="139" spans="2:9" x14ac:dyDescent="0.2">
      <c r="B139" s="6" t="s">
        <v>88</v>
      </c>
      <c r="C139" s="11">
        <v>24.5</v>
      </c>
      <c r="D139" s="10" t="s">
        <v>216</v>
      </c>
      <c r="E139" s="19"/>
      <c r="F139" s="59">
        <f t="shared" si="15"/>
        <v>13.700000000000003</v>
      </c>
      <c r="G139" s="95">
        <f t="shared" si="16"/>
        <v>13.700000000000003</v>
      </c>
      <c r="H139" s="197">
        <f t="shared" si="18"/>
        <v>136</v>
      </c>
      <c r="I139" s="98" t="str">
        <f t="shared" si="17"/>
        <v>FAIL</v>
      </c>
    </row>
    <row r="140" spans="2:9" x14ac:dyDescent="0.2">
      <c r="B140" s="3" t="s">
        <v>115</v>
      </c>
      <c r="C140" s="11">
        <v>24.5</v>
      </c>
      <c r="D140" s="10" t="s">
        <v>216</v>
      </c>
      <c r="E140" s="19"/>
      <c r="F140" s="59">
        <f t="shared" si="15"/>
        <v>13.700000000000003</v>
      </c>
      <c r="G140" s="95">
        <f t="shared" si="16"/>
        <v>13.700000000000003</v>
      </c>
      <c r="H140" s="197">
        <f t="shared" si="18"/>
        <v>137</v>
      </c>
      <c r="I140" s="98" t="str">
        <f t="shared" si="17"/>
        <v>FAIL</v>
      </c>
    </row>
    <row r="141" spans="2:9" x14ac:dyDescent="0.2">
      <c r="B141" s="4" t="s">
        <v>122</v>
      </c>
      <c r="C141" s="14">
        <v>24.46</v>
      </c>
      <c r="D141" s="13" t="s">
        <v>215</v>
      </c>
      <c r="E141" s="28"/>
      <c r="F141" s="59">
        <f t="shared" si="15"/>
        <v>13.740000000000002</v>
      </c>
      <c r="G141" s="95">
        <f t="shared" si="16"/>
        <v>13.740000000000002</v>
      </c>
      <c r="H141" s="197">
        <f t="shared" si="18"/>
        <v>138</v>
      </c>
      <c r="I141" s="98" t="str">
        <f t="shared" si="17"/>
        <v>FAIL</v>
      </c>
    </row>
    <row r="142" spans="2:9" x14ac:dyDescent="0.2">
      <c r="B142" s="2" t="s">
        <v>183</v>
      </c>
      <c r="C142" s="11">
        <v>24.3</v>
      </c>
      <c r="D142" s="47" t="s">
        <v>217</v>
      </c>
      <c r="E142" s="48"/>
      <c r="F142" s="59">
        <f t="shared" si="15"/>
        <v>13.900000000000002</v>
      </c>
      <c r="G142" s="95">
        <f t="shared" si="16"/>
        <v>13.900000000000002</v>
      </c>
      <c r="H142" s="197">
        <f t="shared" si="18"/>
        <v>139</v>
      </c>
      <c r="I142" s="98" t="str">
        <f t="shared" si="17"/>
        <v>FAIL</v>
      </c>
    </row>
    <row r="143" spans="2:9" x14ac:dyDescent="0.2">
      <c r="B143" s="6" t="s">
        <v>126</v>
      </c>
      <c r="C143" s="14">
        <v>24.28</v>
      </c>
      <c r="D143" s="13" t="s">
        <v>215</v>
      </c>
      <c r="E143" s="28"/>
      <c r="F143" s="59">
        <f t="shared" si="15"/>
        <v>13.920000000000002</v>
      </c>
      <c r="G143" s="95">
        <f t="shared" si="16"/>
        <v>13.920000000000002</v>
      </c>
      <c r="H143" s="197">
        <f t="shared" si="18"/>
        <v>140</v>
      </c>
      <c r="I143" s="98" t="str">
        <f t="shared" si="17"/>
        <v>FAIL</v>
      </c>
    </row>
    <row r="144" spans="2:9" x14ac:dyDescent="0.2">
      <c r="B144" s="3" t="s">
        <v>117</v>
      </c>
      <c r="C144" s="14">
        <v>24.27</v>
      </c>
      <c r="D144" s="13" t="s">
        <v>215</v>
      </c>
      <c r="E144" s="28"/>
      <c r="F144" s="59">
        <f t="shared" si="15"/>
        <v>13.930000000000003</v>
      </c>
      <c r="G144" s="95">
        <f t="shared" si="16"/>
        <v>13.930000000000003</v>
      </c>
      <c r="H144" s="197">
        <f t="shared" si="18"/>
        <v>141</v>
      </c>
      <c r="I144" s="98" t="str">
        <f t="shared" si="17"/>
        <v>FAIL</v>
      </c>
    </row>
    <row r="145" spans="2:9" x14ac:dyDescent="0.2">
      <c r="B145" s="2" t="s">
        <v>121</v>
      </c>
      <c r="C145" s="14">
        <v>24.1</v>
      </c>
      <c r="D145" s="13" t="s">
        <v>215</v>
      </c>
      <c r="E145" s="28"/>
      <c r="F145" s="59">
        <f t="shared" si="15"/>
        <v>14.100000000000001</v>
      </c>
      <c r="G145" s="95">
        <f t="shared" si="16"/>
        <v>14.100000000000001</v>
      </c>
      <c r="H145" s="197">
        <f t="shared" si="18"/>
        <v>142</v>
      </c>
      <c r="I145" s="98" t="str">
        <f t="shared" si="17"/>
        <v>FAIL</v>
      </c>
    </row>
    <row r="146" spans="2:9" x14ac:dyDescent="0.2">
      <c r="B146" s="2" t="s">
        <v>99</v>
      </c>
      <c r="C146" s="11">
        <v>24</v>
      </c>
      <c r="D146" s="10" t="s">
        <v>216</v>
      </c>
      <c r="E146" s="19"/>
      <c r="F146" s="59">
        <f t="shared" si="15"/>
        <v>14.200000000000003</v>
      </c>
      <c r="G146" s="95">
        <f t="shared" si="16"/>
        <v>14.200000000000003</v>
      </c>
      <c r="H146" s="197">
        <f t="shared" si="18"/>
        <v>143</v>
      </c>
      <c r="I146" s="98" t="str">
        <f t="shared" si="17"/>
        <v>FAIL</v>
      </c>
    </row>
    <row r="147" spans="2:9" x14ac:dyDescent="0.2">
      <c r="B147" s="2" t="s">
        <v>116</v>
      </c>
      <c r="C147" s="11">
        <v>24</v>
      </c>
      <c r="D147" s="10" t="s">
        <v>216</v>
      </c>
      <c r="E147" s="19"/>
      <c r="F147" s="59">
        <f t="shared" si="15"/>
        <v>14.200000000000003</v>
      </c>
      <c r="G147" s="95">
        <f t="shared" si="16"/>
        <v>14.200000000000003</v>
      </c>
      <c r="H147" s="197">
        <f t="shared" si="18"/>
        <v>144</v>
      </c>
      <c r="I147" s="98" t="str">
        <f t="shared" si="17"/>
        <v>FAIL</v>
      </c>
    </row>
    <row r="148" spans="2:9" x14ac:dyDescent="0.2">
      <c r="B148" s="6" t="s">
        <v>123</v>
      </c>
      <c r="C148" s="11">
        <v>24</v>
      </c>
      <c r="D148" s="10" t="s">
        <v>216</v>
      </c>
      <c r="E148" s="19"/>
      <c r="F148" s="59">
        <f t="shared" si="15"/>
        <v>14.200000000000003</v>
      </c>
      <c r="G148" s="95">
        <f t="shared" si="16"/>
        <v>14.200000000000003</v>
      </c>
      <c r="H148" s="197">
        <f t="shared" si="18"/>
        <v>145</v>
      </c>
      <c r="I148" s="98" t="str">
        <f t="shared" si="17"/>
        <v>FAIL</v>
      </c>
    </row>
    <row r="149" spans="2:9" x14ac:dyDescent="0.2">
      <c r="B149" s="6" t="s">
        <v>178</v>
      </c>
      <c r="C149" s="11">
        <v>23.92</v>
      </c>
      <c r="D149" s="10" t="s">
        <v>216</v>
      </c>
      <c r="E149" s="19"/>
      <c r="F149" s="59">
        <f t="shared" si="15"/>
        <v>14.280000000000001</v>
      </c>
      <c r="G149" s="95">
        <f t="shared" si="16"/>
        <v>14.280000000000001</v>
      </c>
      <c r="H149" s="197">
        <f t="shared" si="18"/>
        <v>146</v>
      </c>
      <c r="I149" s="98" t="str">
        <f t="shared" si="17"/>
        <v>FAIL</v>
      </c>
    </row>
    <row r="150" spans="2:9" x14ac:dyDescent="0.2">
      <c r="B150" s="6" t="s">
        <v>26</v>
      </c>
      <c r="C150" s="11">
        <v>23.8</v>
      </c>
      <c r="D150" s="10" t="s">
        <v>219</v>
      </c>
      <c r="E150" s="19"/>
      <c r="F150" s="59">
        <f t="shared" si="15"/>
        <v>14.400000000000002</v>
      </c>
      <c r="G150" s="95">
        <f t="shared" si="16"/>
        <v>14.400000000000002</v>
      </c>
      <c r="H150" s="197">
        <f t="shared" si="18"/>
        <v>147</v>
      </c>
      <c r="I150" s="98" t="str">
        <f t="shared" si="17"/>
        <v>FAIL</v>
      </c>
    </row>
    <row r="151" spans="2:9" x14ac:dyDescent="0.2">
      <c r="B151" s="6" t="s">
        <v>114</v>
      </c>
      <c r="C151" s="14">
        <v>23.75</v>
      </c>
      <c r="D151" s="13" t="s">
        <v>215</v>
      </c>
      <c r="E151" s="28"/>
      <c r="F151" s="59">
        <f t="shared" si="15"/>
        <v>14.450000000000003</v>
      </c>
      <c r="G151" s="95">
        <f t="shared" si="16"/>
        <v>14.450000000000003</v>
      </c>
      <c r="H151" s="197">
        <f t="shared" si="18"/>
        <v>148</v>
      </c>
      <c r="I151" s="98" t="str">
        <f t="shared" si="17"/>
        <v>FAIL</v>
      </c>
    </row>
    <row r="152" spans="2:9" x14ac:dyDescent="0.2">
      <c r="B152" s="6" t="s">
        <v>119</v>
      </c>
      <c r="C152" s="11">
        <v>23.7</v>
      </c>
      <c r="D152" s="10" t="s">
        <v>216</v>
      </c>
      <c r="E152" s="19"/>
      <c r="F152" s="59">
        <f t="shared" si="15"/>
        <v>14.500000000000004</v>
      </c>
      <c r="G152" s="95">
        <f t="shared" si="16"/>
        <v>14.500000000000004</v>
      </c>
      <c r="H152" s="197">
        <f t="shared" si="18"/>
        <v>149</v>
      </c>
      <c r="I152" s="98" t="str">
        <f t="shared" si="17"/>
        <v>FAIL</v>
      </c>
    </row>
    <row r="153" spans="2:9" x14ac:dyDescent="0.2">
      <c r="B153" s="3" t="s">
        <v>17</v>
      </c>
      <c r="C153" s="14">
        <v>23.45</v>
      </c>
      <c r="D153" s="13" t="s">
        <v>215</v>
      </c>
      <c r="E153" s="28"/>
      <c r="F153" s="59">
        <f t="shared" si="15"/>
        <v>14.750000000000004</v>
      </c>
      <c r="G153" s="95">
        <f t="shared" si="16"/>
        <v>14.750000000000004</v>
      </c>
      <c r="H153" s="197">
        <f t="shared" si="18"/>
        <v>150</v>
      </c>
      <c r="I153" s="98" t="str">
        <f t="shared" si="17"/>
        <v>FAIL</v>
      </c>
    </row>
    <row r="154" spans="2:9" x14ac:dyDescent="0.2">
      <c r="B154" s="6" t="s">
        <v>18</v>
      </c>
      <c r="C154" s="14">
        <v>23.37</v>
      </c>
      <c r="D154" s="13" t="s">
        <v>215</v>
      </c>
      <c r="E154" s="28"/>
      <c r="F154" s="59">
        <f t="shared" si="15"/>
        <v>14.830000000000002</v>
      </c>
      <c r="G154" s="95">
        <f t="shared" si="16"/>
        <v>14.830000000000002</v>
      </c>
      <c r="H154" s="197">
        <f t="shared" si="18"/>
        <v>151</v>
      </c>
      <c r="I154" s="98" t="str">
        <f t="shared" si="17"/>
        <v>FAIL</v>
      </c>
    </row>
    <row r="155" spans="2:9" x14ac:dyDescent="0.2">
      <c r="B155" s="2" t="s">
        <v>167</v>
      </c>
      <c r="C155" s="11">
        <v>23.37</v>
      </c>
      <c r="D155" s="10" t="s">
        <v>216</v>
      </c>
      <c r="E155" s="19"/>
      <c r="F155" s="59">
        <f t="shared" si="15"/>
        <v>14.830000000000002</v>
      </c>
      <c r="G155" s="95">
        <f t="shared" si="16"/>
        <v>14.830000000000002</v>
      </c>
      <c r="H155" s="197">
        <f t="shared" si="18"/>
        <v>152</v>
      </c>
      <c r="I155" s="98" t="str">
        <f t="shared" si="17"/>
        <v>FAIL</v>
      </c>
    </row>
    <row r="156" spans="2:9" x14ac:dyDescent="0.2">
      <c r="B156" s="6" t="s">
        <v>185</v>
      </c>
      <c r="C156" s="14">
        <v>23.29</v>
      </c>
      <c r="D156" s="13" t="s">
        <v>215</v>
      </c>
      <c r="E156" s="28"/>
      <c r="F156" s="59">
        <f t="shared" si="15"/>
        <v>14.910000000000004</v>
      </c>
      <c r="G156" s="95">
        <f t="shared" si="16"/>
        <v>14.910000000000004</v>
      </c>
      <c r="H156" s="197">
        <f t="shared" si="18"/>
        <v>153</v>
      </c>
      <c r="I156" s="98" t="str">
        <f t="shared" si="17"/>
        <v>FAIL</v>
      </c>
    </row>
    <row r="157" spans="2:9" x14ac:dyDescent="0.2">
      <c r="B157" s="5" t="s">
        <v>74</v>
      </c>
      <c r="C157" s="14">
        <v>23.17</v>
      </c>
      <c r="D157" s="13" t="s">
        <v>215</v>
      </c>
      <c r="E157" s="28"/>
      <c r="F157" s="59">
        <f t="shared" si="15"/>
        <v>15.030000000000001</v>
      </c>
      <c r="G157" s="95">
        <f t="shared" si="16"/>
        <v>15.030000000000001</v>
      </c>
      <c r="H157" s="197">
        <f t="shared" si="18"/>
        <v>154</v>
      </c>
      <c r="I157" s="98" t="str">
        <f t="shared" si="17"/>
        <v>FAIL</v>
      </c>
    </row>
    <row r="158" spans="2:9" x14ac:dyDescent="0.2">
      <c r="B158" s="3" t="s">
        <v>27</v>
      </c>
      <c r="C158" s="14">
        <v>22.98</v>
      </c>
      <c r="D158" s="13" t="s">
        <v>215</v>
      </c>
      <c r="E158" s="28"/>
      <c r="F158" s="59">
        <f t="shared" si="15"/>
        <v>15.220000000000002</v>
      </c>
      <c r="G158" s="95">
        <f t="shared" si="16"/>
        <v>15.220000000000002</v>
      </c>
      <c r="H158" s="197">
        <f t="shared" si="18"/>
        <v>155</v>
      </c>
      <c r="I158" s="98" t="str">
        <f t="shared" si="17"/>
        <v>FAIL</v>
      </c>
    </row>
    <row r="159" spans="2:9" x14ac:dyDescent="0.2">
      <c r="B159" s="2" t="s">
        <v>20</v>
      </c>
      <c r="C159" s="11">
        <v>22.77</v>
      </c>
      <c r="D159" s="10" t="s">
        <v>216</v>
      </c>
      <c r="E159" s="19"/>
      <c r="F159" s="59">
        <f t="shared" si="15"/>
        <v>15.430000000000003</v>
      </c>
      <c r="G159" s="95">
        <f t="shared" si="16"/>
        <v>15.430000000000003</v>
      </c>
      <c r="H159" s="197">
        <f t="shared" si="18"/>
        <v>156</v>
      </c>
      <c r="I159" s="98" t="str">
        <f t="shared" si="17"/>
        <v>FAIL</v>
      </c>
    </row>
    <row r="160" spans="2:9" x14ac:dyDescent="0.2">
      <c r="B160" s="5" t="s">
        <v>186</v>
      </c>
      <c r="C160" s="14">
        <v>22.68</v>
      </c>
      <c r="D160" s="13" t="s">
        <v>215</v>
      </c>
      <c r="E160" s="28"/>
      <c r="F160" s="59">
        <f t="shared" si="15"/>
        <v>15.520000000000003</v>
      </c>
      <c r="G160" s="95">
        <f t="shared" si="16"/>
        <v>15.520000000000003</v>
      </c>
      <c r="H160" s="197">
        <f t="shared" si="18"/>
        <v>157</v>
      </c>
      <c r="I160" s="98" t="str">
        <f t="shared" si="17"/>
        <v>FAIL</v>
      </c>
    </row>
    <row r="161" spans="2:9" x14ac:dyDescent="0.2">
      <c r="B161" s="2" t="s">
        <v>80</v>
      </c>
      <c r="C161" s="11">
        <v>22.4</v>
      </c>
      <c r="D161" s="10" t="s">
        <v>216</v>
      </c>
      <c r="E161" s="19"/>
      <c r="F161" s="59">
        <f t="shared" si="15"/>
        <v>15.800000000000004</v>
      </c>
      <c r="G161" s="95">
        <f t="shared" si="16"/>
        <v>15.800000000000004</v>
      </c>
      <c r="H161" s="197">
        <f t="shared" si="18"/>
        <v>158</v>
      </c>
      <c r="I161" s="98" t="str">
        <f t="shared" si="17"/>
        <v>FAIL</v>
      </c>
    </row>
    <row r="162" spans="2:9" x14ac:dyDescent="0.2">
      <c r="B162" s="6" t="s">
        <v>28</v>
      </c>
      <c r="C162" s="14">
        <v>22.3</v>
      </c>
      <c r="D162" s="13" t="s">
        <v>215</v>
      </c>
      <c r="E162" s="28"/>
      <c r="F162" s="59">
        <f t="shared" si="15"/>
        <v>15.900000000000002</v>
      </c>
      <c r="G162" s="95">
        <f t="shared" si="16"/>
        <v>15.900000000000002</v>
      </c>
      <c r="H162" s="197">
        <f t="shared" si="18"/>
        <v>159</v>
      </c>
      <c r="I162" s="98" t="str">
        <f t="shared" si="17"/>
        <v>FAIL</v>
      </c>
    </row>
    <row r="163" spans="2:9" x14ac:dyDescent="0.2">
      <c r="B163" s="6" t="s">
        <v>120</v>
      </c>
      <c r="C163" s="14">
        <v>22.1</v>
      </c>
      <c r="D163" s="13" t="s">
        <v>215</v>
      </c>
      <c r="E163" s="28"/>
      <c r="F163" s="59">
        <f t="shared" si="15"/>
        <v>16.100000000000001</v>
      </c>
      <c r="G163" s="95">
        <f t="shared" si="16"/>
        <v>16.100000000000001</v>
      </c>
      <c r="H163" s="197">
        <f t="shared" si="18"/>
        <v>160</v>
      </c>
      <c r="I163" s="98" t="str">
        <f t="shared" si="17"/>
        <v>FAIL</v>
      </c>
    </row>
    <row r="164" spans="2:9" x14ac:dyDescent="0.2">
      <c r="B164" s="2" t="s">
        <v>25</v>
      </c>
      <c r="C164" s="14">
        <v>21.99</v>
      </c>
      <c r="D164" s="13" t="s">
        <v>215</v>
      </c>
      <c r="E164" s="28"/>
      <c r="F164" s="59">
        <f t="shared" si="15"/>
        <v>16.210000000000004</v>
      </c>
      <c r="G164" s="95">
        <f t="shared" si="16"/>
        <v>16.210000000000004</v>
      </c>
      <c r="H164" s="197">
        <f t="shared" si="18"/>
        <v>161</v>
      </c>
      <c r="I164" s="98" t="str">
        <f t="shared" si="17"/>
        <v>FAIL</v>
      </c>
    </row>
    <row r="165" spans="2:9" x14ac:dyDescent="0.2">
      <c r="B165" s="3" t="s">
        <v>134</v>
      </c>
      <c r="C165" s="14">
        <v>21.99</v>
      </c>
      <c r="D165" s="13" t="s">
        <v>215</v>
      </c>
      <c r="E165" s="28"/>
      <c r="F165" s="59">
        <f t="shared" ref="F165:F195" si="19">$K$9-C165</f>
        <v>16.210000000000004</v>
      </c>
      <c r="G165" s="95">
        <f t="shared" ref="G165:G195" si="20">(F165^2)^0.5</f>
        <v>16.210000000000004</v>
      </c>
      <c r="H165" s="197">
        <f t="shared" si="18"/>
        <v>162</v>
      </c>
      <c r="I165" s="98" t="str">
        <f t="shared" ref="I165:I195" si="21">IF(G165&lt;=$N$9,"PASS","FAIL")</f>
        <v>FAIL</v>
      </c>
    </row>
    <row r="166" spans="2:9" x14ac:dyDescent="0.2">
      <c r="B166" s="2" t="s">
        <v>93</v>
      </c>
      <c r="C166" s="11">
        <v>21.78</v>
      </c>
      <c r="D166" s="10" t="s">
        <v>216</v>
      </c>
      <c r="E166" s="19"/>
      <c r="F166" s="59">
        <f t="shared" si="19"/>
        <v>16.420000000000002</v>
      </c>
      <c r="G166" s="95">
        <f t="shared" si="20"/>
        <v>16.420000000000002</v>
      </c>
      <c r="H166" s="197">
        <f t="shared" si="18"/>
        <v>163</v>
      </c>
      <c r="I166" s="98" t="str">
        <f t="shared" si="21"/>
        <v>FAIL</v>
      </c>
    </row>
    <row r="167" spans="2:9" x14ac:dyDescent="0.2">
      <c r="B167" s="6" t="s">
        <v>170</v>
      </c>
      <c r="C167" s="11">
        <v>21.7</v>
      </c>
      <c r="D167" s="10" t="s">
        <v>219</v>
      </c>
      <c r="E167" s="19"/>
      <c r="F167" s="59">
        <f t="shared" si="19"/>
        <v>16.500000000000004</v>
      </c>
      <c r="G167" s="95">
        <f t="shared" si="20"/>
        <v>16.500000000000004</v>
      </c>
      <c r="H167" s="197">
        <f t="shared" si="18"/>
        <v>164</v>
      </c>
      <c r="I167" s="98" t="str">
        <f t="shared" si="21"/>
        <v>FAIL</v>
      </c>
    </row>
    <row r="168" spans="2:9" x14ac:dyDescent="0.2">
      <c r="B168" s="5" t="s">
        <v>147</v>
      </c>
      <c r="C168" s="11">
        <v>21.62</v>
      </c>
      <c r="D168" s="10" t="s">
        <v>271</v>
      </c>
      <c r="E168" s="19"/>
      <c r="F168" s="59">
        <f t="shared" si="19"/>
        <v>16.580000000000002</v>
      </c>
      <c r="G168" s="95">
        <f t="shared" si="20"/>
        <v>16.580000000000002</v>
      </c>
      <c r="H168" s="197">
        <f t="shared" si="18"/>
        <v>165</v>
      </c>
      <c r="I168" s="98" t="str">
        <f t="shared" si="21"/>
        <v>FAIL</v>
      </c>
    </row>
    <row r="169" spans="2:9" x14ac:dyDescent="0.2">
      <c r="B169" s="2" t="s">
        <v>211</v>
      </c>
      <c r="C169" s="14">
        <v>21.62</v>
      </c>
      <c r="D169" s="13" t="s">
        <v>216</v>
      </c>
      <c r="E169" s="28"/>
      <c r="F169" s="59">
        <f t="shared" si="19"/>
        <v>16.580000000000002</v>
      </c>
      <c r="G169" s="95">
        <f t="shared" si="20"/>
        <v>16.580000000000002</v>
      </c>
      <c r="H169" s="197">
        <f t="shared" si="18"/>
        <v>166</v>
      </c>
      <c r="I169" s="98" t="str">
        <f t="shared" si="21"/>
        <v>FAIL</v>
      </c>
    </row>
    <row r="170" spans="2:9" x14ac:dyDescent="0.2">
      <c r="B170" s="2" t="s">
        <v>165</v>
      </c>
      <c r="C170" s="11">
        <v>21.6</v>
      </c>
      <c r="D170" s="10" t="s">
        <v>216</v>
      </c>
      <c r="E170" s="19"/>
      <c r="F170" s="59">
        <f t="shared" si="19"/>
        <v>16.600000000000001</v>
      </c>
      <c r="G170" s="95">
        <f t="shared" si="20"/>
        <v>16.600000000000001</v>
      </c>
      <c r="H170" s="197">
        <f t="shared" si="18"/>
        <v>167</v>
      </c>
      <c r="I170" s="98" t="str">
        <f t="shared" si="21"/>
        <v>FAIL</v>
      </c>
    </row>
    <row r="171" spans="2:9" x14ac:dyDescent="0.2">
      <c r="B171" s="5" t="s">
        <v>63</v>
      </c>
      <c r="C171" s="11">
        <v>21.2</v>
      </c>
      <c r="D171" s="10" t="s">
        <v>216</v>
      </c>
      <c r="E171" s="19"/>
      <c r="F171" s="59">
        <f t="shared" si="19"/>
        <v>17.000000000000004</v>
      </c>
      <c r="G171" s="95">
        <f t="shared" si="20"/>
        <v>17.000000000000004</v>
      </c>
      <c r="H171" s="197">
        <f t="shared" si="18"/>
        <v>168</v>
      </c>
      <c r="I171" s="98" t="str">
        <f t="shared" si="21"/>
        <v>FAIL</v>
      </c>
    </row>
    <row r="172" spans="2:9" x14ac:dyDescent="0.2">
      <c r="B172" s="2" t="s">
        <v>151</v>
      </c>
      <c r="C172" s="11">
        <v>21.1</v>
      </c>
      <c r="D172" s="10" t="s">
        <v>216</v>
      </c>
      <c r="E172" s="19"/>
      <c r="F172" s="59">
        <f t="shared" si="19"/>
        <v>17.100000000000001</v>
      </c>
      <c r="G172" s="95">
        <f t="shared" si="20"/>
        <v>17.100000000000001</v>
      </c>
      <c r="H172" s="197">
        <f t="shared" si="18"/>
        <v>169</v>
      </c>
      <c r="I172" s="98" t="str">
        <f t="shared" si="21"/>
        <v>FAIL</v>
      </c>
    </row>
    <row r="173" spans="2:9" x14ac:dyDescent="0.2">
      <c r="B173" s="3" t="s">
        <v>22</v>
      </c>
      <c r="C173" s="14">
        <v>20.93</v>
      </c>
      <c r="D173" s="13" t="s">
        <v>216</v>
      </c>
      <c r="E173" s="28"/>
      <c r="F173" s="59">
        <f t="shared" si="19"/>
        <v>17.270000000000003</v>
      </c>
      <c r="G173" s="95">
        <f t="shared" si="20"/>
        <v>17.270000000000003</v>
      </c>
      <c r="H173" s="197">
        <f t="shared" si="18"/>
        <v>170</v>
      </c>
      <c r="I173" s="98" t="str">
        <f t="shared" si="21"/>
        <v>FAIL</v>
      </c>
    </row>
    <row r="174" spans="2:9" x14ac:dyDescent="0.2">
      <c r="B174" s="6" t="s">
        <v>83</v>
      </c>
      <c r="C174" s="14">
        <v>20.66</v>
      </c>
      <c r="D174" s="13" t="s">
        <v>215</v>
      </c>
      <c r="E174" s="28"/>
      <c r="F174" s="59">
        <f t="shared" si="19"/>
        <v>17.540000000000003</v>
      </c>
      <c r="G174" s="95">
        <f t="shared" si="20"/>
        <v>17.540000000000003</v>
      </c>
      <c r="H174" s="197">
        <f t="shared" si="18"/>
        <v>171</v>
      </c>
      <c r="I174" s="98" t="str">
        <f t="shared" si="21"/>
        <v>FAIL</v>
      </c>
    </row>
    <row r="175" spans="2:9" x14ac:dyDescent="0.2">
      <c r="B175" s="2" t="s">
        <v>75</v>
      </c>
      <c r="C175" s="11">
        <v>19.850000000000001</v>
      </c>
      <c r="D175" s="47" t="s">
        <v>217</v>
      </c>
      <c r="E175" s="48"/>
      <c r="F175" s="59">
        <f t="shared" si="19"/>
        <v>18.350000000000001</v>
      </c>
      <c r="G175" s="95">
        <f t="shared" si="20"/>
        <v>18.350000000000001</v>
      </c>
      <c r="H175" s="197">
        <f t="shared" si="18"/>
        <v>172</v>
      </c>
      <c r="I175" s="98" t="str">
        <f t="shared" si="21"/>
        <v>FAIL</v>
      </c>
    </row>
    <row r="176" spans="2:9" x14ac:dyDescent="0.2">
      <c r="B176" s="6" t="s">
        <v>141</v>
      </c>
      <c r="C176" s="11">
        <v>19.8</v>
      </c>
      <c r="D176" s="10" t="s">
        <v>216</v>
      </c>
      <c r="E176" s="19"/>
      <c r="F176" s="59">
        <f t="shared" si="19"/>
        <v>18.400000000000002</v>
      </c>
      <c r="G176" s="95">
        <f t="shared" si="20"/>
        <v>18.400000000000002</v>
      </c>
      <c r="H176" s="197">
        <f t="shared" si="18"/>
        <v>173</v>
      </c>
      <c r="I176" s="98" t="str">
        <f t="shared" si="21"/>
        <v>FAIL</v>
      </c>
    </row>
    <row r="177" spans="2:9" x14ac:dyDescent="0.2">
      <c r="B177" s="2" t="s">
        <v>168</v>
      </c>
      <c r="C177" s="14">
        <v>19.7</v>
      </c>
      <c r="D177" s="13" t="s">
        <v>215</v>
      </c>
      <c r="E177" s="28"/>
      <c r="F177" s="59">
        <f t="shared" si="19"/>
        <v>18.500000000000004</v>
      </c>
      <c r="G177" s="95">
        <f t="shared" si="20"/>
        <v>18.500000000000004</v>
      </c>
      <c r="H177" s="197">
        <f t="shared" si="18"/>
        <v>174</v>
      </c>
      <c r="I177" s="98" t="str">
        <f t="shared" si="21"/>
        <v>FAIL</v>
      </c>
    </row>
    <row r="178" spans="2:9" x14ac:dyDescent="0.2">
      <c r="B178" s="2" t="s">
        <v>142</v>
      </c>
      <c r="C178" s="14">
        <v>19.07</v>
      </c>
      <c r="D178" s="13" t="s">
        <v>215</v>
      </c>
      <c r="E178" s="28"/>
      <c r="F178" s="59">
        <f t="shared" si="19"/>
        <v>19.130000000000003</v>
      </c>
      <c r="G178" s="95">
        <f t="shared" si="20"/>
        <v>19.130000000000003</v>
      </c>
      <c r="H178" s="197">
        <f t="shared" si="18"/>
        <v>175</v>
      </c>
      <c r="I178" s="98" t="str">
        <f t="shared" si="21"/>
        <v>FAIL</v>
      </c>
    </row>
    <row r="179" spans="2:9" x14ac:dyDescent="0.2">
      <c r="B179" s="3" t="s">
        <v>163</v>
      </c>
      <c r="C179" s="11">
        <v>18.329999999999998</v>
      </c>
      <c r="D179" s="10" t="s">
        <v>219</v>
      </c>
      <c r="E179" s="19"/>
      <c r="F179" s="59">
        <f t="shared" si="19"/>
        <v>19.870000000000005</v>
      </c>
      <c r="G179" s="95">
        <f t="shared" si="20"/>
        <v>19.870000000000005</v>
      </c>
      <c r="H179" s="197">
        <f t="shared" si="18"/>
        <v>176</v>
      </c>
      <c r="I179" s="98" t="str">
        <f t="shared" si="21"/>
        <v>FAIL</v>
      </c>
    </row>
    <row r="180" spans="2:9" x14ac:dyDescent="0.2">
      <c r="B180" s="6" t="s">
        <v>94</v>
      </c>
      <c r="C180" s="11">
        <v>18.09</v>
      </c>
      <c r="D180" s="10" t="s">
        <v>216</v>
      </c>
      <c r="E180" s="19"/>
      <c r="F180" s="59">
        <f t="shared" si="19"/>
        <v>20.110000000000003</v>
      </c>
      <c r="G180" s="95">
        <f t="shared" si="20"/>
        <v>20.110000000000003</v>
      </c>
      <c r="H180" s="197">
        <f t="shared" si="18"/>
        <v>177</v>
      </c>
      <c r="I180" s="98" t="str">
        <f t="shared" si="21"/>
        <v>FAIL</v>
      </c>
    </row>
    <row r="181" spans="2:9" x14ac:dyDescent="0.2">
      <c r="B181" s="6" t="s">
        <v>67</v>
      </c>
      <c r="C181" s="11">
        <v>58.35</v>
      </c>
      <c r="D181" s="10" t="s">
        <v>216</v>
      </c>
      <c r="E181" s="19"/>
      <c r="F181" s="59">
        <f t="shared" si="19"/>
        <v>-20.149999999999999</v>
      </c>
      <c r="G181" s="95">
        <f t="shared" si="20"/>
        <v>20.149999999999999</v>
      </c>
      <c r="H181" s="197">
        <f t="shared" si="18"/>
        <v>178</v>
      </c>
      <c r="I181" s="98" t="str">
        <f t="shared" si="21"/>
        <v>FAIL</v>
      </c>
    </row>
    <row r="182" spans="2:9" x14ac:dyDescent="0.2">
      <c r="B182" s="6" t="s">
        <v>204</v>
      </c>
      <c r="C182" s="11">
        <v>18.04</v>
      </c>
      <c r="D182" s="10" t="s">
        <v>223</v>
      </c>
      <c r="E182" s="19"/>
      <c r="F182" s="59">
        <f t="shared" si="19"/>
        <v>20.160000000000004</v>
      </c>
      <c r="G182" s="95">
        <f t="shared" si="20"/>
        <v>20.160000000000004</v>
      </c>
      <c r="H182" s="197">
        <f t="shared" si="18"/>
        <v>179</v>
      </c>
      <c r="I182" s="98" t="str">
        <f t="shared" si="21"/>
        <v>FAIL</v>
      </c>
    </row>
    <row r="183" spans="2:9" x14ac:dyDescent="0.2">
      <c r="B183" s="2" t="s">
        <v>169</v>
      </c>
      <c r="C183" s="14">
        <v>17.940000000000001</v>
      </c>
      <c r="D183" s="13" t="s">
        <v>215</v>
      </c>
      <c r="E183" s="28"/>
      <c r="F183" s="59">
        <f t="shared" si="19"/>
        <v>20.260000000000002</v>
      </c>
      <c r="G183" s="95">
        <f t="shared" si="20"/>
        <v>20.260000000000002</v>
      </c>
      <c r="H183" s="197">
        <f t="shared" si="18"/>
        <v>180</v>
      </c>
      <c r="I183" s="98" t="str">
        <f t="shared" si="21"/>
        <v>FAIL</v>
      </c>
    </row>
    <row r="184" spans="2:9" x14ac:dyDescent="0.2">
      <c r="B184" s="6" t="s">
        <v>206</v>
      </c>
      <c r="C184" s="11">
        <v>17.93</v>
      </c>
      <c r="D184" s="10" t="s">
        <v>223</v>
      </c>
      <c r="E184" s="19"/>
      <c r="F184" s="59">
        <f t="shared" si="19"/>
        <v>20.270000000000003</v>
      </c>
      <c r="G184" s="95">
        <f t="shared" si="20"/>
        <v>20.270000000000003</v>
      </c>
      <c r="H184" s="197">
        <f t="shared" si="18"/>
        <v>181</v>
      </c>
      <c r="I184" s="98" t="str">
        <f t="shared" si="21"/>
        <v>FAIL</v>
      </c>
    </row>
    <row r="185" spans="2:9" x14ac:dyDescent="0.2">
      <c r="B185" s="6" t="s">
        <v>136</v>
      </c>
      <c r="C185" s="14">
        <v>17.34</v>
      </c>
      <c r="D185" s="13" t="s">
        <v>215</v>
      </c>
      <c r="E185" s="28"/>
      <c r="F185" s="59">
        <f t="shared" si="19"/>
        <v>20.860000000000003</v>
      </c>
      <c r="G185" s="95">
        <f t="shared" si="20"/>
        <v>20.860000000000003</v>
      </c>
      <c r="H185" s="197">
        <f t="shared" si="18"/>
        <v>182</v>
      </c>
      <c r="I185" s="98" t="str">
        <f t="shared" si="21"/>
        <v>FAIL</v>
      </c>
    </row>
    <row r="186" spans="2:9" x14ac:dyDescent="0.2">
      <c r="B186" s="6" t="s">
        <v>207</v>
      </c>
      <c r="C186" s="11">
        <v>16.95</v>
      </c>
      <c r="D186" s="10" t="s">
        <v>223</v>
      </c>
      <c r="E186" s="19"/>
      <c r="F186" s="59">
        <f t="shared" si="19"/>
        <v>21.250000000000004</v>
      </c>
      <c r="G186" s="95">
        <f t="shared" si="20"/>
        <v>21.250000000000004</v>
      </c>
      <c r="H186" s="197">
        <f t="shared" si="18"/>
        <v>183</v>
      </c>
      <c r="I186" s="98" t="str">
        <f t="shared" si="21"/>
        <v>FAIL</v>
      </c>
    </row>
    <row r="187" spans="2:9" x14ac:dyDescent="0.2">
      <c r="B187" s="2" t="s">
        <v>135</v>
      </c>
      <c r="C187" s="14">
        <v>16.5</v>
      </c>
      <c r="D187" s="13" t="s">
        <v>215</v>
      </c>
      <c r="E187" s="28"/>
      <c r="F187" s="59">
        <f t="shared" si="19"/>
        <v>21.700000000000003</v>
      </c>
      <c r="G187" s="95">
        <f t="shared" si="20"/>
        <v>21.700000000000003</v>
      </c>
      <c r="H187" s="197">
        <f t="shared" si="18"/>
        <v>184</v>
      </c>
      <c r="I187" s="98" t="str">
        <f t="shared" si="21"/>
        <v>FAIL</v>
      </c>
    </row>
    <row r="188" spans="2:9" x14ac:dyDescent="0.2">
      <c r="B188" s="2" t="s">
        <v>137</v>
      </c>
      <c r="C188" s="11">
        <v>16</v>
      </c>
      <c r="D188" s="10" t="s">
        <v>216</v>
      </c>
      <c r="E188" s="19"/>
      <c r="F188" s="59">
        <f t="shared" si="19"/>
        <v>22.200000000000003</v>
      </c>
      <c r="G188" s="95">
        <f t="shared" si="20"/>
        <v>22.200000000000003</v>
      </c>
      <c r="H188" s="197">
        <f t="shared" si="18"/>
        <v>185</v>
      </c>
      <c r="I188" s="98" t="str">
        <f t="shared" si="21"/>
        <v>FAIL</v>
      </c>
    </row>
    <row r="189" spans="2:9" x14ac:dyDescent="0.2">
      <c r="B189" s="2" t="s">
        <v>205</v>
      </c>
      <c r="C189" s="11">
        <v>15.7</v>
      </c>
      <c r="D189" s="10" t="s">
        <v>223</v>
      </c>
      <c r="E189" s="19"/>
      <c r="F189" s="59">
        <f t="shared" si="19"/>
        <v>22.500000000000004</v>
      </c>
      <c r="G189" s="95">
        <f t="shared" si="20"/>
        <v>22.500000000000004</v>
      </c>
      <c r="H189" s="197">
        <f t="shared" si="18"/>
        <v>186</v>
      </c>
      <c r="I189" s="98" t="str">
        <f t="shared" si="21"/>
        <v>FAIL</v>
      </c>
    </row>
    <row r="190" spans="2:9" x14ac:dyDescent="0.2">
      <c r="B190" s="2" t="s">
        <v>171</v>
      </c>
      <c r="C190" s="14">
        <v>15.48</v>
      </c>
      <c r="D190" s="13" t="s">
        <v>215</v>
      </c>
      <c r="E190" s="28"/>
      <c r="F190" s="59">
        <f t="shared" si="19"/>
        <v>22.720000000000002</v>
      </c>
      <c r="G190" s="95">
        <f t="shared" si="20"/>
        <v>22.720000000000002</v>
      </c>
      <c r="H190" s="197">
        <f t="shared" si="18"/>
        <v>187</v>
      </c>
      <c r="I190" s="98" t="str">
        <f t="shared" si="21"/>
        <v>FAIL</v>
      </c>
    </row>
    <row r="191" spans="2:9" x14ac:dyDescent="0.2">
      <c r="B191" s="3" t="s">
        <v>113</v>
      </c>
      <c r="C191" s="14">
        <v>14.5</v>
      </c>
      <c r="D191" s="13" t="s">
        <v>216</v>
      </c>
      <c r="E191" s="28"/>
      <c r="F191" s="59">
        <f t="shared" si="19"/>
        <v>23.700000000000003</v>
      </c>
      <c r="G191" s="95">
        <f t="shared" si="20"/>
        <v>23.700000000000003</v>
      </c>
      <c r="H191" s="197">
        <f t="shared" si="18"/>
        <v>188</v>
      </c>
      <c r="I191" s="98" t="str">
        <f t="shared" si="21"/>
        <v>FAIL</v>
      </c>
    </row>
    <row r="192" spans="2:9" x14ac:dyDescent="0.2">
      <c r="B192" s="6" t="s">
        <v>55</v>
      </c>
      <c r="C192" s="11">
        <v>63.4</v>
      </c>
      <c r="D192" s="47" t="s">
        <v>217</v>
      </c>
      <c r="E192" s="48"/>
      <c r="F192" s="59">
        <f t="shared" si="19"/>
        <v>-25.199999999999996</v>
      </c>
      <c r="G192" s="95">
        <f t="shared" si="20"/>
        <v>25.199999999999996</v>
      </c>
      <c r="H192" s="197">
        <f t="shared" si="18"/>
        <v>189</v>
      </c>
      <c r="I192" s="98" t="str">
        <f t="shared" si="21"/>
        <v>FAIL</v>
      </c>
    </row>
    <row r="193" spans="2:9" x14ac:dyDescent="0.2">
      <c r="B193" s="5" t="s">
        <v>56</v>
      </c>
      <c r="C193" s="11">
        <v>63.62</v>
      </c>
      <c r="D193" s="47" t="s">
        <v>217</v>
      </c>
      <c r="E193" s="48"/>
      <c r="F193" s="59">
        <f t="shared" si="19"/>
        <v>-25.419999999999995</v>
      </c>
      <c r="G193" s="95">
        <f t="shared" si="20"/>
        <v>25.419999999999995</v>
      </c>
      <c r="H193" s="197">
        <f t="shared" si="18"/>
        <v>190</v>
      </c>
      <c r="I193" s="98" t="str">
        <f t="shared" si="21"/>
        <v>FAIL</v>
      </c>
    </row>
    <row r="194" spans="2:9" x14ac:dyDescent="0.2">
      <c r="B194" s="2" t="s">
        <v>129</v>
      </c>
      <c r="C194" s="11">
        <v>67.3</v>
      </c>
      <c r="D194" s="47" t="s">
        <v>217</v>
      </c>
      <c r="E194" s="48"/>
      <c r="F194" s="59">
        <f t="shared" si="19"/>
        <v>-29.099999999999994</v>
      </c>
      <c r="G194" s="95">
        <f t="shared" si="20"/>
        <v>29.099999999999994</v>
      </c>
      <c r="H194" s="197">
        <f t="shared" si="18"/>
        <v>191</v>
      </c>
      <c r="I194" s="98" t="str">
        <f t="shared" si="21"/>
        <v>FAIL</v>
      </c>
    </row>
    <row r="195" spans="2:9" x14ac:dyDescent="0.2">
      <c r="B195" s="6" t="s">
        <v>85</v>
      </c>
      <c r="C195" s="11">
        <v>72.75</v>
      </c>
      <c r="D195" s="10" t="s">
        <v>219</v>
      </c>
      <c r="E195" s="19"/>
      <c r="F195" s="59">
        <f t="shared" si="19"/>
        <v>-34.549999999999997</v>
      </c>
      <c r="G195" s="95">
        <f t="shared" si="20"/>
        <v>34.549999999999997</v>
      </c>
      <c r="H195" s="197">
        <f t="shared" si="18"/>
        <v>192</v>
      </c>
      <c r="I195" s="98" t="str">
        <f t="shared" si="21"/>
        <v>FAIL</v>
      </c>
    </row>
    <row r="196" spans="2:9" x14ac:dyDescent="0.2">
      <c r="B196" s="41"/>
      <c r="C196" s="39"/>
      <c r="D196" s="39"/>
      <c r="E196" s="39"/>
    </row>
    <row r="197" spans="2:9" x14ac:dyDescent="0.2">
      <c r="B197" s="62" t="s">
        <v>225</v>
      </c>
      <c r="C197" s="63">
        <f>AVERAGE(C4:C195)</f>
        <v>30.121770833333333</v>
      </c>
      <c r="D197" s="62"/>
      <c r="E197" s="63"/>
      <c r="F197" s="64"/>
      <c r="G197" s="62"/>
      <c r="H197" s="198"/>
      <c r="I197" s="198"/>
    </row>
    <row r="198" spans="2:9" x14ac:dyDescent="0.2">
      <c r="B198" s="66" t="s">
        <v>224</v>
      </c>
      <c r="C198" s="67">
        <f>STDEV(C4:C195)</f>
        <v>9.1192986405698111</v>
      </c>
      <c r="D198" s="66"/>
      <c r="E198" s="67"/>
      <c r="F198" s="68"/>
      <c r="G198" s="66"/>
      <c r="H198" s="199"/>
      <c r="I198" s="199"/>
    </row>
    <row r="199" spans="2:9" x14ac:dyDescent="0.2">
      <c r="B199" s="39"/>
      <c r="C199" s="39"/>
      <c r="D199" s="39"/>
      <c r="E199" s="39"/>
    </row>
    <row r="200" spans="2:9" x14ac:dyDescent="0.2">
      <c r="B200" s="39"/>
      <c r="C200" s="39"/>
      <c r="D200" s="39"/>
      <c r="E200" s="39"/>
    </row>
    <row r="201" spans="2:9" x14ac:dyDescent="0.2">
      <c r="B201" s="39"/>
      <c r="C201" s="39"/>
      <c r="D201" s="39"/>
      <c r="E201" s="39"/>
    </row>
    <row r="202" spans="2:9" x14ac:dyDescent="0.2">
      <c r="B202" s="39"/>
      <c r="C202" s="39"/>
      <c r="D202" s="39"/>
      <c r="E202" s="39"/>
    </row>
    <row r="203" spans="2:9" x14ac:dyDescent="0.2">
      <c r="B203" s="39"/>
      <c r="C203" s="39"/>
      <c r="D203" s="39"/>
      <c r="E203" s="39"/>
    </row>
    <row r="204" spans="2:9" x14ac:dyDescent="0.2">
      <c r="B204" s="39"/>
      <c r="C204" s="39"/>
      <c r="D204" s="39"/>
      <c r="E204" s="39"/>
    </row>
    <row r="205" spans="2:9" x14ac:dyDescent="0.2">
      <c r="B205" s="39"/>
      <c r="C205" s="39"/>
      <c r="D205" s="39"/>
      <c r="E205" s="39"/>
    </row>
    <row r="206" spans="2:9" x14ac:dyDescent="0.2">
      <c r="B206" s="39"/>
      <c r="C206" s="39"/>
      <c r="D206" s="39"/>
      <c r="E206" s="39"/>
    </row>
    <row r="207" spans="2:9" x14ac:dyDescent="0.2">
      <c r="B207" s="39"/>
      <c r="C207" s="39"/>
      <c r="D207" s="39"/>
      <c r="E207" s="39"/>
    </row>
    <row r="208" spans="2:9" x14ac:dyDescent="0.2">
      <c r="B208" s="39"/>
      <c r="C208" s="39"/>
      <c r="D208" s="39"/>
      <c r="E208" s="39"/>
    </row>
    <row r="209" spans="2:5" x14ac:dyDescent="0.2">
      <c r="B209" s="39"/>
      <c r="C209" s="39"/>
      <c r="D209" s="39"/>
      <c r="E209" s="39"/>
    </row>
    <row r="210" spans="2:5" x14ac:dyDescent="0.2">
      <c r="B210" s="39"/>
      <c r="C210" s="39"/>
      <c r="D210" s="39"/>
      <c r="E210" s="39"/>
    </row>
    <row r="211" spans="2:5" x14ac:dyDescent="0.2">
      <c r="B211" s="39"/>
      <c r="C211" s="39"/>
      <c r="D211" s="39"/>
      <c r="E211" s="39"/>
    </row>
    <row r="212" spans="2:5" x14ac:dyDescent="0.2">
      <c r="B212" s="39"/>
      <c r="C212" s="39"/>
      <c r="D212" s="39"/>
      <c r="E212" s="39"/>
    </row>
    <row r="213" spans="2:5" x14ac:dyDescent="0.2">
      <c r="B213" s="39"/>
      <c r="C213" s="39"/>
      <c r="D213" s="39"/>
      <c r="E213" s="39"/>
    </row>
    <row r="214" spans="2:5" x14ac:dyDescent="0.2">
      <c r="B214" s="39"/>
      <c r="C214" s="39"/>
      <c r="D214" s="39"/>
      <c r="E214" s="39"/>
    </row>
    <row r="215" spans="2:5" x14ac:dyDescent="0.2">
      <c r="B215" s="39"/>
      <c r="C215" s="39"/>
      <c r="D215" s="39"/>
      <c r="E215" s="39"/>
    </row>
    <row r="267" spans="3:4" x14ac:dyDescent="0.2">
      <c r="C267" s="22"/>
      <c r="D267" s="22"/>
    </row>
  </sheetData>
  <sortState ref="B4:G194">
    <sortCondition ref="G4:G194"/>
  </sortState>
  <mergeCells count="1">
    <mergeCell ref="K13:P17"/>
  </mergeCells>
  <conditionalFormatting sqref="I4:I195">
    <cfRule type="cellIs" dxfId="8" priority="1" operator="equal">
      <formula>$N$11</formula>
    </cfRule>
  </conditionalFormatting>
  <dataValidations count="1">
    <dataValidation type="list" allowBlank="1" showInputMessage="1" showErrorMessage="1" sqref="K9">
      <formula1>$K$4:$K$7</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52"/>
  <sheetViews>
    <sheetView zoomScale="80" zoomScaleNormal="80" workbookViewId="0"/>
  </sheetViews>
  <sheetFormatPr defaultColWidth="9.140625" defaultRowHeight="12.75" x14ac:dyDescent="0.2"/>
  <cols>
    <col min="1" max="1" width="1.42578125" style="39" customWidth="1"/>
    <col min="2" max="2" width="55.7109375" style="39" customWidth="1"/>
    <col min="3" max="8" width="12.7109375" style="39" customWidth="1"/>
    <col min="9" max="9" width="3.42578125" style="39" customWidth="1"/>
    <col min="10" max="10" width="9.140625" style="39"/>
    <col min="11" max="11" width="35.7109375" style="39" customWidth="1"/>
    <col min="12" max="12" width="30" style="39" customWidth="1"/>
    <col min="13" max="13" width="9.140625" style="39" customWidth="1"/>
    <col min="14" max="14" width="9.140625" style="444" customWidth="1"/>
    <col min="15" max="16384" width="9.140625" style="39"/>
  </cols>
  <sheetData>
    <row r="2" spans="1:26" x14ac:dyDescent="0.2">
      <c r="B2" s="515" t="s">
        <v>504</v>
      </c>
      <c r="C2" s="515"/>
      <c r="D2" s="515"/>
      <c r="E2" s="515"/>
      <c r="F2" s="515"/>
      <c r="G2" s="41"/>
      <c r="H2" s="41"/>
      <c r="I2" s="41"/>
      <c r="J2" s="41"/>
      <c r="K2" s="41"/>
      <c r="L2" s="41"/>
    </row>
    <row r="3" spans="1:26" x14ac:dyDescent="0.2">
      <c r="B3" s="515"/>
      <c r="C3" s="515"/>
      <c r="D3" s="515"/>
      <c r="E3" s="515"/>
      <c r="F3" s="515"/>
      <c r="G3" s="41"/>
      <c r="H3" s="41"/>
      <c r="I3" s="41"/>
      <c r="J3" s="41"/>
      <c r="K3" s="41"/>
      <c r="L3" s="41"/>
    </row>
    <row r="4" spans="1:26" x14ac:dyDescent="0.2">
      <c r="B4" s="515"/>
      <c r="C4" s="515"/>
      <c r="D4" s="515"/>
      <c r="E4" s="515"/>
      <c r="F4" s="515"/>
      <c r="G4" s="41"/>
      <c r="H4" s="41"/>
      <c r="I4" s="41"/>
      <c r="J4" s="41"/>
      <c r="K4" s="41"/>
      <c r="L4" s="41"/>
    </row>
    <row r="5" spans="1:26" x14ac:dyDescent="0.2">
      <c r="B5" s="324"/>
      <c r="C5" s="324"/>
      <c r="D5" s="324"/>
      <c r="E5" s="324"/>
      <c r="F5" s="324"/>
    </row>
    <row r="6" spans="1:26" ht="60" customHeight="1" x14ac:dyDescent="0.2">
      <c r="B6" s="73" t="s">
        <v>0</v>
      </c>
      <c r="C6" s="107" t="s">
        <v>281</v>
      </c>
      <c r="D6" s="107" t="s">
        <v>282</v>
      </c>
      <c r="E6" s="107" t="s">
        <v>283</v>
      </c>
      <c r="F6" s="108" t="s">
        <v>284</v>
      </c>
      <c r="G6" s="104" t="s">
        <v>243</v>
      </c>
      <c r="H6" s="106" t="s">
        <v>334</v>
      </c>
      <c r="J6" s="109" t="s">
        <v>280</v>
      </c>
      <c r="K6" s="110"/>
      <c r="L6" s="109" t="s">
        <v>489</v>
      </c>
    </row>
    <row r="7" spans="1:26" x14ac:dyDescent="0.2">
      <c r="B7" s="1" t="s">
        <v>96</v>
      </c>
      <c r="C7" s="332">
        <v>16.8</v>
      </c>
      <c r="D7" s="332">
        <v>4.3</v>
      </c>
      <c r="E7" s="332">
        <v>2</v>
      </c>
      <c r="F7" s="332">
        <v>7.95</v>
      </c>
      <c r="G7" s="97" t="s">
        <v>236</v>
      </c>
      <c r="H7" s="97" t="s">
        <v>236</v>
      </c>
      <c r="J7" s="344" t="str">
        <f>IF(AND(G7=Polarity!L$4,H7=Polarity!L$4),Polarity!L$4,Polarity!L$6)</f>
        <v>Fail</v>
      </c>
      <c r="K7" s="345" t="str">
        <f>IF(J7=Polarity!L$4,B7,"")</f>
        <v/>
      </c>
      <c r="L7" s="346" t="str">
        <f>IF(AND(B7=K7,F7&gt;5),Polarity!L$5,"")</f>
        <v/>
      </c>
      <c r="M7" s="336" t="str">
        <f>IF(AND(H7=Polarity!L$6,G7=Polarity!L$6),Polarity!L$6,"")</f>
        <v>Fail</v>
      </c>
    </row>
    <row r="8" spans="1:26" x14ac:dyDescent="0.2">
      <c r="A8" s="407"/>
      <c r="B8" s="6" t="s">
        <v>97</v>
      </c>
      <c r="C8" s="312">
        <v>18.8</v>
      </c>
      <c r="D8" s="312">
        <v>5.0999999999999996</v>
      </c>
      <c r="E8" s="312">
        <v>5.3</v>
      </c>
      <c r="F8" s="312">
        <v>5.0999999999999996</v>
      </c>
      <c r="G8" s="181" t="s">
        <v>235</v>
      </c>
      <c r="H8" s="98" t="s">
        <v>235</v>
      </c>
      <c r="J8" s="344" t="str">
        <f>IF(AND(G8=Polarity!L$4,H8=Polarity!L$4),Polarity!L$4,Polarity!L$6)</f>
        <v>Pass</v>
      </c>
      <c r="K8" s="345" t="str">
        <f>IF(J8=Polarity!L$4,B8,"")</f>
        <v>1,1,2,2-Tetrachloroethane</v>
      </c>
      <c r="L8" s="346" t="str">
        <f>IF(AND(B8=K8,F8&gt;5),Polarity!L$5,"")</f>
        <v>Borderline (still considered a pass)</v>
      </c>
      <c r="M8" s="336" t="str">
        <f>IF(AND(H8=Polarity!L$6,G8=Polarity!L$6),Polarity!L$6,"")</f>
        <v/>
      </c>
      <c r="N8" s="445"/>
      <c r="O8" s="231"/>
      <c r="P8" s="231"/>
      <c r="Q8" s="231"/>
      <c r="R8" s="231"/>
      <c r="S8" s="231"/>
      <c r="T8" s="231"/>
      <c r="U8" s="231"/>
      <c r="V8" s="231"/>
      <c r="W8" s="231"/>
      <c r="X8" s="231"/>
      <c r="Y8" s="231"/>
      <c r="Z8" s="231"/>
    </row>
    <row r="9" spans="1:26" x14ac:dyDescent="0.2">
      <c r="A9" s="407"/>
      <c r="B9" s="2" t="s">
        <v>98</v>
      </c>
      <c r="C9" s="312">
        <v>16.5</v>
      </c>
      <c r="D9" s="312">
        <v>7.8</v>
      </c>
      <c r="E9" s="312">
        <v>3</v>
      </c>
      <c r="F9" s="312">
        <v>5.77</v>
      </c>
      <c r="G9" s="181" t="s">
        <v>235</v>
      </c>
      <c r="H9" s="97" t="s">
        <v>236</v>
      </c>
      <c r="J9" s="344" t="str">
        <f>IF(AND(G9=Polarity!L$4,H9=Polarity!L$4),Polarity!L$4,Polarity!L$6)</f>
        <v>Fail</v>
      </c>
      <c r="K9" s="345" t="str">
        <f>IF(J9=Polarity!L$4,B9,"")</f>
        <v/>
      </c>
      <c r="L9" s="346" t="str">
        <f>IF(AND(B9=K9,F9&gt;5),Polarity!L$5,"")</f>
        <v/>
      </c>
      <c r="M9" s="336" t="str">
        <f>IF(AND(H9=Polarity!L$6,G9=Polarity!L$6),Polarity!L$6,"")</f>
        <v/>
      </c>
      <c r="N9" s="445"/>
      <c r="O9" s="231"/>
      <c r="P9" s="231"/>
      <c r="Q9" s="231"/>
      <c r="R9" s="231"/>
      <c r="S9" s="231"/>
      <c r="T9" s="231"/>
      <c r="U9" s="231"/>
      <c r="V9" s="231"/>
      <c r="W9" s="231"/>
      <c r="X9" s="231"/>
      <c r="Y9" s="231"/>
      <c r="Z9" s="231"/>
    </row>
    <row r="10" spans="1:26" x14ac:dyDescent="0.2">
      <c r="A10" s="407"/>
      <c r="B10" s="2" t="s">
        <v>99</v>
      </c>
      <c r="C10" s="309">
        <v>16.399999999999999</v>
      </c>
      <c r="D10" s="309">
        <v>5.2</v>
      </c>
      <c r="E10" s="309">
        <v>2.4</v>
      </c>
      <c r="F10" s="309">
        <v>7.43</v>
      </c>
      <c r="G10" s="97" t="s">
        <v>236</v>
      </c>
      <c r="H10" s="97" t="s">
        <v>236</v>
      </c>
      <c r="J10" s="344" t="str">
        <f>IF(AND(G10=Polarity!L$4,H10=Polarity!L$4),Polarity!L$4,Polarity!L$6)</f>
        <v>Fail</v>
      </c>
      <c r="K10" s="345" t="str">
        <f>IF(J10=Polarity!L$4,B10,"")</f>
        <v/>
      </c>
      <c r="L10" s="346" t="str">
        <f>IF(AND(B10=K10,F10&gt;5),Polarity!L$5,"")</f>
        <v/>
      </c>
      <c r="M10" s="336" t="str">
        <f>IF(AND(H10=Polarity!L$6,G10=Polarity!L$6),Polarity!L$6,"")</f>
        <v>Fail</v>
      </c>
      <c r="N10" s="445"/>
      <c r="O10" s="231"/>
      <c r="P10" s="231"/>
      <c r="Q10" s="231"/>
      <c r="R10" s="231"/>
      <c r="S10" s="231" t="s">
        <v>618</v>
      </c>
      <c r="T10" s="231"/>
      <c r="U10" s="231" t="s">
        <v>617</v>
      </c>
      <c r="V10" s="231" t="s">
        <v>619</v>
      </c>
      <c r="W10" s="231"/>
      <c r="X10" s="231"/>
      <c r="Y10" s="231"/>
      <c r="Z10" s="231"/>
    </row>
    <row r="11" spans="1:26" x14ac:dyDescent="0.2">
      <c r="A11" s="407"/>
      <c r="B11" s="5" t="s">
        <v>100</v>
      </c>
      <c r="C11" s="312">
        <v>17.8</v>
      </c>
      <c r="D11" s="312">
        <v>12.3</v>
      </c>
      <c r="E11" s="312">
        <v>3.4</v>
      </c>
      <c r="F11" s="312">
        <v>5.26</v>
      </c>
      <c r="G11" s="181" t="s">
        <v>235</v>
      </c>
      <c r="H11" s="98" t="s">
        <v>235</v>
      </c>
      <c r="J11" s="344" t="str">
        <f>IF(AND(G11=Polarity!L$4,H11=Polarity!L$4),Polarity!L$4,Polarity!L$6)</f>
        <v>Pass</v>
      </c>
      <c r="K11" s="345" t="str">
        <f>IF(J11=Polarity!L$4,B11,"")</f>
        <v>1,2,3-Trichloropropane</v>
      </c>
      <c r="L11" s="346" t="str">
        <f>IF(AND(B11=K11,F11&gt;5),Polarity!L$5,"")</f>
        <v>Borderline (still considered a pass)</v>
      </c>
      <c r="M11" s="336" t="str">
        <f>IF(AND(H11=Polarity!L$6,G11=Polarity!L$6),Polarity!L$6,"")</f>
        <v/>
      </c>
      <c r="N11" s="445"/>
      <c r="O11" s="231"/>
      <c r="P11" s="232" t="s">
        <v>203</v>
      </c>
      <c r="Q11" s="231"/>
      <c r="R11" s="231"/>
      <c r="S11" s="229">
        <v>38.200000000000003</v>
      </c>
      <c r="T11" s="447">
        <f>S11-'Surface tension'!$K$9</f>
        <v>0</v>
      </c>
      <c r="U11" s="448">
        <f>F216</f>
        <v>3.66</v>
      </c>
      <c r="V11" s="449">
        <f>29-RANK(U11,U$11:U$39)</f>
        <v>6</v>
      </c>
      <c r="W11" s="231"/>
      <c r="X11" s="231"/>
      <c r="Y11" s="231"/>
      <c r="Z11" s="231"/>
    </row>
    <row r="12" spans="1:26" x14ac:dyDescent="0.2">
      <c r="A12" s="407"/>
      <c r="B12" s="2" t="s">
        <v>101</v>
      </c>
      <c r="C12" s="312">
        <v>19.2</v>
      </c>
      <c r="D12" s="312">
        <v>6.3</v>
      </c>
      <c r="E12" s="312">
        <v>3.3</v>
      </c>
      <c r="F12" s="312">
        <v>5.84</v>
      </c>
      <c r="G12" s="181" t="s">
        <v>235</v>
      </c>
      <c r="H12" s="98" t="s">
        <v>235</v>
      </c>
      <c r="J12" s="344" t="str">
        <f>IF(AND(G12=Polarity!L$4,H12=Polarity!L$4),Polarity!L$4,Polarity!L$6)</f>
        <v>Pass</v>
      </c>
      <c r="K12" s="345" t="str">
        <f>IF(J12=Polarity!L$4,B12,"")</f>
        <v>1,2-Dichlorobenzene</v>
      </c>
      <c r="L12" s="346" t="str">
        <f>IF(AND(B12=K12,F12&gt;5),Polarity!L$5,"")</f>
        <v>Borderline (still considered a pass)</v>
      </c>
      <c r="M12" s="336" t="str">
        <f>IF(AND(H12=Polarity!L$6,G12=Polarity!L$6),Polarity!L$6,"")</f>
        <v/>
      </c>
      <c r="N12" s="445"/>
      <c r="O12" s="231"/>
      <c r="P12" s="232" t="s">
        <v>64</v>
      </c>
      <c r="Q12" s="231"/>
      <c r="R12" s="231"/>
      <c r="S12" s="226">
        <v>38</v>
      </c>
      <c r="T12" s="447">
        <f>S12-'Surface tension'!$K$9</f>
        <v>-0.20000000000000284</v>
      </c>
      <c r="U12" s="448">
        <f>F64</f>
        <v>4.1500000000000004</v>
      </c>
      <c r="V12" s="449">
        <f t="shared" ref="V12:V39" si="0">29-RANK(U12,U$11:U$39)</f>
        <v>11</v>
      </c>
      <c r="W12" s="231"/>
      <c r="X12" s="231"/>
      <c r="Y12" s="231"/>
      <c r="Z12" s="231"/>
    </row>
    <row r="13" spans="1:26" x14ac:dyDescent="0.2">
      <c r="A13" s="407"/>
      <c r="B13" s="6" t="s">
        <v>102</v>
      </c>
      <c r="C13" s="311">
        <v>18</v>
      </c>
      <c r="D13" s="311">
        <v>7.4</v>
      </c>
      <c r="E13" s="311">
        <v>4.0999999999999996</v>
      </c>
      <c r="F13" s="311">
        <v>4.07</v>
      </c>
      <c r="G13" s="98" t="s">
        <v>235</v>
      </c>
      <c r="H13" s="98" t="s">
        <v>235</v>
      </c>
      <c r="J13" s="344" t="str">
        <f>IF(AND(G13=Polarity!L$4,H13=Polarity!L$4),Polarity!L$4,Polarity!L$6)</f>
        <v>Pass</v>
      </c>
      <c r="K13" s="345" t="str">
        <f>IF(J13=Polarity!L$4,B13,"")</f>
        <v>1,2-Dichloroethane</v>
      </c>
      <c r="L13" s="421" t="s">
        <v>558</v>
      </c>
      <c r="M13" s="336" t="str">
        <f>IF(AND(H13=Polarity!L$6,G13=Polarity!L$6),Polarity!L$6,"")</f>
        <v/>
      </c>
      <c r="N13" s="445"/>
      <c r="O13" s="231"/>
      <c r="P13" s="225" t="s">
        <v>100</v>
      </c>
      <c r="Q13" s="231"/>
      <c r="R13" s="231"/>
      <c r="S13" s="229">
        <v>37.700000000000003</v>
      </c>
      <c r="T13" s="447">
        <f>S13-'Surface tension'!$K$9</f>
        <v>-0.5</v>
      </c>
      <c r="U13" s="448">
        <f>F11</f>
        <v>5.26</v>
      </c>
      <c r="V13" s="449">
        <f t="shared" si="0"/>
        <v>14</v>
      </c>
      <c r="W13" s="231"/>
      <c r="X13" s="231"/>
      <c r="Y13" s="231"/>
      <c r="Z13" s="231"/>
    </row>
    <row r="14" spans="1:26" x14ac:dyDescent="0.2">
      <c r="A14" s="407"/>
      <c r="B14" s="2" t="s">
        <v>144</v>
      </c>
      <c r="C14" s="312">
        <v>15.8</v>
      </c>
      <c r="D14" s="312">
        <v>5.9</v>
      </c>
      <c r="E14" s="312">
        <v>6.1</v>
      </c>
      <c r="F14" s="312">
        <v>5.79</v>
      </c>
      <c r="G14" s="181" t="s">
        <v>235</v>
      </c>
      <c r="H14" s="97" t="s">
        <v>236</v>
      </c>
      <c r="J14" s="344" t="str">
        <f>IF(AND(G14=Polarity!L$4,H14=Polarity!L$4),Polarity!L$4,Polarity!L$6)</f>
        <v>Fail</v>
      </c>
      <c r="K14" s="345" t="str">
        <f>IF(J14=Polarity!L$4,B14,"")</f>
        <v/>
      </c>
      <c r="L14" s="346" t="str">
        <f>IF(AND(B14=K14,F14&gt;5),Polarity!L$5,"")</f>
        <v/>
      </c>
      <c r="M14" s="336" t="str">
        <f>IF(AND(H14=Polarity!L$6,G14=Polarity!L$6),Polarity!L$6,"")</f>
        <v/>
      </c>
      <c r="N14" s="445"/>
      <c r="O14" s="231"/>
      <c r="P14" s="232" t="s">
        <v>195</v>
      </c>
      <c r="Q14" s="231"/>
      <c r="R14" s="231"/>
      <c r="S14" s="229">
        <v>38.79</v>
      </c>
      <c r="T14" s="447">
        <f>S14-'Surface tension'!$K$9</f>
        <v>0.58999999999999631</v>
      </c>
      <c r="U14" s="448">
        <f>F66</f>
        <v>5.4</v>
      </c>
      <c r="V14" s="449">
        <f t="shared" si="0"/>
        <v>18</v>
      </c>
      <c r="W14" s="231"/>
      <c r="X14" s="231"/>
      <c r="Y14" s="231"/>
      <c r="Z14" s="231"/>
    </row>
    <row r="15" spans="1:26" x14ac:dyDescent="0.2">
      <c r="A15" s="407"/>
      <c r="B15" s="2" t="s">
        <v>49</v>
      </c>
      <c r="C15" s="309">
        <v>16.8</v>
      </c>
      <c r="D15" s="309">
        <v>10.4</v>
      </c>
      <c r="E15" s="309">
        <v>21.3</v>
      </c>
      <c r="F15" s="309">
        <v>13.85</v>
      </c>
      <c r="G15" s="97" t="s">
        <v>236</v>
      </c>
      <c r="H15" s="98" t="s">
        <v>235</v>
      </c>
      <c r="J15" s="344" t="str">
        <f>IF(AND(G15=Polarity!L$4,H15=Polarity!L$4),Polarity!L$4,Polarity!L$6)</f>
        <v>Fail</v>
      </c>
      <c r="K15" s="345" t="str">
        <f>IF(J15=Polarity!L$4,B15,"")</f>
        <v/>
      </c>
      <c r="L15" s="346" t="str">
        <f>IF(AND(B15=K15,F15&gt;5),Polarity!L$5,"")</f>
        <v/>
      </c>
      <c r="M15" s="336" t="str">
        <f>IF(AND(H15=Polarity!L$6,G15=Polarity!L$6),Polarity!L$6,"")</f>
        <v/>
      </c>
      <c r="N15" s="445"/>
      <c r="O15" s="231"/>
      <c r="P15" s="232" t="s">
        <v>78</v>
      </c>
      <c r="Q15" s="231"/>
      <c r="R15" s="231"/>
      <c r="S15" s="229">
        <v>37.5</v>
      </c>
      <c r="T15" s="447">
        <f>S15-'Surface tension'!$K$9</f>
        <v>-0.70000000000000284</v>
      </c>
      <c r="U15" s="448">
        <f>F163</f>
        <v>5.5</v>
      </c>
      <c r="V15" s="449">
        <f t="shared" si="0"/>
        <v>20</v>
      </c>
      <c r="W15" s="231"/>
      <c r="X15" s="231"/>
      <c r="Y15" s="231"/>
      <c r="Z15" s="231"/>
    </row>
    <row r="16" spans="1:26" x14ac:dyDescent="0.2">
      <c r="A16" s="407"/>
      <c r="B16" s="4" t="s">
        <v>50</v>
      </c>
      <c r="C16" s="309">
        <v>16.5</v>
      </c>
      <c r="D16" s="309">
        <v>8.1</v>
      </c>
      <c r="E16" s="309">
        <v>20.9</v>
      </c>
      <c r="F16" s="309">
        <v>13.59</v>
      </c>
      <c r="G16" s="97" t="s">
        <v>236</v>
      </c>
      <c r="H16" s="98" t="s">
        <v>235</v>
      </c>
      <c r="J16" s="344" t="str">
        <f>IF(AND(G16=Polarity!L$4,H16=Polarity!L$4),Polarity!L$4,Polarity!L$6)</f>
        <v>Fail</v>
      </c>
      <c r="K16" s="345" t="str">
        <f>IF(J16=Polarity!L$4,B16,"")</f>
        <v/>
      </c>
      <c r="L16" s="346" t="str">
        <f>IF(AND(B16=K16,F16&gt;5),Polarity!L$5,"")</f>
        <v/>
      </c>
      <c r="M16" s="336" t="str">
        <f>IF(AND(H16=Polarity!L$6,G16=Polarity!L$6),Polarity!L$6,"")</f>
        <v/>
      </c>
      <c r="N16" s="445"/>
      <c r="O16" s="231"/>
      <c r="P16" s="232" t="s">
        <v>128</v>
      </c>
      <c r="Q16" s="231"/>
      <c r="R16" s="231"/>
      <c r="S16" s="229">
        <v>37.5</v>
      </c>
      <c r="T16" s="447">
        <f>S16-'Surface tension'!$K$9</f>
        <v>-0.70000000000000284</v>
      </c>
      <c r="U16" s="448">
        <f>F98</f>
        <v>3.31</v>
      </c>
      <c r="V16" s="449">
        <f t="shared" si="0"/>
        <v>4</v>
      </c>
      <c r="W16" s="231"/>
      <c r="X16" s="231"/>
      <c r="Y16" s="231"/>
      <c r="Z16" s="231"/>
    </row>
    <row r="17" spans="1:26" x14ac:dyDescent="0.2">
      <c r="A17" s="407"/>
      <c r="B17" s="2" t="s">
        <v>30</v>
      </c>
      <c r="C17" s="309">
        <v>18.399999999999999</v>
      </c>
      <c r="D17" s="309">
        <v>10.6</v>
      </c>
      <c r="E17" s="309">
        <v>16.5</v>
      </c>
      <c r="F17" s="309">
        <v>8.93</v>
      </c>
      <c r="G17" s="97" t="s">
        <v>236</v>
      </c>
      <c r="H17" s="97" t="s">
        <v>236</v>
      </c>
      <c r="J17" s="344" t="str">
        <f>IF(AND(G17=Polarity!L$4,H17=Polarity!L$4),Polarity!L$4,Polarity!L$6)</f>
        <v>Fail</v>
      </c>
      <c r="K17" s="345" t="str">
        <f>IF(J17=Polarity!L$4,B17,"")</f>
        <v/>
      </c>
      <c r="L17" s="346" t="str">
        <f>IF(AND(B17=K17,F17&gt;5),Polarity!L$5,"")</f>
        <v/>
      </c>
      <c r="M17" s="336" t="str">
        <f>IF(AND(H17=Polarity!L$6,G17=Polarity!L$6),Polarity!L$6,"")</f>
        <v>Fail</v>
      </c>
      <c r="N17" s="445"/>
      <c r="O17" s="231"/>
      <c r="P17" s="229" t="s">
        <v>47</v>
      </c>
      <c r="Q17" s="231"/>
      <c r="R17" s="231"/>
      <c r="S17" s="232">
        <v>37</v>
      </c>
      <c r="T17" s="447">
        <f>S17-'Surface tension'!$K$9</f>
        <v>-1.2000000000000028</v>
      </c>
      <c r="U17" s="448">
        <f>F205</f>
        <v>5.33</v>
      </c>
      <c r="V17" s="449">
        <f t="shared" si="0"/>
        <v>17</v>
      </c>
      <c r="W17" s="231"/>
      <c r="X17" s="231"/>
      <c r="Y17" s="231"/>
      <c r="Z17" s="231"/>
    </row>
    <row r="18" spans="1:26" x14ac:dyDescent="0.2">
      <c r="A18" s="407"/>
      <c r="B18" s="6" t="s">
        <v>51</v>
      </c>
      <c r="C18" s="309">
        <v>16.600000000000001</v>
      </c>
      <c r="D18" s="309">
        <v>11</v>
      </c>
      <c r="E18" s="309">
        <v>20.9</v>
      </c>
      <c r="F18" s="309">
        <v>13.6</v>
      </c>
      <c r="G18" s="97" t="s">
        <v>236</v>
      </c>
      <c r="H18" s="97" t="s">
        <v>236</v>
      </c>
      <c r="J18" s="344" t="str">
        <f>IF(AND(G18=Polarity!L$4,H18=Polarity!L$4),Polarity!L$4,Polarity!L$6)</f>
        <v>Fail</v>
      </c>
      <c r="K18" s="345" t="str">
        <f>IF(J18=Polarity!L$4,B18,"")</f>
        <v/>
      </c>
      <c r="L18" s="346" t="str">
        <f>IF(AND(B18=K18,F18&gt;5),Polarity!L$5,"")</f>
        <v/>
      </c>
      <c r="M18" s="336" t="str">
        <f>IF(AND(H18=Polarity!L$6,G18=Polarity!L$6),Polarity!L$6,"")</f>
        <v>Fail</v>
      </c>
      <c r="N18" s="445"/>
      <c r="O18" s="231"/>
      <c r="P18" s="229" t="s">
        <v>577</v>
      </c>
      <c r="Q18" s="231"/>
      <c r="R18" s="231"/>
      <c r="S18" s="232">
        <v>39.700000000000003</v>
      </c>
      <c r="T18" s="447">
        <f>S18-'Surface tension'!$K$9</f>
        <v>1.5</v>
      </c>
      <c r="U18" s="447">
        <f>F151</f>
        <v>6.17</v>
      </c>
      <c r="V18" s="449">
        <f t="shared" si="0"/>
        <v>25</v>
      </c>
      <c r="W18" s="231"/>
      <c r="X18" s="231"/>
      <c r="Y18" s="231"/>
      <c r="Z18" s="231"/>
    </row>
    <row r="19" spans="1:26" x14ac:dyDescent="0.2">
      <c r="B19" s="3" t="s">
        <v>103</v>
      </c>
      <c r="C19" s="332">
        <v>19.7</v>
      </c>
      <c r="D19" s="332">
        <v>5.6</v>
      </c>
      <c r="E19" s="332">
        <v>2.7</v>
      </c>
      <c r="F19" s="332">
        <v>7.09</v>
      </c>
      <c r="G19" s="97" t="s">
        <v>236</v>
      </c>
      <c r="H19" s="97" t="s">
        <v>236</v>
      </c>
      <c r="J19" s="344" t="str">
        <f>IF(AND(G19=Polarity!L$4,H19=Polarity!L$4),Polarity!L$4,Polarity!L$6)</f>
        <v>Fail</v>
      </c>
      <c r="K19" s="345" t="str">
        <f>IF(J19=Polarity!L$4,B19,"")</f>
        <v/>
      </c>
      <c r="L19" s="346" t="str">
        <f>IF(AND(B19=K19,F19&gt;5),Polarity!L$5,"")</f>
        <v/>
      </c>
      <c r="M19" s="336" t="str">
        <f>IF(AND(H19=Polarity!L$6,G19=Polarity!L$6),Polarity!L$6,"")</f>
        <v>Fail</v>
      </c>
      <c r="N19" s="445"/>
      <c r="O19" s="231"/>
      <c r="P19" s="229" t="s">
        <v>101</v>
      </c>
      <c r="Q19" s="231"/>
      <c r="R19" s="231"/>
      <c r="S19" s="232">
        <v>36.61</v>
      </c>
      <c r="T19" s="447">
        <f>S19-'Surface tension'!$K$9</f>
        <v>-1.5900000000000034</v>
      </c>
      <c r="U19" s="448">
        <f>F13</f>
        <v>4.07</v>
      </c>
      <c r="V19" s="449">
        <f t="shared" si="0"/>
        <v>10</v>
      </c>
      <c r="W19" s="231"/>
      <c r="X19" s="231"/>
      <c r="Y19" s="231"/>
      <c r="Z19" s="231"/>
    </row>
    <row r="20" spans="1:26" x14ac:dyDescent="0.2">
      <c r="B20" s="6" t="s">
        <v>145</v>
      </c>
      <c r="C20" s="309">
        <v>17.5</v>
      </c>
      <c r="D20" s="309">
        <v>1.8</v>
      </c>
      <c r="E20" s="309">
        <v>9</v>
      </c>
      <c r="F20" s="309">
        <v>7.68</v>
      </c>
      <c r="G20" s="97" t="s">
        <v>236</v>
      </c>
      <c r="H20" s="98" t="s">
        <v>235</v>
      </c>
      <c r="J20" s="344" t="str">
        <f>IF(AND(G20=Polarity!L$4,H20=Polarity!L$4),Polarity!L$4,Polarity!L$6)</f>
        <v>Fail</v>
      </c>
      <c r="K20" s="345" t="str">
        <f>IF(J20=Polarity!L$4,B20,"")</f>
        <v/>
      </c>
      <c r="L20" s="346" t="str">
        <f>IF(AND(B20=K20,F20&gt;5),Polarity!L$5,"")</f>
        <v/>
      </c>
      <c r="M20" s="336" t="str">
        <f>IF(AND(H20=Polarity!L$6,G20=Polarity!L$6),Polarity!L$6,"")</f>
        <v/>
      </c>
      <c r="N20" s="445"/>
      <c r="O20" s="231"/>
      <c r="P20" s="229" t="s">
        <v>187</v>
      </c>
      <c r="Q20" s="231"/>
      <c r="R20" s="231"/>
      <c r="S20" s="229">
        <v>39.799999999999997</v>
      </c>
      <c r="T20" s="447">
        <f>S20-'Surface tension'!$K$9</f>
        <v>1.5999999999999943</v>
      </c>
      <c r="U20" s="448">
        <f>F58</f>
        <v>4.04</v>
      </c>
      <c r="V20" s="449">
        <f t="shared" si="0"/>
        <v>8</v>
      </c>
      <c r="W20" s="231"/>
      <c r="X20" s="231"/>
      <c r="Y20" s="231"/>
      <c r="Z20" s="231"/>
    </row>
    <row r="21" spans="1:26" x14ac:dyDescent="0.2">
      <c r="B21" s="6" t="s">
        <v>86</v>
      </c>
      <c r="C21" s="332">
        <v>16.5</v>
      </c>
      <c r="D21" s="332">
        <v>4.0999999999999996</v>
      </c>
      <c r="E21" s="332">
        <v>3.9</v>
      </c>
      <c r="F21" s="332">
        <v>7.1</v>
      </c>
      <c r="G21" s="97" t="s">
        <v>236</v>
      </c>
      <c r="H21" s="97" t="s">
        <v>236</v>
      </c>
      <c r="J21" s="344" t="str">
        <f>IF(AND(G21=Polarity!L$4,H21=Polarity!L$4),Polarity!L$4,Polarity!L$6)</f>
        <v>Fail</v>
      </c>
      <c r="K21" s="345" t="str">
        <f>IF(J21=Polarity!L$4,B21,"")</f>
        <v/>
      </c>
      <c r="L21" s="346" t="str">
        <f>IF(AND(B21=K21,F21&gt;5),Polarity!L$5,"")</f>
        <v/>
      </c>
      <c r="M21" s="336" t="str">
        <f>IF(AND(H21=Polarity!L$6,G21=Polarity!L$6),Polarity!L$6,"")</f>
        <v>Fail</v>
      </c>
      <c r="N21" s="445"/>
      <c r="O21" s="231"/>
      <c r="P21" s="233" t="s">
        <v>192</v>
      </c>
      <c r="Q21" s="231"/>
      <c r="R21" s="231"/>
      <c r="S21" s="229">
        <v>36.6</v>
      </c>
      <c r="T21" s="447">
        <f>S21-'Surface tension'!$K$9</f>
        <v>-1.6000000000000014</v>
      </c>
      <c r="U21" s="448">
        <f>F195</f>
        <v>2.74</v>
      </c>
      <c r="V21" s="449">
        <f t="shared" si="0"/>
        <v>1</v>
      </c>
      <c r="W21" s="231"/>
      <c r="X21" s="231"/>
      <c r="Y21" s="231"/>
      <c r="Z21" s="231"/>
    </row>
    <row r="22" spans="1:26" x14ac:dyDescent="0.2">
      <c r="B22" s="2" t="s">
        <v>11</v>
      </c>
      <c r="C22" s="309">
        <v>16</v>
      </c>
      <c r="D22" s="309">
        <v>5.7</v>
      </c>
      <c r="E22" s="309">
        <v>15.8</v>
      </c>
      <c r="F22" s="309">
        <v>9.7200000000000006</v>
      </c>
      <c r="G22" s="97" t="s">
        <v>236</v>
      </c>
      <c r="H22" s="97" t="s">
        <v>236</v>
      </c>
      <c r="J22" s="344" t="str">
        <f>IF(AND(G22=Polarity!L$4,H22=Polarity!L$4),Polarity!L$4,Polarity!L$6)</f>
        <v>Fail</v>
      </c>
      <c r="K22" s="345" t="str">
        <f>IF(J22=Polarity!L$4,B22,"")</f>
        <v/>
      </c>
      <c r="L22" s="346" t="str">
        <f>IF(AND(B22=K22,F22&gt;5),Polarity!L$5,"")</f>
        <v/>
      </c>
      <c r="M22" s="336" t="str">
        <f>IF(AND(H22=Polarity!L$6,G22=Polarity!L$6),Polarity!L$6,"")</f>
        <v>Fail</v>
      </c>
      <c r="N22" s="445"/>
      <c r="O22" s="231"/>
      <c r="P22" s="232" t="s">
        <v>87</v>
      </c>
      <c r="Q22" s="231"/>
      <c r="R22" s="231"/>
      <c r="S22" s="229">
        <v>36</v>
      </c>
      <c r="T22" s="447">
        <f>S22-'Surface tension'!$K$9</f>
        <v>-2.2000000000000028</v>
      </c>
      <c r="U22" s="448">
        <f>F69</f>
        <v>5.76</v>
      </c>
      <c r="V22" s="449">
        <f t="shared" si="0"/>
        <v>21</v>
      </c>
      <c r="W22" s="231"/>
      <c r="X22" s="231"/>
      <c r="Y22" s="231"/>
      <c r="Z22" s="231"/>
    </row>
    <row r="23" spans="1:26" x14ac:dyDescent="0.2">
      <c r="B23" s="2" t="s">
        <v>93</v>
      </c>
      <c r="C23" s="309">
        <v>16</v>
      </c>
      <c r="D23" s="309">
        <v>7.8</v>
      </c>
      <c r="E23" s="309">
        <v>2</v>
      </c>
      <c r="F23" s="309">
        <f>((4*((C23-18)^2)+((D23-9.3)^2)+((E23-7.7)^2))^0.5)</f>
        <v>7.1232015274032507</v>
      </c>
      <c r="G23" s="97" t="s">
        <v>236</v>
      </c>
      <c r="H23" s="97" t="s">
        <v>236</v>
      </c>
      <c r="J23" s="344" t="str">
        <f>IF(AND(G23=Polarity!L$4,H23=Polarity!L$4),Polarity!L$4,Polarity!L$6)</f>
        <v>Fail</v>
      </c>
      <c r="K23" s="345" t="str">
        <f>IF(J23=Polarity!L$4,B23,"")</f>
        <v/>
      </c>
      <c r="L23" s="346" t="str">
        <f>IF(AND(B23=K23,F23&gt;5),Polarity!L$5,"")</f>
        <v/>
      </c>
      <c r="M23" s="336" t="str">
        <f>IF(AND(H23=Polarity!L$6,G23=Polarity!L$6),Polarity!L$6,"")</f>
        <v>Fail</v>
      </c>
      <c r="N23" s="445"/>
      <c r="O23" s="231"/>
      <c r="P23" s="232" t="s">
        <v>226</v>
      </c>
      <c r="Q23" s="231"/>
      <c r="R23" s="231"/>
      <c r="S23" s="232">
        <v>40.700000000000003</v>
      </c>
      <c r="T23" s="447">
        <f>S23-'Surface tension'!$K$9</f>
        <v>2.5</v>
      </c>
      <c r="U23" s="448">
        <f>F178</f>
        <v>3.04</v>
      </c>
      <c r="V23" s="449">
        <f t="shared" si="0"/>
        <v>3</v>
      </c>
      <c r="W23" s="231"/>
      <c r="X23" s="231"/>
      <c r="Y23" s="231"/>
      <c r="Z23" s="231"/>
    </row>
    <row r="24" spans="1:26" x14ac:dyDescent="0.2">
      <c r="B24" s="2" t="s">
        <v>12</v>
      </c>
      <c r="C24" s="309">
        <v>16</v>
      </c>
      <c r="D24" s="309">
        <v>4.7</v>
      </c>
      <c r="E24" s="309">
        <v>10.5</v>
      </c>
      <c r="F24" s="309">
        <v>6.71</v>
      </c>
      <c r="G24" s="97" t="s">
        <v>236</v>
      </c>
      <c r="H24" s="97" t="s">
        <v>236</v>
      </c>
      <c r="J24" s="344" t="str">
        <f>IF(AND(G24=Polarity!L$4,H24=Polarity!L$4),Polarity!L$4,Polarity!L$6)</f>
        <v>Fail</v>
      </c>
      <c r="K24" s="345" t="str">
        <f>IF(J24=Polarity!L$4,B24,"")</f>
        <v/>
      </c>
      <c r="L24" s="346" t="str">
        <f>IF(AND(B24=K24,F24&gt;5),Polarity!L$5,"")</f>
        <v/>
      </c>
      <c r="M24" s="336" t="str">
        <f>IF(AND(H24=Polarity!L$6,G24=Polarity!L$6),Polarity!L$6,"")</f>
        <v>Fail</v>
      </c>
      <c r="N24" s="445"/>
      <c r="O24" s="231"/>
      <c r="P24" s="229" t="s">
        <v>330</v>
      </c>
      <c r="Q24" s="231"/>
      <c r="R24" s="231"/>
      <c r="S24" s="229">
        <v>35.520000000000003</v>
      </c>
      <c r="T24" s="447">
        <f>S24-'Surface tension'!$K$9</f>
        <v>-2.6799999999999997</v>
      </c>
      <c r="U24" s="448">
        <f>F208</f>
        <v>5.83</v>
      </c>
      <c r="V24" s="449">
        <f t="shared" si="0"/>
        <v>24</v>
      </c>
      <c r="W24" s="231"/>
      <c r="X24" s="231"/>
      <c r="Y24" s="231"/>
      <c r="Z24" s="231"/>
    </row>
    <row r="25" spans="1:26" x14ac:dyDescent="0.2">
      <c r="B25" s="3" t="s">
        <v>13</v>
      </c>
      <c r="C25" s="309">
        <v>16</v>
      </c>
      <c r="D25" s="309">
        <v>5.3</v>
      </c>
      <c r="E25" s="309">
        <v>11.7</v>
      </c>
      <c r="F25" s="309">
        <v>6.93</v>
      </c>
      <c r="G25" s="97" t="s">
        <v>236</v>
      </c>
      <c r="H25" s="97" t="s">
        <v>236</v>
      </c>
      <c r="J25" s="344" t="str">
        <f>IF(AND(G25=Polarity!L$4,H25=Polarity!L$4),Polarity!L$4,Polarity!L$6)</f>
        <v>Fail</v>
      </c>
      <c r="K25" s="345" t="str">
        <f>IF(J25=Polarity!L$4,B25,"")</f>
        <v/>
      </c>
      <c r="L25" s="346" t="str">
        <f>IF(AND(B25=K25,F25&gt;5),Polarity!L$5,"")</f>
        <v/>
      </c>
      <c r="M25" s="336" t="str">
        <f>IF(AND(H25=Polarity!L$6,G25=Polarity!L$6),Polarity!L$6,"")</f>
        <v>Fail</v>
      </c>
      <c r="N25" s="445"/>
      <c r="O25" s="231"/>
      <c r="P25" s="232" t="s">
        <v>73</v>
      </c>
      <c r="Q25" s="231"/>
      <c r="R25" s="231"/>
      <c r="S25" s="229">
        <v>41.12</v>
      </c>
      <c r="T25" s="447">
        <f>S25-'Surface tension'!$K$9</f>
        <v>2.9199999999999946</v>
      </c>
      <c r="U25" s="448">
        <f>F62</f>
        <v>6.49</v>
      </c>
      <c r="V25" s="449">
        <f t="shared" si="0"/>
        <v>28</v>
      </c>
      <c r="W25" s="231"/>
      <c r="X25" s="231"/>
      <c r="Y25" s="231"/>
      <c r="Z25" s="231"/>
    </row>
    <row r="26" spans="1:26" x14ac:dyDescent="0.2">
      <c r="B26" s="3" t="s">
        <v>14</v>
      </c>
      <c r="C26" s="309">
        <v>15.9</v>
      </c>
      <c r="D26" s="309">
        <v>5.8</v>
      </c>
      <c r="E26" s="309">
        <v>12.5</v>
      </c>
      <c r="F26" s="309">
        <v>7.28</v>
      </c>
      <c r="G26" s="97" t="s">
        <v>236</v>
      </c>
      <c r="H26" s="97" t="s">
        <v>236</v>
      </c>
      <c r="J26" s="344" t="str">
        <f>IF(AND(G26=Polarity!L$4,H26=Polarity!L$4),Polarity!L$4,Polarity!L$6)</f>
        <v>Fail</v>
      </c>
      <c r="K26" s="345" t="str">
        <f>IF(J26=Polarity!L$4,B26,"")</f>
        <v/>
      </c>
      <c r="L26" s="346" t="str">
        <f>IF(AND(B26=K26,F26&gt;5),Polarity!L$5,"")</f>
        <v/>
      </c>
      <c r="M26" s="336" t="str">
        <f>IF(AND(H26=Polarity!L$6,G26=Polarity!L$6),Polarity!L$6,"")</f>
        <v>Fail</v>
      </c>
      <c r="N26" s="445"/>
      <c r="O26" s="231"/>
      <c r="P26" s="225" t="s">
        <v>189</v>
      </c>
      <c r="Q26" s="231"/>
      <c r="R26" s="231"/>
      <c r="S26" s="232">
        <v>35.049999999999997</v>
      </c>
      <c r="T26" s="447">
        <f>S26-'Surface tension'!$K$9</f>
        <v>-3.1500000000000057</v>
      </c>
      <c r="U26" s="448">
        <f>F85</f>
        <v>2.78</v>
      </c>
      <c r="V26" s="449">
        <f t="shared" si="0"/>
        <v>2</v>
      </c>
      <c r="W26" s="231"/>
      <c r="X26" s="231"/>
      <c r="Y26" s="231"/>
      <c r="Z26" s="231"/>
    </row>
    <row r="27" spans="1:26" x14ac:dyDescent="0.2">
      <c r="A27" s="407"/>
      <c r="B27" s="2" t="s">
        <v>31</v>
      </c>
      <c r="C27" s="309">
        <v>15.6</v>
      </c>
      <c r="D27" s="309">
        <v>6.3</v>
      </c>
      <c r="E27" s="309">
        <v>11.6</v>
      </c>
      <c r="F27" s="309">
        <v>6.87</v>
      </c>
      <c r="G27" s="97" t="s">
        <v>236</v>
      </c>
      <c r="H27" s="97" t="s">
        <v>236</v>
      </c>
      <c r="J27" s="344" t="str">
        <f>IF(AND(G27=Polarity!L$4,H27=Polarity!L$4),Polarity!L$4,Polarity!L$6)</f>
        <v>Fail</v>
      </c>
      <c r="K27" s="345" t="str">
        <f>IF(J27=Polarity!L$4,B27,"")</f>
        <v/>
      </c>
      <c r="L27" s="346" t="str">
        <f>IF(AND(B27=K27,F27&gt;5),Polarity!L$5,"")</f>
        <v/>
      </c>
      <c r="M27" s="336" t="str">
        <f>IF(AND(H27=Polarity!L$6,G27=Polarity!L$6),Polarity!L$6,"")</f>
        <v>Fail</v>
      </c>
      <c r="N27" s="445"/>
      <c r="O27" s="231"/>
      <c r="P27" s="235" t="s">
        <v>36</v>
      </c>
      <c r="Q27" s="231"/>
      <c r="R27" s="231"/>
      <c r="S27" s="232">
        <v>35</v>
      </c>
      <c r="T27" s="447">
        <f>S27-'Surface tension'!$K$9</f>
        <v>-3.2000000000000028</v>
      </c>
      <c r="U27" s="448">
        <f>F72</f>
        <v>5.78</v>
      </c>
      <c r="V27" s="449">
        <f t="shared" si="0"/>
        <v>22</v>
      </c>
      <c r="W27" s="231"/>
      <c r="X27" s="231"/>
      <c r="Y27" s="231"/>
      <c r="Z27" s="231"/>
    </row>
    <row r="28" spans="1:26" x14ac:dyDescent="0.2">
      <c r="A28" s="407"/>
      <c r="B28" s="5" t="s">
        <v>15</v>
      </c>
      <c r="C28" s="309">
        <v>16</v>
      </c>
      <c r="D28" s="309">
        <v>5</v>
      </c>
      <c r="E28" s="309">
        <v>11.2</v>
      </c>
      <c r="F28" s="309">
        <v>6.84</v>
      </c>
      <c r="G28" s="97" t="s">
        <v>236</v>
      </c>
      <c r="H28" s="97" t="s">
        <v>236</v>
      </c>
      <c r="J28" s="344" t="str">
        <f>IF(AND(G28=Polarity!L$4,H28=Polarity!L$4),Polarity!L$4,Polarity!L$6)</f>
        <v>Fail</v>
      </c>
      <c r="K28" s="345" t="str">
        <f>IF(J28=Polarity!L$4,B28,"")</f>
        <v/>
      </c>
      <c r="L28" s="346" t="str">
        <f>IF(AND(B28=K28,F28&gt;5),Polarity!L$5,"")</f>
        <v/>
      </c>
      <c r="M28" s="336" t="str">
        <f>IF(AND(H28=Polarity!L$6,G28=Polarity!L$6),Polarity!L$6,"")</f>
        <v>Fail</v>
      </c>
      <c r="N28" s="445"/>
      <c r="O28" s="231"/>
      <c r="P28" s="229" t="s">
        <v>69</v>
      </c>
      <c r="Q28" s="231"/>
      <c r="R28" s="231"/>
      <c r="S28" s="232">
        <v>35</v>
      </c>
      <c r="T28" s="447">
        <f>S28-'Surface tension'!$K$9</f>
        <v>-3.2000000000000028</v>
      </c>
      <c r="U28" s="448">
        <f>F167</f>
        <v>5.81</v>
      </c>
      <c r="V28" s="449">
        <f t="shared" si="0"/>
        <v>23</v>
      </c>
      <c r="W28" s="231"/>
      <c r="X28" s="231"/>
      <c r="Y28" s="231"/>
      <c r="Z28" s="231"/>
    </row>
    <row r="29" spans="1:26" x14ac:dyDescent="0.2">
      <c r="A29" s="407"/>
      <c r="B29" s="5" t="s">
        <v>16</v>
      </c>
      <c r="C29" s="309">
        <v>15.9</v>
      </c>
      <c r="D29" s="309">
        <v>5.9</v>
      </c>
      <c r="E29" s="309">
        <v>13.9</v>
      </c>
      <c r="F29" s="309">
        <v>8.2200000000000006</v>
      </c>
      <c r="G29" s="97" t="s">
        <v>236</v>
      </c>
      <c r="H29" s="97" t="s">
        <v>236</v>
      </c>
      <c r="J29" s="344" t="str">
        <f>IF(AND(G29=Polarity!L$4,H29=Polarity!L$4),Polarity!L$4,Polarity!L$6)</f>
        <v>Fail</v>
      </c>
      <c r="K29" s="345" t="str">
        <f>IF(J29=Polarity!L$4,B29,"")</f>
        <v/>
      </c>
      <c r="L29" s="346" t="str">
        <f>IF(AND(B29=K29,F29&gt;5),Polarity!L$5,"")</f>
        <v/>
      </c>
      <c r="M29" s="336" t="str">
        <f>IF(AND(H29=Polarity!L$6,G29=Polarity!L$6),Polarity!L$6,"")</f>
        <v>Fail</v>
      </c>
      <c r="N29" s="445"/>
      <c r="O29" s="231"/>
      <c r="P29" s="225" t="s">
        <v>132</v>
      </c>
      <c r="Q29" s="231"/>
      <c r="R29" s="231"/>
      <c r="S29" s="232">
        <v>35</v>
      </c>
      <c r="T29" s="447">
        <f>S29-'Surface tension'!$K$9</f>
        <v>-3.2000000000000028</v>
      </c>
      <c r="U29" s="448">
        <f>F63</f>
        <v>4.9800000000000004</v>
      </c>
      <c r="V29" s="449">
        <f t="shared" si="0"/>
        <v>12</v>
      </c>
      <c r="W29" s="231"/>
      <c r="X29" s="231"/>
      <c r="Y29" s="231"/>
      <c r="Z29" s="231"/>
    </row>
    <row r="30" spans="1:26" x14ac:dyDescent="0.2">
      <c r="A30" s="407"/>
      <c r="B30" s="3" t="s">
        <v>17</v>
      </c>
      <c r="C30" s="309">
        <v>16</v>
      </c>
      <c r="D30" s="309">
        <v>6.8</v>
      </c>
      <c r="E30" s="309">
        <v>17.399999999999999</v>
      </c>
      <c r="F30" s="309">
        <v>10.79</v>
      </c>
      <c r="G30" s="97" t="s">
        <v>236</v>
      </c>
      <c r="H30" s="97" t="s">
        <v>236</v>
      </c>
      <c r="J30" s="344" t="str">
        <f>IF(AND(G30=Polarity!L$4,H30=Polarity!L$4),Polarity!L$4,Polarity!L$6)</f>
        <v>Fail</v>
      </c>
      <c r="K30" s="345" t="str">
        <f>IF(J30=Polarity!L$4,B30,"")</f>
        <v/>
      </c>
      <c r="L30" s="346" t="str">
        <f>IF(AND(B30=K30,F30&gt;5),Polarity!L$5,"")</f>
        <v/>
      </c>
      <c r="M30" s="336" t="str">
        <f>IF(AND(H30=Polarity!L$6,G30=Polarity!L$6),Polarity!L$6,"")</f>
        <v>Fail</v>
      </c>
      <c r="N30" s="445"/>
      <c r="O30" s="231"/>
      <c r="P30" s="229" t="s">
        <v>97</v>
      </c>
      <c r="Q30" s="231"/>
      <c r="R30" s="231"/>
      <c r="S30" s="229">
        <v>34.72</v>
      </c>
      <c r="T30" s="447">
        <f>S30-'Surface tension'!$K$9</f>
        <v>-3.480000000000004</v>
      </c>
      <c r="U30" s="448">
        <f>F8</f>
        <v>5.0999999999999996</v>
      </c>
      <c r="V30" s="449">
        <f t="shared" si="0"/>
        <v>13</v>
      </c>
      <c r="W30" s="231"/>
      <c r="X30" s="231"/>
      <c r="Y30" s="231"/>
      <c r="Z30" s="231"/>
    </row>
    <row r="31" spans="1:26" x14ac:dyDescent="0.2">
      <c r="A31" s="407"/>
      <c r="B31" s="6" t="s">
        <v>178</v>
      </c>
      <c r="C31" s="309">
        <v>16</v>
      </c>
      <c r="D31" s="309">
        <v>3.7</v>
      </c>
      <c r="E31" s="309">
        <v>4.0999999999999996</v>
      </c>
      <c r="F31" s="309">
        <v>7.77</v>
      </c>
      <c r="G31" s="97" t="s">
        <v>236</v>
      </c>
      <c r="H31" s="97" t="s">
        <v>236</v>
      </c>
      <c r="J31" s="344" t="str">
        <f>IF(AND(G31=Polarity!L$4,H31=Polarity!L$4),Polarity!L$4,Polarity!L$6)</f>
        <v>Fail</v>
      </c>
      <c r="K31" s="345" t="str">
        <f>IF(J31=Polarity!L$4,B31,"")</f>
        <v/>
      </c>
      <c r="L31" s="346" t="str">
        <f>IF(AND(B31=K31,F31&gt;5),Polarity!L$5,"")</f>
        <v/>
      </c>
      <c r="M31" s="336" t="str">
        <f>IF(AND(H31=Polarity!L$6,G31=Polarity!L$6),Polarity!L$6,"")</f>
        <v>Fail</v>
      </c>
      <c r="N31" s="445"/>
      <c r="O31" s="231"/>
      <c r="P31" s="232" t="s">
        <v>181</v>
      </c>
      <c r="Q31" s="231"/>
      <c r="R31" s="231"/>
      <c r="S31" s="232">
        <v>33.869999999999997</v>
      </c>
      <c r="T31" s="447">
        <f>S31-'Surface tension'!$K$9</f>
        <v>-4.3300000000000054</v>
      </c>
      <c r="U31" s="448">
        <f>F46</f>
        <v>5.28</v>
      </c>
      <c r="V31" s="449">
        <f t="shared" si="0"/>
        <v>15</v>
      </c>
      <c r="W31" s="231"/>
      <c r="X31" s="231"/>
      <c r="Y31" s="231"/>
      <c r="Z31" s="231"/>
    </row>
    <row r="32" spans="1:26" x14ac:dyDescent="0.2">
      <c r="A32" s="407"/>
      <c r="B32" s="6" t="s">
        <v>32</v>
      </c>
      <c r="C32" s="309">
        <v>17</v>
      </c>
      <c r="D32" s="309">
        <v>15.5</v>
      </c>
      <c r="E32" s="309">
        <v>21</v>
      </c>
      <c r="F32" s="309">
        <v>14.81</v>
      </c>
      <c r="G32" s="97" t="s">
        <v>236</v>
      </c>
      <c r="H32" s="100" t="s">
        <v>237</v>
      </c>
      <c r="J32" s="344" t="str">
        <f>IF(AND(G32=Polarity!L$4,H32=Polarity!L$4),Polarity!L$4,Polarity!L$6)</f>
        <v>Fail</v>
      </c>
      <c r="K32" s="345" t="str">
        <f>IF(J32=Polarity!L$4,B32,"")</f>
        <v/>
      </c>
      <c r="L32" s="346" t="str">
        <f>IF(AND(B32=K32,F32&gt;5),Polarity!L$5,"")</f>
        <v/>
      </c>
      <c r="M32" s="336" t="str">
        <f>IF(AND(H32=Polarity!L$6,G32=Polarity!L$6),Polarity!L$6,"")</f>
        <v/>
      </c>
      <c r="N32" s="445"/>
      <c r="O32" s="231"/>
      <c r="P32" s="225" t="s">
        <v>227</v>
      </c>
      <c r="Q32" s="231"/>
      <c r="R32" s="231"/>
      <c r="S32" s="232">
        <v>33.6</v>
      </c>
      <c r="T32" s="447">
        <f>S32-'Surface tension'!$K$9</f>
        <v>-4.6000000000000014</v>
      </c>
      <c r="U32" s="448">
        <f>F89</f>
        <v>2.2113344387495983</v>
      </c>
      <c r="V32" s="449">
        <f t="shared" si="0"/>
        <v>0</v>
      </c>
      <c r="W32" s="231"/>
      <c r="X32" s="231"/>
      <c r="Y32" s="231"/>
      <c r="Z32" s="231"/>
    </row>
    <row r="33" spans="1:26" ht="12.75" customHeight="1" x14ac:dyDescent="0.2">
      <c r="A33" s="407"/>
      <c r="B33" s="6" t="s">
        <v>18</v>
      </c>
      <c r="C33" s="309">
        <v>15.8</v>
      </c>
      <c r="D33" s="309">
        <v>5.7</v>
      </c>
      <c r="E33" s="309">
        <v>14.5</v>
      </c>
      <c r="F33" s="309">
        <v>8.86</v>
      </c>
      <c r="G33" s="97" t="s">
        <v>236</v>
      </c>
      <c r="H33" s="97" t="s">
        <v>236</v>
      </c>
      <c r="J33" s="344" t="str">
        <f>IF(AND(G33=Polarity!L$4,H33=Polarity!L$4),Polarity!L$4,Polarity!L$6)</f>
        <v>Fail</v>
      </c>
      <c r="K33" s="345" t="str">
        <f>IF(J33=Polarity!L$4,B33,"")</f>
        <v/>
      </c>
      <c r="L33" s="346" t="str">
        <f>IF(AND(B33=K33,F33&gt;5),Polarity!L$5,"")</f>
        <v/>
      </c>
      <c r="M33" s="336" t="str">
        <f>IF(AND(H33=Polarity!L$6,G33=Polarity!L$6),Polarity!L$6,"")</f>
        <v>Fail</v>
      </c>
      <c r="N33" s="445"/>
      <c r="O33" s="231"/>
      <c r="P33" s="225" t="s">
        <v>190</v>
      </c>
      <c r="Q33" s="231"/>
      <c r="R33" s="231"/>
      <c r="S33" s="229">
        <v>33.4</v>
      </c>
      <c r="T33" s="447">
        <f>S33-'Surface tension'!$K$9</f>
        <v>-4.8000000000000043</v>
      </c>
      <c r="U33" s="448">
        <f>F88</f>
        <v>3.61</v>
      </c>
      <c r="V33" s="449">
        <f t="shared" si="0"/>
        <v>5</v>
      </c>
      <c r="W33" s="231"/>
      <c r="X33" s="231"/>
      <c r="Y33" s="231"/>
      <c r="Z33" s="231"/>
    </row>
    <row r="34" spans="1:26" x14ac:dyDescent="0.2">
      <c r="A34" s="407"/>
      <c r="B34" s="3" t="s">
        <v>33</v>
      </c>
      <c r="C34" s="309">
        <v>16</v>
      </c>
      <c r="D34" s="309">
        <v>5.0999999999999996</v>
      </c>
      <c r="E34" s="309">
        <v>12.3</v>
      </c>
      <c r="F34" s="309">
        <v>7.4</v>
      </c>
      <c r="G34" s="97" t="s">
        <v>236</v>
      </c>
      <c r="H34" s="97" t="s">
        <v>236</v>
      </c>
      <c r="J34" s="344" t="str">
        <f>IF(AND(G34=Polarity!L$4,H34=Polarity!L$4),Polarity!L$4,Polarity!L$6)</f>
        <v>Fail</v>
      </c>
      <c r="K34" s="345" t="str">
        <f>IF(J34=Polarity!L$4,B34,"")</f>
        <v/>
      </c>
      <c r="L34" s="346" t="str">
        <f>IF(AND(B34=K34,F34&gt;5),Polarity!L$5,"")</f>
        <v/>
      </c>
      <c r="M34" s="336" t="str">
        <f>IF(AND(H34=Polarity!L$6,G34=Polarity!L$6),Polarity!L$6,"")</f>
        <v>Fail</v>
      </c>
      <c r="N34" s="445"/>
      <c r="O34" s="231"/>
      <c r="P34" s="233" t="s">
        <v>199</v>
      </c>
      <c r="Q34" s="231"/>
      <c r="R34" s="231"/>
      <c r="S34" s="229">
        <v>43.4</v>
      </c>
      <c r="T34" s="447">
        <f>S34-'Surface tension'!$K$9</f>
        <v>5.1999999999999957</v>
      </c>
      <c r="U34" s="448">
        <f>F173</f>
        <v>6.23</v>
      </c>
      <c r="V34" s="449">
        <f t="shared" si="0"/>
        <v>26</v>
      </c>
      <c r="W34" s="231"/>
      <c r="X34" s="231"/>
      <c r="Y34" s="231"/>
      <c r="Z34" s="231"/>
    </row>
    <row r="35" spans="1:26" x14ac:dyDescent="0.2">
      <c r="B35" s="6" t="s">
        <v>94</v>
      </c>
      <c r="C35" s="309">
        <v>15</v>
      </c>
      <c r="D35" s="309">
        <v>8</v>
      </c>
      <c r="E35" s="309">
        <v>2</v>
      </c>
      <c r="F35" s="309">
        <f>((4*((C35-18)^2)+((D35-9.3)^2)+((E35-7.7)^2))^0.5)</f>
        <v>8.3773504164502999</v>
      </c>
      <c r="G35" s="97" t="s">
        <v>236</v>
      </c>
      <c r="H35" s="97" t="s">
        <v>236</v>
      </c>
      <c r="J35" s="344" t="str">
        <f>IF(AND(G35=Polarity!L$4,H35=Polarity!L$4),Polarity!L$4,Polarity!L$6)</f>
        <v>Fail</v>
      </c>
      <c r="K35" s="345" t="str">
        <f>IF(J35=Polarity!L$4,B35,"")</f>
        <v/>
      </c>
      <c r="L35" s="346" t="str">
        <f>IF(AND(B35=K35,F35&gt;5),Polarity!L$5,"")</f>
        <v/>
      </c>
      <c r="M35" s="336" t="str">
        <f>IF(AND(H35=Polarity!L$6,G35=Polarity!L$6),Polarity!L$6,"")</f>
        <v>Fail</v>
      </c>
      <c r="N35" s="445"/>
      <c r="O35" s="231"/>
      <c r="P35" s="229" t="s">
        <v>65</v>
      </c>
      <c r="Q35" s="231"/>
      <c r="R35" s="231"/>
      <c r="S35" s="232">
        <v>43.5</v>
      </c>
      <c r="T35" s="447">
        <f>S35-'Surface tension'!$K$9</f>
        <v>5.2999999999999972</v>
      </c>
      <c r="U35" s="448">
        <f>F137</f>
        <v>6.29</v>
      </c>
      <c r="V35" s="449">
        <f t="shared" si="0"/>
        <v>27</v>
      </c>
      <c r="W35" s="231"/>
      <c r="X35" s="231"/>
      <c r="Y35" s="231"/>
      <c r="Z35" s="231"/>
    </row>
    <row r="36" spans="1:26" x14ac:dyDescent="0.2">
      <c r="A36" s="407"/>
      <c r="B36" s="7" t="s">
        <v>34</v>
      </c>
      <c r="C36" s="309">
        <v>15.9</v>
      </c>
      <c r="D36" s="309">
        <v>7.2</v>
      </c>
      <c r="E36" s="309">
        <v>14</v>
      </c>
      <c r="F36" s="309">
        <v>7.86</v>
      </c>
      <c r="G36" s="97" t="s">
        <v>236</v>
      </c>
      <c r="H36" s="97" t="s">
        <v>236</v>
      </c>
      <c r="J36" s="344" t="str">
        <f>IF(AND(G36=Polarity!L$4,H36=Polarity!L$4),Polarity!L$4,Polarity!L$6)</f>
        <v>Fail</v>
      </c>
      <c r="K36" s="345" t="str">
        <f>IF(J36=Polarity!L$4,B36,"")</f>
        <v/>
      </c>
      <c r="L36" s="346" t="str">
        <f>IF(AND(B36=K36,F36&gt;5),Polarity!L$5,"")</f>
        <v/>
      </c>
      <c r="M36" s="336" t="str">
        <f>IF(AND(H36=Polarity!L$6,G36=Polarity!L$6),Polarity!L$6,"")</f>
        <v>Fail</v>
      </c>
      <c r="N36" s="445"/>
      <c r="O36" s="231"/>
      <c r="P36" s="229" t="s">
        <v>37</v>
      </c>
      <c r="Q36" s="231"/>
      <c r="R36" s="231"/>
      <c r="S36" s="229">
        <v>32.799999999999997</v>
      </c>
      <c r="T36" s="447">
        <f>S36-'Surface tension'!$K$9</f>
        <v>-5.4000000000000057</v>
      </c>
      <c r="U36" s="448">
        <f>F103</f>
        <v>5.45</v>
      </c>
      <c r="V36" s="449">
        <f t="shared" si="0"/>
        <v>19</v>
      </c>
      <c r="W36" s="231"/>
      <c r="X36" s="231"/>
      <c r="Y36" s="231"/>
      <c r="Z36" s="231"/>
    </row>
    <row r="37" spans="1:26" x14ac:dyDescent="0.2">
      <c r="A37" s="407"/>
      <c r="B37" s="4" t="s">
        <v>110</v>
      </c>
      <c r="C37" s="309">
        <v>15.9</v>
      </c>
      <c r="D37" s="309">
        <v>4.7</v>
      </c>
      <c r="E37" s="309">
        <v>10.6</v>
      </c>
      <c r="F37" s="309">
        <v>6.87</v>
      </c>
      <c r="G37" s="97" t="s">
        <v>236</v>
      </c>
      <c r="H37" s="97" t="s">
        <v>236</v>
      </c>
      <c r="J37" s="344" t="str">
        <f>IF(AND(G37=Polarity!L$4,H37=Polarity!L$4),Polarity!L$4,Polarity!L$6)</f>
        <v>Fail</v>
      </c>
      <c r="K37" s="345" t="str">
        <f>IF(J37=Polarity!L$4,B37,"")</f>
        <v/>
      </c>
      <c r="L37" s="346" t="str">
        <f>IF(AND(B37=K37,F37&gt;5),Polarity!L$5,"")</f>
        <v/>
      </c>
      <c r="M37" s="336" t="str">
        <f>IF(AND(H37=Polarity!L$6,G37=Polarity!L$6),Polarity!L$6,"")</f>
        <v>Fail</v>
      </c>
      <c r="N37" s="445"/>
      <c r="O37" s="231"/>
      <c r="P37" s="232" t="s">
        <v>68</v>
      </c>
      <c r="Q37" s="231"/>
      <c r="R37" s="231"/>
      <c r="S37" s="232">
        <v>32.43</v>
      </c>
      <c r="T37" s="447">
        <f>S37-'Surface tension'!$K$9</f>
        <v>-5.7700000000000031</v>
      </c>
      <c r="U37" s="448">
        <f>F165</f>
        <v>3.67</v>
      </c>
      <c r="V37" s="449">
        <f t="shared" si="0"/>
        <v>7</v>
      </c>
      <c r="W37" s="231"/>
      <c r="X37" s="231"/>
      <c r="Y37" s="231"/>
      <c r="Z37" s="231"/>
    </row>
    <row r="38" spans="1:26" x14ac:dyDescent="0.2">
      <c r="A38" s="407"/>
      <c r="B38" s="2" t="s">
        <v>19</v>
      </c>
      <c r="C38" s="309">
        <v>15.9</v>
      </c>
      <c r="D38" s="309">
        <v>3.3</v>
      </c>
      <c r="E38" s="309">
        <v>11.8</v>
      </c>
      <c r="F38" s="309">
        <v>8.39</v>
      </c>
      <c r="G38" s="97" t="s">
        <v>236</v>
      </c>
      <c r="H38" s="100" t="s">
        <v>237</v>
      </c>
      <c r="J38" s="344" t="str">
        <f>IF(AND(G38=Polarity!L$4,H38=Polarity!L$4),Polarity!L$4,Polarity!L$6)</f>
        <v>Fail</v>
      </c>
      <c r="K38" s="345" t="str">
        <f>IF(J38=Polarity!L$4,B38,"")</f>
        <v/>
      </c>
      <c r="L38" s="346" t="str">
        <f>IF(AND(B38=K38,F38&gt;5),Polarity!L$5,"")</f>
        <v/>
      </c>
      <c r="M38" s="336" t="str">
        <f>IF(AND(H38=Polarity!L$6,G38=Polarity!L$6),Polarity!L$6,"")</f>
        <v/>
      </c>
      <c r="N38" s="445"/>
      <c r="O38" s="231"/>
      <c r="P38" s="232" t="s">
        <v>102</v>
      </c>
      <c r="Q38" s="231"/>
      <c r="R38" s="231"/>
      <c r="S38" s="232">
        <v>32.200000000000003</v>
      </c>
      <c r="T38" s="447">
        <f>S38-'Surface tension'!$K$9</f>
        <v>-6</v>
      </c>
      <c r="U38" s="448">
        <f>F13</f>
        <v>4.07</v>
      </c>
      <c r="V38" s="449">
        <f t="shared" si="0"/>
        <v>10</v>
      </c>
      <c r="W38" s="231"/>
      <c r="X38" s="231"/>
      <c r="Y38" s="231"/>
      <c r="Z38" s="231"/>
    </row>
    <row r="39" spans="1:26" x14ac:dyDescent="0.2">
      <c r="A39" s="407"/>
      <c r="B39" s="4" t="s">
        <v>179</v>
      </c>
      <c r="C39" s="310">
        <v>16.2</v>
      </c>
      <c r="D39" s="310">
        <v>5.7</v>
      </c>
      <c r="E39" s="310">
        <v>4.0999999999999996</v>
      </c>
      <c r="F39" s="310">
        <v>6.24</v>
      </c>
      <c r="G39" s="181" t="s">
        <v>235</v>
      </c>
      <c r="H39" s="97" t="s">
        <v>236</v>
      </c>
      <c r="J39" s="344" t="str">
        <f>IF(AND(G39=Polarity!L$4,H39=Polarity!L$4),Polarity!L$4,Polarity!L$6)</f>
        <v>Fail</v>
      </c>
      <c r="K39" s="345" t="str">
        <f>IF(J39=Polarity!L$4,B39,"")</f>
        <v/>
      </c>
      <c r="L39" s="346" t="str">
        <f>IF(AND(B39=K39,F39&gt;5),Polarity!L$5,"")</f>
        <v/>
      </c>
      <c r="M39" s="336" t="str">
        <f>IF(AND(H39=Polarity!L$6,G39=Polarity!L$6),Polarity!L$6,"")</f>
        <v/>
      </c>
      <c r="N39" s="445"/>
      <c r="O39" s="231"/>
      <c r="P39" s="231" t="s">
        <v>84</v>
      </c>
      <c r="Q39" s="231"/>
      <c r="R39" s="231"/>
      <c r="S39" s="447">
        <v>32.700000000000003</v>
      </c>
      <c r="T39" s="447">
        <f>S39-'Surface tension'!$K$9</f>
        <v>-5.5</v>
      </c>
      <c r="U39" s="448">
        <f>F55</f>
        <v>5.29</v>
      </c>
      <c r="V39" s="449">
        <f t="shared" si="0"/>
        <v>16</v>
      </c>
      <c r="W39" s="231"/>
      <c r="X39" s="231"/>
      <c r="Y39" s="231"/>
      <c r="Z39" s="231"/>
    </row>
    <row r="40" spans="1:26" x14ac:dyDescent="0.2">
      <c r="B40" s="7" t="s">
        <v>180</v>
      </c>
      <c r="C40" s="309">
        <v>15.3</v>
      </c>
      <c r="D40" s="309">
        <v>6.1</v>
      </c>
      <c r="E40" s="309">
        <v>4.0999999999999996</v>
      </c>
      <c r="F40" s="309">
        <v>7.24</v>
      </c>
      <c r="G40" s="97" t="s">
        <v>236</v>
      </c>
      <c r="H40" s="97" t="s">
        <v>236</v>
      </c>
      <c r="J40" s="344" t="str">
        <f>IF(AND(G40=Polarity!L$4,H40=Polarity!L$4),Polarity!L$4,Polarity!L$6)</f>
        <v>Fail</v>
      </c>
      <c r="K40" s="345" t="str">
        <f>IF(J40=Polarity!L$4,B40,"")</f>
        <v/>
      </c>
      <c r="L40" s="346" t="str">
        <f>IF(AND(B40=K40,F40&gt;5),Polarity!L$5,"")</f>
        <v/>
      </c>
      <c r="M40" s="336" t="str">
        <f>IF(AND(H40=Polarity!L$6,G40=Polarity!L$6),Polarity!L$6,"")</f>
        <v>Fail</v>
      </c>
      <c r="N40" s="445"/>
      <c r="O40" s="231"/>
      <c r="P40" s="231"/>
      <c r="Q40" s="231"/>
      <c r="R40" s="233"/>
      <c r="S40" s="446"/>
      <c r="T40" s="446"/>
      <c r="U40" s="232"/>
      <c r="V40" s="231"/>
      <c r="W40" s="231"/>
      <c r="X40" s="231"/>
      <c r="Y40" s="231"/>
      <c r="Z40" s="231"/>
    </row>
    <row r="41" spans="1:26" x14ac:dyDescent="0.2">
      <c r="A41" s="407"/>
      <c r="B41" s="2" t="s">
        <v>35</v>
      </c>
      <c r="C41" s="309">
        <v>16</v>
      </c>
      <c r="D41" s="309">
        <v>8.1999999999999993</v>
      </c>
      <c r="E41" s="309">
        <v>15</v>
      </c>
      <c r="F41" s="309">
        <v>8.4</v>
      </c>
      <c r="G41" s="97" t="s">
        <v>236</v>
      </c>
      <c r="H41" s="97" t="s">
        <v>236</v>
      </c>
      <c r="J41" s="344" t="str">
        <f>IF(AND(G41=Polarity!L$4,H41=Polarity!L$4),Polarity!L$4,Polarity!L$6)</f>
        <v>Fail</v>
      </c>
      <c r="K41" s="345" t="str">
        <f>IF(J41=Polarity!L$4,B41,"")</f>
        <v/>
      </c>
      <c r="L41" s="346" t="str">
        <f>IF(AND(B41=K41,F41&gt;5),Polarity!L$5,"")</f>
        <v/>
      </c>
      <c r="M41" s="336" t="str">
        <f>IF(AND(H41=Polarity!L$6,G41=Polarity!L$6),Polarity!L$6,"")</f>
        <v>Fail</v>
      </c>
      <c r="N41" s="445"/>
      <c r="O41" s="231"/>
      <c r="P41" s="231"/>
      <c r="Q41" s="231"/>
      <c r="R41" s="446"/>
      <c r="S41" s="446"/>
      <c r="T41" s="446"/>
      <c r="U41" s="446"/>
      <c r="V41" s="231"/>
      <c r="W41" s="231"/>
      <c r="X41" s="231"/>
      <c r="Y41" s="231"/>
      <c r="Z41" s="231"/>
    </row>
    <row r="42" spans="1:26" x14ac:dyDescent="0.2">
      <c r="A42" s="407"/>
      <c r="B42" s="2" t="s">
        <v>20</v>
      </c>
      <c r="C42" s="309">
        <v>15.3</v>
      </c>
      <c r="D42" s="309">
        <v>6.1</v>
      </c>
      <c r="E42" s="309">
        <v>13.3</v>
      </c>
      <c r="F42" s="309">
        <v>8.41</v>
      </c>
      <c r="G42" s="97" t="s">
        <v>236</v>
      </c>
      <c r="H42" s="97" t="s">
        <v>236</v>
      </c>
      <c r="J42" s="344" t="str">
        <f>IF(AND(G42=Polarity!L$4,H42=Polarity!L$4),Polarity!L$4,Polarity!L$6)</f>
        <v>Fail</v>
      </c>
      <c r="K42" s="345" t="str">
        <f>IF(J42=Polarity!L$4,B42,"")</f>
        <v/>
      </c>
      <c r="L42" s="346" t="str">
        <f>IF(AND(B42=K42,F42&gt;5),Polarity!L$5,"")</f>
        <v/>
      </c>
      <c r="M42" s="336" t="str">
        <f>IF(AND(H42=Polarity!L$6,G42=Polarity!L$6),Polarity!L$6,"")</f>
        <v>Fail</v>
      </c>
      <c r="N42" s="445"/>
      <c r="O42" s="231"/>
      <c r="P42" s="231"/>
      <c r="Q42" s="231"/>
      <c r="R42" s="232"/>
      <c r="S42" s="446"/>
      <c r="T42" s="446"/>
      <c r="U42" s="232"/>
      <c r="V42" s="231"/>
      <c r="W42" s="231"/>
      <c r="X42" s="231"/>
      <c r="Y42" s="231"/>
      <c r="Z42" s="231"/>
    </row>
    <row r="43" spans="1:26" ht="14.25" customHeight="1" x14ac:dyDescent="0.2">
      <c r="B43" s="5" t="s">
        <v>131</v>
      </c>
      <c r="C43" s="312">
        <v>16.899999999999999</v>
      </c>
      <c r="D43" s="312">
        <v>5</v>
      </c>
      <c r="E43" s="312">
        <v>4.3</v>
      </c>
      <c r="F43" s="312">
        <v>5.91</v>
      </c>
      <c r="G43" s="181" t="s">
        <v>235</v>
      </c>
      <c r="H43" s="100" t="s">
        <v>237</v>
      </c>
      <c r="J43" s="344" t="str">
        <f>IF(AND(G43=Polarity!L$4,H43=Polarity!L$4),Polarity!L$4,Polarity!L$6)</f>
        <v>Fail</v>
      </c>
      <c r="K43" s="345" t="str">
        <f>IF(J43=Polarity!L$4,B43,"")</f>
        <v/>
      </c>
      <c r="L43" s="346" t="str">
        <f>IF(AND(B43=K43,F43&gt;5),Polarity!L$5,"")</f>
        <v/>
      </c>
      <c r="M43" s="336" t="str">
        <f>IF(AND(H43=Polarity!L$6,G43=Polarity!L$6),Polarity!L$6,"")</f>
        <v/>
      </c>
      <c r="N43" s="445"/>
      <c r="O43" s="517" t="s">
        <v>620</v>
      </c>
      <c r="P43" s="517"/>
      <c r="Q43" s="517"/>
      <c r="R43" s="517"/>
      <c r="S43" s="517"/>
      <c r="T43" s="517"/>
      <c r="U43" s="517"/>
      <c r="V43" s="517"/>
      <c r="W43" s="517"/>
      <c r="X43" s="517"/>
      <c r="Y43" s="517"/>
      <c r="Z43" s="231"/>
    </row>
    <row r="44" spans="1:26" x14ac:dyDescent="0.2">
      <c r="B44" s="3" t="s">
        <v>198</v>
      </c>
      <c r="C44" s="312">
        <v>16.2</v>
      </c>
      <c r="D44" s="312">
        <v>12.1</v>
      </c>
      <c r="E44" s="312">
        <v>4.0999999999999996</v>
      </c>
      <c r="F44" s="312">
        <v>5.81</v>
      </c>
      <c r="G44" s="181" t="s">
        <v>235</v>
      </c>
      <c r="H44" s="97" t="s">
        <v>236</v>
      </c>
      <c r="J44" s="344" t="str">
        <f>IF(AND(G44=Polarity!L$4,H44=Polarity!L$4),Polarity!L$4,Polarity!L$6)</f>
        <v>Fail</v>
      </c>
      <c r="K44" s="345" t="str">
        <f>IF(J44=Polarity!L$4,B44,"")</f>
        <v/>
      </c>
      <c r="L44" s="346" t="str">
        <f>IF(AND(B44=K44,F44&gt;5),Polarity!L$5,"")</f>
        <v/>
      </c>
      <c r="M44" s="336" t="str">
        <f>IF(AND(H44=Polarity!L$6,G44=Polarity!L$6),Polarity!L$6,"")</f>
        <v/>
      </c>
      <c r="N44" s="445"/>
      <c r="O44" s="517"/>
      <c r="P44" s="517"/>
      <c r="Q44" s="517"/>
      <c r="R44" s="517"/>
      <c r="S44" s="517"/>
      <c r="T44" s="517"/>
      <c r="U44" s="517"/>
      <c r="V44" s="517"/>
      <c r="W44" s="517"/>
      <c r="X44" s="517"/>
      <c r="Y44" s="517"/>
      <c r="Z44" s="231"/>
    </row>
    <row r="45" spans="1:26" x14ac:dyDescent="0.2">
      <c r="A45" s="407"/>
      <c r="B45" s="7" t="s">
        <v>21</v>
      </c>
      <c r="C45" s="309">
        <v>16.100000000000001</v>
      </c>
      <c r="D45" s="309">
        <v>4.2</v>
      </c>
      <c r="E45" s="309">
        <v>9.1</v>
      </c>
      <c r="F45" s="309">
        <v>6.51</v>
      </c>
      <c r="G45" s="97" t="s">
        <v>236</v>
      </c>
      <c r="H45" s="97" t="s">
        <v>236</v>
      </c>
      <c r="J45" s="344" t="str">
        <f>IF(AND(G45=Polarity!L$4,H45=Polarity!L$4),Polarity!L$4,Polarity!L$6)</f>
        <v>Fail</v>
      </c>
      <c r="K45" s="345" t="str">
        <f>IF(J45=Polarity!L$4,B45,"")</f>
        <v/>
      </c>
      <c r="L45" s="346" t="str">
        <f>IF(AND(B45=K45,F45&gt;5),Polarity!L$5,"")</f>
        <v/>
      </c>
      <c r="M45" s="336" t="str">
        <f>IF(AND(H45=Polarity!L$6,G45=Polarity!L$6),Polarity!L$6,"")</f>
        <v>Fail</v>
      </c>
      <c r="N45" s="445"/>
      <c r="O45" s="517"/>
      <c r="P45" s="517"/>
      <c r="Q45" s="517"/>
      <c r="R45" s="517"/>
      <c r="S45" s="517"/>
      <c r="T45" s="517"/>
      <c r="U45" s="517"/>
      <c r="V45" s="517"/>
      <c r="W45" s="517"/>
      <c r="X45" s="517"/>
      <c r="Y45" s="517"/>
      <c r="Z45" s="231"/>
    </row>
    <row r="46" spans="1:26" x14ac:dyDescent="0.2">
      <c r="B46" s="6" t="s">
        <v>181</v>
      </c>
      <c r="C46" s="312">
        <v>16</v>
      </c>
      <c r="D46" s="312">
        <v>7.6</v>
      </c>
      <c r="E46" s="312">
        <v>4.7</v>
      </c>
      <c r="F46" s="312">
        <v>5.28</v>
      </c>
      <c r="G46" s="181" t="s">
        <v>235</v>
      </c>
      <c r="H46" s="98" t="s">
        <v>235</v>
      </c>
      <c r="J46" s="344" t="str">
        <f>IF(AND(G46=Polarity!L$4,H46=Polarity!L$4),Polarity!L$4,Polarity!L$6)</f>
        <v>Pass</v>
      </c>
      <c r="K46" s="345" t="str">
        <f>IF(J46=Polarity!L$4,B46,"")</f>
        <v>2-Pentanone</v>
      </c>
      <c r="L46" s="346" t="str">
        <f>IF(AND(B46=K46,F46&gt;5),Polarity!L$5,"")</f>
        <v>Borderline (still considered a pass)</v>
      </c>
      <c r="M46" s="336" t="str">
        <f>IF(AND(H46=Polarity!L$6,G46=Polarity!L$6),Polarity!L$6,"")</f>
        <v/>
      </c>
      <c r="N46" s="445"/>
      <c r="O46" s="517"/>
      <c r="P46" s="517"/>
      <c r="Q46" s="517"/>
      <c r="R46" s="517"/>
      <c r="S46" s="517"/>
      <c r="T46" s="517"/>
      <c r="U46" s="517"/>
      <c r="V46" s="517"/>
      <c r="W46" s="517"/>
      <c r="X46" s="517"/>
      <c r="Y46" s="517"/>
      <c r="Z46" s="231"/>
    </row>
    <row r="47" spans="1:26" x14ac:dyDescent="0.2">
      <c r="A47" s="407"/>
      <c r="B47" s="3" t="s">
        <v>22</v>
      </c>
      <c r="C47" s="309">
        <v>15.8</v>
      </c>
      <c r="D47" s="309">
        <v>6.1</v>
      </c>
      <c r="E47" s="309">
        <v>16.399999999999999</v>
      </c>
      <c r="F47" s="309">
        <v>10.26</v>
      </c>
      <c r="G47" s="97" t="s">
        <v>236</v>
      </c>
      <c r="H47" s="97" t="s">
        <v>236</v>
      </c>
      <c r="J47" s="344" t="str">
        <f>IF(AND(G47=Polarity!L$4,H47=Polarity!L$4),Polarity!L$4,Polarity!L$6)</f>
        <v>Fail</v>
      </c>
      <c r="K47" s="345" t="str">
        <f>IF(J47=Polarity!L$4,B47,"")</f>
        <v/>
      </c>
      <c r="L47" s="346" t="str">
        <f>IF(AND(B47=K47,F47&gt;5),Polarity!L$5,"")</f>
        <v/>
      </c>
      <c r="M47" s="336" t="str">
        <f>IF(AND(H47=Polarity!L$6,G47=Polarity!L$6),Polarity!L$6,"")</f>
        <v>Fail</v>
      </c>
      <c r="N47" s="445"/>
      <c r="O47" s="517"/>
      <c r="P47" s="517"/>
      <c r="Q47" s="517"/>
      <c r="R47" s="517"/>
      <c r="S47" s="517"/>
      <c r="T47" s="517"/>
      <c r="U47" s="517"/>
      <c r="V47" s="517"/>
      <c r="W47" s="517"/>
      <c r="X47" s="517"/>
      <c r="Y47" s="517"/>
      <c r="Z47" s="231"/>
    </row>
    <row r="48" spans="1:26" x14ac:dyDescent="0.2">
      <c r="A48" s="407"/>
      <c r="B48" s="2" t="s">
        <v>66</v>
      </c>
      <c r="C48" s="311">
        <v>18.2</v>
      </c>
      <c r="D48" s="311">
        <v>12</v>
      </c>
      <c r="E48" s="311">
        <v>9</v>
      </c>
      <c r="F48" s="311">
        <v>3.02</v>
      </c>
      <c r="G48" s="98" t="s">
        <v>235</v>
      </c>
      <c r="H48" s="100" t="s">
        <v>237</v>
      </c>
      <c r="J48" s="344" t="str">
        <f>IF(AND(G48=Polarity!L$4,H48=Polarity!L$4),Polarity!L$4,Polarity!L$6)</f>
        <v>Fail</v>
      </c>
      <c r="K48" s="345" t="str">
        <f>IF(J48=Polarity!L$4,B48,"")</f>
        <v/>
      </c>
      <c r="L48" s="346" t="str">
        <f>IF(AND(B48=K48,F48&gt;5),Polarity!L$5,"")</f>
        <v/>
      </c>
      <c r="M48" s="336" t="str">
        <f>IF(AND(H48=Polarity!L$6,G48=Polarity!L$6),Polarity!L$6,"")</f>
        <v/>
      </c>
      <c r="N48" s="445"/>
      <c r="O48" s="231"/>
      <c r="P48" s="231"/>
      <c r="Q48" s="231"/>
      <c r="R48" s="446"/>
      <c r="S48" s="446"/>
      <c r="T48" s="446"/>
      <c r="U48" s="446"/>
      <c r="V48" s="231"/>
      <c r="W48" s="231"/>
      <c r="X48" s="231"/>
      <c r="Y48" s="231"/>
      <c r="Z48" s="231"/>
    </row>
    <row r="49" spans="1:21" x14ac:dyDescent="0.2">
      <c r="A49" s="407"/>
      <c r="B49" s="2" t="s">
        <v>182</v>
      </c>
      <c r="C49" s="309">
        <v>15.1</v>
      </c>
      <c r="D49" s="309">
        <v>5.5</v>
      </c>
      <c r="E49" s="309">
        <v>3.3</v>
      </c>
      <c r="F49" s="309">
        <v>8.2100000000000009</v>
      </c>
      <c r="G49" s="97" t="s">
        <v>236</v>
      </c>
      <c r="H49" s="97" t="s">
        <v>236</v>
      </c>
      <c r="J49" s="344" t="str">
        <f>IF(AND(G49=Polarity!L$4,H49=Polarity!L$4),Polarity!L$4,Polarity!L$6)</f>
        <v>Fail</v>
      </c>
      <c r="K49" s="345" t="str">
        <f>IF(J49=Polarity!L$4,B49,"")</f>
        <v/>
      </c>
      <c r="L49" s="346" t="str">
        <f>IF(AND(B49=K49,F49&gt;5),Polarity!L$5,"")</f>
        <v/>
      </c>
      <c r="M49" s="336" t="str">
        <f>IF(AND(H49=Polarity!L$6,G49=Polarity!L$6),Polarity!L$6,"")</f>
        <v>Fail</v>
      </c>
      <c r="R49" s="27"/>
      <c r="S49" s="46"/>
      <c r="T49" s="46"/>
      <c r="U49" s="27"/>
    </row>
    <row r="50" spans="1:21" x14ac:dyDescent="0.2">
      <c r="B50" s="2" t="s">
        <v>183</v>
      </c>
      <c r="C50" s="333">
        <v>15.6</v>
      </c>
      <c r="D50" s="333">
        <v>6.7</v>
      </c>
      <c r="E50" s="333">
        <v>4</v>
      </c>
      <c r="F50" s="333">
        <v>6.59</v>
      </c>
      <c r="G50" s="181" t="s">
        <v>235</v>
      </c>
      <c r="H50" s="97" t="s">
        <v>236</v>
      </c>
      <c r="J50" s="344" t="str">
        <f>IF(AND(G50=Polarity!L$4,H50=Polarity!L$4),Polarity!L$4,Polarity!L$6)</f>
        <v>Fail</v>
      </c>
      <c r="K50" s="345" t="str">
        <f>IF(J50=Polarity!L$4,B50,"")</f>
        <v/>
      </c>
      <c r="L50" s="346" t="str">
        <f>IF(AND(B50=K50,F50&gt;5),Polarity!L$5,"")</f>
        <v/>
      </c>
      <c r="M50" s="336" t="str">
        <f>IF(AND(H50=Polarity!L$6,G50=Polarity!L$6),Polarity!L$6,"")</f>
        <v/>
      </c>
      <c r="R50" s="46"/>
      <c r="S50" s="46"/>
      <c r="T50" s="46"/>
      <c r="U50" s="46"/>
    </row>
    <row r="51" spans="1:21" x14ac:dyDescent="0.2">
      <c r="B51" s="3" t="s">
        <v>184</v>
      </c>
      <c r="C51" s="312">
        <v>15.8</v>
      </c>
      <c r="D51" s="312">
        <v>7.6</v>
      </c>
      <c r="E51" s="312">
        <v>4.7</v>
      </c>
      <c r="F51" s="312">
        <v>5.59</v>
      </c>
      <c r="G51" s="181" t="s">
        <v>235</v>
      </c>
      <c r="H51" s="97" t="s">
        <v>236</v>
      </c>
      <c r="J51" s="344" t="str">
        <f>IF(AND(G51=Polarity!L$4,H51=Polarity!L$4),Polarity!L$4,Polarity!L$6)</f>
        <v>Fail</v>
      </c>
      <c r="K51" s="345" t="str">
        <f>IF(J51=Polarity!L$4,B51,"")</f>
        <v/>
      </c>
      <c r="L51" s="346" t="str">
        <f>IF(AND(B51=K51,F51&gt;5),Polarity!L$5,"")</f>
        <v/>
      </c>
      <c r="M51" s="336" t="str">
        <f>IF(AND(H51=Polarity!L$6,G51=Polarity!L$6),Polarity!L$6,"")</f>
        <v/>
      </c>
      <c r="R51" s="27"/>
      <c r="S51" s="46"/>
      <c r="T51" s="46"/>
      <c r="U51" s="27"/>
    </row>
    <row r="52" spans="1:21" x14ac:dyDescent="0.2">
      <c r="B52" s="6" t="s">
        <v>185</v>
      </c>
      <c r="C52" s="309">
        <v>15.3</v>
      </c>
      <c r="D52" s="309">
        <v>6.1</v>
      </c>
      <c r="E52" s="309">
        <v>4.0999999999999996</v>
      </c>
      <c r="F52" s="309">
        <v>7.24</v>
      </c>
      <c r="G52" s="97" t="s">
        <v>236</v>
      </c>
      <c r="H52" s="97" t="s">
        <v>236</v>
      </c>
      <c r="J52" s="344" t="str">
        <f>IF(AND(G52=Polarity!L$4,H52=Polarity!L$4),Polarity!L$4,Polarity!L$6)</f>
        <v>Fail</v>
      </c>
      <c r="K52" s="345" t="str">
        <f>IF(J52=Polarity!L$4,B52,"")</f>
        <v/>
      </c>
      <c r="L52" s="346" t="str">
        <f>IF(AND(B52=K52,F52&gt;5),Polarity!L$5,"")</f>
        <v/>
      </c>
      <c r="M52" s="336" t="str">
        <f>IF(AND(H52=Polarity!L$6,G52=Polarity!L$6),Polarity!L$6,"")</f>
        <v>Fail</v>
      </c>
      <c r="R52" s="46"/>
      <c r="S52" s="46"/>
      <c r="T52" s="46"/>
      <c r="U52" s="46"/>
    </row>
    <row r="53" spans="1:21" x14ac:dyDescent="0.2">
      <c r="A53" s="408"/>
      <c r="B53" s="5" t="s">
        <v>63</v>
      </c>
      <c r="C53" s="309">
        <v>14.7</v>
      </c>
      <c r="D53" s="309">
        <v>12.5</v>
      </c>
      <c r="E53" s="309">
        <v>7.9</v>
      </c>
      <c r="F53" s="309">
        <v>7.34</v>
      </c>
      <c r="G53" s="97" t="s">
        <v>236</v>
      </c>
      <c r="H53" s="97" t="s">
        <v>236</v>
      </c>
      <c r="J53" s="344" t="str">
        <f>IF(AND(G53=Polarity!L$4,H53=Polarity!L$4),Polarity!L$4,Polarity!L$6)</f>
        <v>Fail</v>
      </c>
      <c r="K53" s="345" t="str">
        <f>IF(J53=Polarity!L$4,B53,"")</f>
        <v/>
      </c>
      <c r="L53" s="346" t="str">
        <f>IF(AND(B53=K53,F53&gt;5),Polarity!L$5,"")</f>
        <v/>
      </c>
      <c r="M53" s="336" t="str">
        <f>IF(AND(H53=Polarity!L$6,G53=Polarity!L$6),Polarity!L$6,"")</f>
        <v>Fail</v>
      </c>
      <c r="R53" s="46"/>
      <c r="S53" s="46"/>
      <c r="T53" s="46"/>
      <c r="U53" s="46"/>
    </row>
    <row r="54" spans="1:21" x14ac:dyDescent="0.2">
      <c r="A54" s="407"/>
      <c r="B54" s="2" t="s">
        <v>1</v>
      </c>
      <c r="C54" s="309">
        <v>14.5</v>
      </c>
      <c r="D54" s="309">
        <v>8</v>
      </c>
      <c r="E54" s="309">
        <v>13.5</v>
      </c>
      <c r="F54" s="309">
        <v>9.18</v>
      </c>
      <c r="G54" s="97" t="s">
        <v>236</v>
      </c>
      <c r="H54" s="97" t="s">
        <v>236</v>
      </c>
      <c r="J54" s="344" t="str">
        <f>IF(AND(G54=Polarity!L$4,H54=Polarity!L$4),Polarity!L$4,Polarity!L$6)</f>
        <v>Fail</v>
      </c>
      <c r="K54" s="345" t="str">
        <f>IF(J54=Polarity!L$4,B54,"")</f>
        <v/>
      </c>
      <c r="L54" s="346" t="str">
        <f>IF(AND(B54=K54,F54&gt;5),Polarity!L$5,"")</f>
        <v/>
      </c>
      <c r="M54" s="336" t="str">
        <f>IF(AND(H54=Polarity!L$6,G54=Polarity!L$6),Polarity!L$6,"")</f>
        <v>Fail</v>
      </c>
      <c r="R54" s="31"/>
      <c r="S54" s="46"/>
      <c r="T54" s="46"/>
      <c r="U54" s="27"/>
    </row>
    <row r="55" spans="1:21" x14ac:dyDescent="0.2">
      <c r="B55" s="3" t="s">
        <v>84</v>
      </c>
      <c r="C55" s="312">
        <v>16</v>
      </c>
      <c r="D55" s="312">
        <v>11.7</v>
      </c>
      <c r="E55" s="312">
        <v>10.199999999999999</v>
      </c>
      <c r="F55" s="312">
        <v>5.29</v>
      </c>
      <c r="G55" s="181" t="s">
        <v>235</v>
      </c>
      <c r="H55" s="98" t="s">
        <v>235</v>
      </c>
      <c r="J55" s="344" t="str">
        <f>IF(AND(G55=Polarity!L$4,H55=Polarity!L$4),Polarity!L$4,Polarity!L$6)</f>
        <v>Pass</v>
      </c>
      <c r="K55" s="345" t="str">
        <f>IF(J55=Polarity!L$4,B55,"")</f>
        <v>Acetic anhydride</v>
      </c>
      <c r="L55" s="346" t="str">
        <f>IF(AND(B55=K55,F55&gt;5),Polarity!L$5,"")</f>
        <v>Borderline (still considered a pass)</v>
      </c>
      <c r="M55" s="336" t="str">
        <f>IF(AND(H55=Polarity!L$6,G55=Polarity!L$6),Polarity!L$6,"")</f>
        <v/>
      </c>
      <c r="R55" s="46"/>
      <c r="S55" s="46"/>
      <c r="T55" s="46"/>
      <c r="U55" s="46"/>
    </row>
    <row r="56" spans="1:21" x14ac:dyDescent="0.2">
      <c r="B56" s="5" t="s">
        <v>186</v>
      </c>
      <c r="C56" s="312">
        <v>15.5</v>
      </c>
      <c r="D56" s="312">
        <v>10.4</v>
      </c>
      <c r="E56" s="312">
        <v>7</v>
      </c>
      <c r="F56" s="312">
        <v>5.17</v>
      </c>
      <c r="G56" s="181" t="s">
        <v>235</v>
      </c>
      <c r="H56" s="97" t="s">
        <v>236</v>
      </c>
      <c r="J56" s="344" t="str">
        <f>IF(AND(G56=Polarity!L$4,H56=Polarity!L$4),Polarity!L$4,Polarity!L$6)</f>
        <v>Fail</v>
      </c>
      <c r="K56" s="345" t="str">
        <f>IF(J56=Polarity!L$4,B56,"")</f>
        <v/>
      </c>
      <c r="L56" s="346" t="str">
        <f>IF(AND(B56=K56,F56&gt;5),Polarity!L$5,"")</f>
        <v/>
      </c>
      <c r="M56" s="336" t="str">
        <f>IF(AND(H56=Polarity!L$6,G56=Polarity!L$6),Polarity!L$6,"")</f>
        <v/>
      </c>
      <c r="R56" s="27"/>
      <c r="S56" s="46"/>
      <c r="T56" s="46"/>
      <c r="U56" s="27"/>
    </row>
    <row r="57" spans="1:21" x14ac:dyDescent="0.2">
      <c r="A57" s="408"/>
      <c r="B57" s="3" t="s">
        <v>194</v>
      </c>
      <c r="C57" s="309">
        <v>15.3</v>
      </c>
      <c r="D57" s="309">
        <v>18</v>
      </c>
      <c r="E57" s="309">
        <v>6.1</v>
      </c>
      <c r="F57" s="309">
        <v>10.36</v>
      </c>
      <c r="G57" s="97" t="s">
        <v>236</v>
      </c>
      <c r="H57" s="97" t="s">
        <v>236</v>
      </c>
      <c r="J57" s="344" t="str">
        <f>IF(AND(G57=Polarity!L$4,H57=Polarity!L$4),Polarity!L$4,Polarity!L$6)</f>
        <v>Fail</v>
      </c>
      <c r="K57" s="345" t="str">
        <f>IF(J57=Polarity!L$4,B57,"")</f>
        <v/>
      </c>
      <c r="L57" s="346" t="str">
        <f>IF(AND(B57=K57,F57&gt;5),Polarity!L$5,"")</f>
        <v/>
      </c>
      <c r="M57" s="336" t="str">
        <f>IF(AND(H57=Polarity!L$6,G57=Polarity!L$6),Polarity!L$6,"")</f>
        <v>Fail</v>
      </c>
      <c r="R57" s="46"/>
      <c r="S57" s="46"/>
      <c r="T57" s="46"/>
      <c r="U57" s="46"/>
    </row>
    <row r="58" spans="1:21" x14ac:dyDescent="0.2">
      <c r="A58" s="407"/>
      <c r="B58" s="2" t="s">
        <v>187</v>
      </c>
      <c r="C58" s="311">
        <v>18.8</v>
      </c>
      <c r="D58" s="311">
        <v>9</v>
      </c>
      <c r="E58" s="311">
        <v>4</v>
      </c>
      <c r="F58" s="311">
        <v>4.04</v>
      </c>
      <c r="G58" s="98" t="s">
        <v>235</v>
      </c>
      <c r="H58" s="98" t="s">
        <v>235</v>
      </c>
      <c r="J58" s="344" t="str">
        <f>IF(AND(G58=Polarity!L$4,H58=Polarity!L$4),Polarity!L$4,Polarity!L$6)</f>
        <v>Pass</v>
      </c>
      <c r="K58" s="345" t="str">
        <f>IF(J58=Polarity!L$4,B58,"")</f>
        <v>Acetophenone</v>
      </c>
      <c r="L58" s="421" t="s">
        <v>558</v>
      </c>
      <c r="M58" s="336" t="str">
        <f>IF(AND(H58=Polarity!L$6,G58=Polarity!L$6),Polarity!L$6,"")</f>
        <v/>
      </c>
      <c r="R58" s="27"/>
      <c r="S58" s="46"/>
      <c r="T58" s="46"/>
      <c r="U58" s="27"/>
    </row>
    <row r="59" spans="1:21" x14ac:dyDescent="0.2">
      <c r="A59" s="408"/>
      <c r="B59" s="2" t="s">
        <v>188</v>
      </c>
      <c r="C59" s="311">
        <v>16.100000000000001</v>
      </c>
      <c r="D59" s="311">
        <v>10</v>
      </c>
      <c r="E59" s="311">
        <v>6.2</v>
      </c>
      <c r="F59" s="311">
        <v>4.1399999999999997</v>
      </c>
      <c r="G59" s="98" t="s">
        <v>235</v>
      </c>
      <c r="H59" s="97" t="s">
        <v>236</v>
      </c>
      <c r="J59" s="344" t="str">
        <f>IF(AND(G59=Polarity!L$4,H59=Polarity!L$4),Polarity!L$4,Polarity!L$6)</f>
        <v>Fail</v>
      </c>
      <c r="K59" s="345" t="str">
        <f>IF(J59=Polarity!L$4,B59,"")</f>
        <v/>
      </c>
      <c r="L59" s="346" t="str">
        <f>IF(AND(B59=K59,F59&gt;5),Polarity!L$5,"")</f>
        <v/>
      </c>
      <c r="M59" s="336" t="str">
        <f>IF(AND(H59=Polarity!L$6,G59=Polarity!L$6),Polarity!L$6,"")</f>
        <v/>
      </c>
      <c r="R59" s="31"/>
      <c r="S59" s="46"/>
      <c r="T59" s="46"/>
      <c r="U59" s="27"/>
    </row>
    <row r="60" spans="1:21" x14ac:dyDescent="0.2">
      <c r="A60" s="407"/>
      <c r="B60" s="2" t="s">
        <v>127</v>
      </c>
      <c r="C60" s="309">
        <v>16.7</v>
      </c>
      <c r="D60" s="309">
        <v>2.5</v>
      </c>
      <c r="E60" s="309">
        <v>7.4</v>
      </c>
      <c r="F60" s="309">
        <v>7.29</v>
      </c>
      <c r="G60" s="97" t="s">
        <v>236</v>
      </c>
      <c r="H60" s="100" t="s">
        <v>237</v>
      </c>
      <c r="J60" s="344" t="str">
        <f>IF(AND(G60=Polarity!L$4,H60=Polarity!L$4),Polarity!L$4,Polarity!L$6)</f>
        <v>Fail</v>
      </c>
      <c r="K60" s="345" t="str">
        <f>IF(J60=Polarity!L$4,B60,"")</f>
        <v/>
      </c>
      <c r="L60" s="346" t="str">
        <f>IF(AND(B60=K60,F60&gt;5),Polarity!L$5,"")</f>
        <v/>
      </c>
      <c r="M60" s="336" t="str">
        <f>IF(AND(H60=Polarity!L$6,G60=Polarity!L$6),Polarity!L$6,"")</f>
        <v/>
      </c>
      <c r="R60" s="27"/>
      <c r="S60" s="46"/>
      <c r="T60" s="46"/>
      <c r="U60" s="27"/>
    </row>
    <row r="61" spans="1:21" x14ac:dyDescent="0.2">
      <c r="A61" s="407"/>
      <c r="B61" s="5" t="s">
        <v>111</v>
      </c>
      <c r="C61" s="309">
        <v>15.8</v>
      </c>
      <c r="D61" s="309">
        <v>3.3</v>
      </c>
      <c r="E61" s="309">
        <v>6.1</v>
      </c>
      <c r="F61" s="309">
        <v>7.61</v>
      </c>
      <c r="G61" s="97" t="s">
        <v>236</v>
      </c>
      <c r="H61" s="97" t="s">
        <v>236</v>
      </c>
      <c r="J61" s="344" t="str">
        <f>IF(AND(G61=Polarity!L$4,H61=Polarity!L$4),Polarity!L$4,Polarity!L$6)</f>
        <v>Fail</v>
      </c>
      <c r="K61" s="345" t="str">
        <f>IF(J61=Polarity!L$4,B61,"")</f>
        <v/>
      </c>
      <c r="L61" s="346" t="str">
        <f>IF(AND(B61=K61,F61&gt;5),Polarity!L$5,"")</f>
        <v/>
      </c>
      <c r="M61" s="336" t="str">
        <f>IF(AND(H61=Polarity!L$6,G61=Polarity!L$6),Polarity!L$6,"")</f>
        <v>Fail</v>
      </c>
      <c r="R61" s="46"/>
      <c r="S61" s="46"/>
      <c r="T61" s="46"/>
      <c r="U61" s="46"/>
    </row>
    <row r="62" spans="1:21" x14ac:dyDescent="0.2">
      <c r="A62" s="407"/>
      <c r="B62" s="6" t="s">
        <v>73</v>
      </c>
      <c r="C62" s="310">
        <v>20.100000000000001</v>
      </c>
      <c r="D62" s="310">
        <v>5.8</v>
      </c>
      <c r="E62" s="310">
        <v>11.2</v>
      </c>
      <c r="F62" s="310">
        <v>6.49</v>
      </c>
      <c r="G62" s="181" t="s">
        <v>235</v>
      </c>
      <c r="H62" s="98" t="s">
        <v>235</v>
      </c>
      <c r="J62" s="344" t="str">
        <f>IF(AND(G62=Polarity!L$4,H62=Polarity!L$4),Polarity!L$4,Polarity!L$6)</f>
        <v>Pass</v>
      </c>
      <c r="K62" s="345" t="str">
        <f>IF(J62=Polarity!L$4,B62,"")</f>
        <v>Aniline</v>
      </c>
      <c r="L62" s="346" t="str">
        <f>IF(AND(B62=K62,F62&gt;5),Polarity!L$5,"")</f>
        <v>Borderline (still considered a pass)</v>
      </c>
      <c r="M62" s="336" t="str">
        <f>IF(AND(H62=Polarity!L$6,G62=Polarity!L$6),Polarity!L$6,"")</f>
        <v/>
      </c>
      <c r="R62" s="27"/>
      <c r="S62" s="46"/>
      <c r="T62" s="46"/>
      <c r="U62" s="27"/>
    </row>
    <row r="63" spans="1:21" x14ac:dyDescent="0.2">
      <c r="B63" s="5" t="s">
        <v>132</v>
      </c>
      <c r="C63" s="311">
        <v>17.8</v>
      </c>
      <c r="D63" s="311">
        <v>4.4000000000000004</v>
      </c>
      <c r="E63" s="311">
        <v>6.9</v>
      </c>
      <c r="F63" s="311">
        <v>4.9800000000000004</v>
      </c>
      <c r="G63" s="98" t="s">
        <v>235</v>
      </c>
      <c r="H63" s="98" t="s">
        <v>235</v>
      </c>
      <c r="J63" s="344" t="str">
        <f>IF(AND(G63=Polarity!L$4,H63=Polarity!L$4),Polarity!L$4,Polarity!L$6)</f>
        <v>Pass</v>
      </c>
      <c r="K63" s="345" t="str">
        <f>IF(J63=Polarity!L$4,B63,"")</f>
        <v>Anisole</v>
      </c>
      <c r="L63" s="421" t="s">
        <v>558</v>
      </c>
      <c r="M63" s="336" t="str">
        <f>IF(AND(H63=Polarity!L$6,G63=Polarity!L$6),Polarity!L$6,"")</f>
        <v/>
      </c>
      <c r="R63" s="46"/>
      <c r="S63" s="46"/>
      <c r="T63" s="46"/>
      <c r="U63" s="46"/>
    </row>
    <row r="64" spans="1:21" x14ac:dyDescent="0.2">
      <c r="A64" s="407"/>
      <c r="B64" s="6" t="s">
        <v>64</v>
      </c>
      <c r="C64" s="311">
        <v>19.399999999999999</v>
      </c>
      <c r="D64" s="311">
        <v>7.4</v>
      </c>
      <c r="E64" s="311">
        <v>5.3</v>
      </c>
      <c r="F64" s="311">
        <v>4.1500000000000004</v>
      </c>
      <c r="G64" s="98" t="s">
        <v>235</v>
      </c>
      <c r="H64" s="98" t="s">
        <v>235</v>
      </c>
      <c r="J64" s="344" t="str">
        <f>IF(AND(G64=Polarity!L$4,H64=Polarity!L$4),Polarity!L$4,Polarity!L$6)</f>
        <v>Pass</v>
      </c>
      <c r="K64" s="345" t="str">
        <f>IF(J64=Polarity!L$4,B64,"")</f>
        <v>Benzaldehyde</v>
      </c>
      <c r="L64" s="421" t="s">
        <v>558</v>
      </c>
      <c r="M64" s="336" t="str">
        <f>IF(AND(H64=Polarity!L$6,G64=Polarity!L$6),Polarity!L$6,"")</f>
        <v/>
      </c>
      <c r="R64" s="46"/>
      <c r="S64" s="46"/>
      <c r="T64" s="46"/>
      <c r="U64" s="46"/>
    </row>
    <row r="65" spans="1:21" x14ac:dyDescent="0.2">
      <c r="B65" s="5" t="s">
        <v>155</v>
      </c>
      <c r="C65" s="309">
        <v>18.399999999999999</v>
      </c>
      <c r="D65" s="309">
        <v>0</v>
      </c>
      <c r="E65" s="309">
        <v>2</v>
      </c>
      <c r="F65" s="309">
        <v>10.94</v>
      </c>
      <c r="G65" s="97" t="s">
        <v>236</v>
      </c>
      <c r="H65" s="97" t="s">
        <v>236</v>
      </c>
      <c r="J65" s="344" t="str">
        <f>IF(AND(G65=Polarity!L$4,H65=Polarity!L$4),Polarity!L$4,Polarity!L$6)</f>
        <v>Fail</v>
      </c>
      <c r="K65" s="345" t="str">
        <f>IF(J65=Polarity!L$4,B65,"")</f>
        <v/>
      </c>
      <c r="L65" s="346" t="str">
        <f>IF(AND(B65=K65,F65&gt;5),Polarity!L$5,"")</f>
        <v/>
      </c>
      <c r="M65" s="336" t="str">
        <f>IF(AND(H65=Polarity!L$6,G65=Polarity!L$6),Polarity!L$6,"")</f>
        <v>Fail</v>
      </c>
      <c r="R65" s="46"/>
      <c r="S65" s="46"/>
      <c r="T65" s="46"/>
      <c r="U65" s="46"/>
    </row>
    <row r="66" spans="1:21" x14ac:dyDescent="0.2">
      <c r="A66" s="407"/>
      <c r="B66" s="6" t="s">
        <v>195</v>
      </c>
      <c r="C66" s="312">
        <v>18.8</v>
      </c>
      <c r="D66" s="312">
        <v>12</v>
      </c>
      <c r="E66" s="312">
        <v>3.3</v>
      </c>
      <c r="F66" s="312">
        <v>5.4</v>
      </c>
      <c r="G66" s="181" t="s">
        <v>235</v>
      </c>
      <c r="H66" s="98" t="s">
        <v>235</v>
      </c>
      <c r="J66" s="344" t="str">
        <f>IF(AND(G66=Polarity!L$4,H66=Polarity!L$4),Polarity!L$4,Polarity!L$6)</f>
        <v>Pass</v>
      </c>
      <c r="K66" s="345" t="str">
        <f>IF(J66=Polarity!L$4,B66,"")</f>
        <v>Benzonitrile</v>
      </c>
      <c r="L66" s="346" t="str">
        <f>IF(AND(B66=K66,F66&gt;5),Polarity!L$5,"")</f>
        <v>Borderline (still considered a pass)</v>
      </c>
      <c r="M66" s="336" t="str">
        <f>IF(AND(H66=Polarity!L$6,G66=Polarity!L$6),Polarity!L$6,"")</f>
        <v/>
      </c>
      <c r="R66" s="46"/>
      <c r="S66" s="46"/>
      <c r="T66" s="46"/>
      <c r="U66" s="46"/>
    </row>
    <row r="67" spans="1:21" x14ac:dyDescent="0.2">
      <c r="A67" s="407"/>
      <c r="B67" s="6" t="s">
        <v>23</v>
      </c>
      <c r="C67" s="309">
        <v>18.399999999999999</v>
      </c>
      <c r="D67" s="309">
        <v>6.3</v>
      </c>
      <c r="E67" s="309">
        <v>13.7</v>
      </c>
      <c r="F67" s="309">
        <v>6.76</v>
      </c>
      <c r="G67" s="97" t="s">
        <v>236</v>
      </c>
      <c r="H67" s="98" t="s">
        <v>235</v>
      </c>
      <c r="J67" s="344" t="str">
        <f>IF(AND(G67=Polarity!L$4,H67=Polarity!L$4),Polarity!L$4,Polarity!L$6)</f>
        <v>Fail</v>
      </c>
      <c r="K67" s="345" t="str">
        <f>IF(J67=Polarity!L$4,B67,"")</f>
        <v/>
      </c>
      <c r="L67" s="346" t="str">
        <f>IF(AND(B67=K67,F67&gt;5),Polarity!L$5,"")</f>
        <v/>
      </c>
      <c r="M67" s="336" t="str">
        <f>IF(AND(H67=Polarity!L$6,G67=Polarity!L$6),Polarity!L$6,"")</f>
        <v/>
      </c>
      <c r="R67" s="46"/>
      <c r="S67" s="46"/>
      <c r="T67" s="46"/>
      <c r="U67" s="46"/>
    </row>
    <row r="68" spans="1:21" x14ac:dyDescent="0.2">
      <c r="A68" s="407"/>
      <c r="B68" s="2" t="s">
        <v>112</v>
      </c>
      <c r="C68" s="310">
        <v>20</v>
      </c>
      <c r="D68" s="310">
        <v>5.0999999999999996</v>
      </c>
      <c r="E68" s="310">
        <v>5.2</v>
      </c>
      <c r="F68" s="310">
        <v>6.32</v>
      </c>
      <c r="G68" s="181" t="s">
        <v>235</v>
      </c>
      <c r="H68" s="97" t="s">
        <v>236</v>
      </c>
      <c r="J68" s="344" t="str">
        <f>IF(AND(G68=Polarity!L$4,H68=Polarity!L$4),Polarity!L$4,Polarity!L$6)</f>
        <v>Fail</v>
      </c>
      <c r="K68" s="345" t="str">
        <f>IF(J68=Polarity!L$4,B68,"")</f>
        <v/>
      </c>
      <c r="L68" s="346" t="str">
        <f>IF(AND(B68=K68,F68&gt;5),Polarity!L$5,"")</f>
        <v/>
      </c>
      <c r="M68" s="336" t="str">
        <f>IF(AND(H68=Polarity!L$6,G68=Polarity!L$6),Polarity!L$6,"")</f>
        <v/>
      </c>
      <c r="R68" s="46"/>
      <c r="S68" s="46"/>
      <c r="T68" s="46"/>
      <c r="U68" s="46"/>
    </row>
    <row r="69" spans="1:21" x14ac:dyDescent="0.2">
      <c r="B69" s="6" t="s">
        <v>87</v>
      </c>
      <c r="C69" s="312">
        <v>19.2</v>
      </c>
      <c r="D69" s="312">
        <v>5.5</v>
      </c>
      <c r="E69" s="312">
        <v>4.0999999999999996</v>
      </c>
      <c r="F69" s="312">
        <v>5.76</v>
      </c>
      <c r="G69" s="181" t="s">
        <v>235</v>
      </c>
      <c r="H69" s="98" t="s">
        <v>235</v>
      </c>
      <c r="J69" s="344" t="str">
        <f>IF(AND(G69=Polarity!L$4,H69=Polarity!L$4),Polarity!L$4,Polarity!L$6)</f>
        <v>Pass</v>
      </c>
      <c r="K69" s="345" t="str">
        <f>IF(J69=Polarity!L$4,B69,"")</f>
        <v>Bromobenzene</v>
      </c>
      <c r="L69" s="346" t="str">
        <f>IF(AND(B69=K69,F69&gt;5),Polarity!L$5,"")</f>
        <v>Borderline (still considered a pass)</v>
      </c>
      <c r="M69" s="336" t="str">
        <f>IF(AND(H69=Polarity!L$6,G69=Polarity!L$6),Polarity!L$6,"")</f>
        <v/>
      </c>
      <c r="R69" s="46"/>
      <c r="S69" s="46"/>
      <c r="T69" s="46"/>
      <c r="U69" s="46"/>
    </row>
    <row r="70" spans="1:21" x14ac:dyDescent="0.2">
      <c r="B70" s="6" t="s">
        <v>88</v>
      </c>
      <c r="C70" s="310">
        <v>16.5</v>
      </c>
      <c r="D70" s="310">
        <v>8.4</v>
      </c>
      <c r="E70" s="310">
        <v>2.2999999999999998</v>
      </c>
      <c r="F70" s="310">
        <v>6.24</v>
      </c>
      <c r="G70" s="181" t="s">
        <v>235</v>
      </c>
      <c r="H70" s="97" t="s">
        <v>236</v>
      </c>
      <c r="J70" s="344" t="str">
        <f>IF(AND(G70=Polarity!L$4,H70=Polarity!L$4),Polarity!L$4,Polarity!L$6)</f>
        <v>Fail</v>
      </c>
      <c r="K70" s="345" t="str">
        <f>IF(J70=Polarity!L$4,B70,"")</f>
        <v/>
      </c>
      <c r="L70" s="346" t="str">
        <f>IF(AND(B70=K70,F70&gt;5),Polarity!L$5,"")</f>
        <v/>
      </c>
      <c r="M70" s="336" t="str">
        <f>IF(AND(H70=Polarity!L$6,G70=Polarity!L$6),Polarity!L$6,"")</f>
        <v/>
      </c>
      <c r="R70" s="46"/>
      <c r="S70" s="46"/>
      <c r="T70" s="46"/>
      <c r="U70" s="46"/>
    </row>
    <row r="71" spans="1:21" x14ac:dyDescent="0.2">
      <c r="B71" s="3" t="s">
        <v>113</v>
      </c>
      <c r="C71" s="332">
        <v>15.8</v>
      </c>
      <c r="D71" s="332">
        <v>3.7</v>
      </c>
      <c r="E71" s="332">
        <v>6.3</v>
      </c>
      <c r="F71" s="332">
        <v>7.26</v>
      </c>
      <c r="G71" s="97" t="s">
        <v>236</v>
      </c>
      <c r="H71" s="97" t="s">
        <v>236</v>
      </c>
      <c r="J71" s="344" t="str">
        <f>IF(AND(G71=Polarity!L$4,H71=Polarity!L$4),Polarity!L$4,Polarity!L$6)</f>
        <v>Fail</v>
      </c>
      <c r="K71" s="345" t="str">
        <f>IF(J71=Polarity!L$4,B71,"")</f>
        <v/>
      </c>
      <c r="L71" s="346" t="str">
        <f>IF(AND(B71=K71,F71&gt;5),Polarity!L$5,"")</f>
        <v/>
      </c>
      <c r="M71" s="336" t="str">
        <f>IF(AND(H71=Polarity!L$6,G71=Polarity!L$6),Polarity!L$6,"")</f>
        <v>Fail</v>
      </c>
      <c r="R71" s="46"/>
      <c r="S71" s="46"/>
      <c r="T71" s="46"/>
      <c r="U71" s="46"/>
    </row>
    <row r="72" spans="1:21" x14ac:dyDescent="0.2">
      <c r="A72" s="407"/>
      <c r="B72" s="4" t="s">
        <v>36</v>
      </c>
      <c r="C72" s="312">
        <v>15.8</v>
      </c>
      <c r="D72" s="312">
        <v>6.5</v>
      </c>
      <c r="E72" s="312">
        <v>10.199999999999999</v>
      </c>
      <c r="F72" s="312">
        <v>5.78</v>
      </c>
      <c r="G72" s="181" t="s">
        <v>235</v>
      </c>
      <c r="H72" s="98" t="s">
        <v>235</v>
      </c>
      <c r="J72" s="344" t="str">
        <f>IF(AND(G72=Polarity!L$4,H72=Polarity!L$4),Polarity!L$4,Polarity!L$6)</f>
        <v>Pass</v>
      </c>
      <c r="K72" s="345" t="str">
        <f>IF(J72=Polarity!L$4,B72,"")</f>
        <v>Butyl lactate</v>
      </c>
      <c r="L72" s="346" t="str">
        <f>IF(AND(B72=K72,F72&gt;5),Polarity!L$5,"")</f>
        <v>Borderline (still considered a pass)</v>
      </c>
      <c r="M72" s="336" t="str">
        <f>IF(AND(H72=Polarity!L$6,G72=Polarity!L$6),Polarity!L$6,"")</f>
        <v/>
      </c>
      <c r="R72" s="46"/>
      <c r="S72" s="46"/>
      <c r="T72" s="46"/>
      <c r="U72" s="46"/>
    </row>
    <row r="73" spans="1:21" x14ac:dyDescent="0.2">
      <c r="B73" s="5" t="s">
        <v>74</v>
      </c>
      <c r="C73" s="312">
        <v>16.2</v>
      </c>
      <c r="D73" s="312">
        <v>4.5</v>
      </c>
      <c r="E73" s="312">
        <v>8</v>
      </c>
      <c r="F73" s="312">
        <v>6.01</v>
      </c>
      <c r="G73" s="181" t="s">
        <v>235</v>
      </c>
      <c r="H73" s="97" t="s">
        <v>236</v>
      </c>
      <c r="J73" s="344" t="str">
        <f>IF(AND(G73=Polarity!L$4,H73=Polarity!L$4),Polarity!L$4,Polarity!L$6)</f>
        <v>Fail</v>
      </c>
      <c r="K73" s="345" t="str">
        <f>IF(J73=Polarity!L$4,B73,"")</f>
        <v/>
      </c>
      <c r="L73" s="346" t="str">
        <f>IF(AND(B73=K73,F73&gt;5),Polarity!L$5,"")</f>
        <v/>
      </c>
      <c r="M73" s="336" t="str">
        <f>IF(AND(H73=Polarity!L$6,G73=Polarity!L$6),Polarity!L$6,"")</f>
        <v/>
      </c>
      <c r="R73" s="46"/>
      <c r="S73" s="46"/>
      <c r="T73" s="46"/>
      <c r="U73" s="46"/>
    </row>
    <row r="74" spans="1:21" x14ac:dyDescent="0.2">
      <c r="A74" s="407"/>
      <c r="B74" s="3" t="s">
        <v>2</v>
      </c>
      <c r="C74" s="309">
        <v>15.7</v>
      </c>
      <c r="D74" s="309">
        <v>4.8</v>
      </c>
      <c r="E74" s="309">
        <v>12</v>
      </c>
      <c r="F74" s="309">
        <v>7.74</v>
      </c>
      <c r="G74" s="97" t="s">
        <v>236</v>
      </c>
      <c r="H74" s="97" t="s">
        <v>236</v>
      </c>
      <c r="J74" s="344" t="str">
        <f>IF(AND(G74=Polarity!L$4,H74=Polarity!L$4),Polarity!L$4,Polarity!L$6)</f>
        <v>Fail</v>
      </c>
      <c r="K74" s="345" t="str">
        <f>IF(J74=Polarity!L$4,B74,"")</f>
        <v/>
      </c>
      <c r="L74" s="346" t="str">
        <f>IF(AND(B74=K74,F74&gt;5),Polarity!L$5,"")</f>
        <v/>
      </c>
      <c r="M74" s="336" t="str">
        <f>IF(AND(H74=Polarity!L$6,G74=Polarity!L$6),Polarity!L$6,"")</f>
        <v>Fail</v>
      </c>
      <c r="R74" s="46"/>
      <c r="S74" s="46"/>
      <c r="T74" s="46"/>
      <c r="U74" s="46"/>
    </row>
    <row r="75" spans="1:21" x14ac:dyDescent="0.2">
      <c r="B75" s="2" t="s">
        <v>196</v>
      </c>
      <c r="C75" s="332">
        <v>15.3</v>
      </c>
      <c r="D75" s="332">
        <v>12.4</v>
      </c>
      <c r="E75" s="332">
        <v>5.0999999999999996</v>
      </c>
      <c r="F75" s="332">
        <v>6.75</v>
      </c>
      <c r="G75" s="97" t="s">
        <v>236</v>
      </c>
      <c r="H75" s="97" t="s">
        <v>236</v>
      </c>
      <c r="J75" s="344" t="str">
        <f>IF(AND(G75=Polarity!L$4,H75=Polarity!L$4),Polarity!L$4,Polarity!L$6)</f>
        <v>Fail</v>
      </c>
      <c r="K75" s="345" t="str">
        <f>IF(J75=Polarity!L$4,B75,"")</f>
        <v/>
      </c>
      <c r="L75" s="346" t="str">
        <f>IF(AND(B75=K75,F75&gt;5),Polarity!L$5,"")</f>
        <v/>
      </c>
      <c r="M75" s="336" t="str">
        <f>IF(AND(H75=Polarity!L$6,G75=Polarity!L$6),Polarity!L$6,"")</f>
        <v>Fail</v>
      </c>
      <c r="R75" s="46"/>
      <c r="S75" s="46"/>
      <c r="T75" s="46"/>
      <c r="U75" s="46"/>
    </row>
    <row r="76" spans="1:21" x14ac:dyDescent="0.2">
      <c r="B76" s="5" t="s">
        <v>89</v>
      </c>
      <c r="C76" s="309">
        <v>20.2</v>
      </c>
      <c r="D76" s="309">
        <v>0</v>
      </c>
      <c r="E76" s="309">
        <v>0.6</v>
      </c>
      <c r="F76" s="309">
        <v>12.5</v>
      </c>
      <c r="G76" s="97" t="s">
        <v>236</v>
      </c>
      <c r="H76" s="97" t="s">
        <v>236</v>
      </c>
      <c r="J76" s="344" t="str">
        <f>IF(AND(G76=Polarity!L$4,H76=Polarity!L$4),Polarity!L$4,Polarity!L$6)</f>
        <v>Fail</v>
      </c>
      <c r="K76" s="345" t="str">
        <f>IF(J76=Polarity!L$4,B76,"")</f>
        <v/>
      </c>
      <c r="L76" s="346" t="str">
        <f>IF(AND(B76=K76,F76&gt;5),Polarity!L$5,"")</f>
        <v/>
      </c>
      <c r="M76" s="336" t="str">
        <f>IF(AND(H76=Polarity!L$6,G76=Polarity!L$6),Polarity!L$6,"")</f>
        <v>Fail</v>
      </c>
      <c r="R76" s="46"/>
      <c r="S76" s="46"/>
      <c r="T76" s="46"/>
      <c r="U76" s="46"/>
    </row>
    <row r="77" spans="1:21" x14ac:dyDescent="0.2">
      <c r="B77" s="5" t="s">
        <v>104</v>
      </c>
      <c r="C77" s="309">
        <v>17.8</v>
      </c>
      <c r="D77" s="309">
        <v>0</v>
      </c>
      <c r="E77" s="309">
        <v>0.6</v>
      </c>
      <c r="F77" s="309">
        <v>11.71</v>
      </c>
      <c r="G77" s="97" t="s">
        <v>236</v>
      </c>
      <c r="H77" s="97" t="s">
        <v>236</v>
      </c>
      <c r="J77" s="344" t="str">
        <f>IF(AND(G77=Polarity!L$4,H77=Polarity!L$4),Polarity!L$4,Polarity!L$6)</f>
        <v>Fail</v>
      </c>
      <c r="K77" s="345" t="str">
        <f>IF(J77=Polarity!L$4,B77,"")</f>
        <v/>
      </c>
      <c r="L77" s="346" t="str">
        <f>IF(AND(B77=K77,F77&gt;5),Polarity!L$5,"")</f>
        <v/>
      </c>
      <c r="M77" s="336" t="str">
        <f>IF(AND(H77=Polarity!L$6,G77=Polarity!L$6),Polarity!L$6,"")</f>
        <v>Fail</v>
      </c>
      <c r="R77" s="46"/>
      <c r="S77" s="46"/>
      <c r="T77" s="46"/>
      <c r="U77" s="46"/>
    </row>
    <row r="78" spans="1:21" x14ac:dyDescent="0.2">
      <c r="A78" s="407"/>
      <c r="B78" s="3" t="s">
        <v>9</v>
      </c>
      <c r="C78" s="309">
        <v>17.600000000000001</v>
      </c>
      <c r="D78" s="309">
        <v>11</v>
      </c>
      <c r="E78" s="309">
        <v>15.9</v>
      </c>
      <c r="F78" s="309">
        <v>8.4124907132192419</v>
      </c>
      <c r="G78" s="97" t="s">
        <v>236</v>
      </c>
      <c r="H78" s="98" t="s">
        <v>235</v>
      </c>
      <c r="J78" s="344" t="str">
        <f>IF(AND(G78=Polarity!L$4,H78=Polarity!L$4),Polarity!L$4,Polarity!L$6)</f>
        <v>Fail</v>
      </c>
      <c r="K78" s="345" t="str">
        <f>IF(J78=Polarity!L$4,B78,"")</f>
        <v/>
      </c>
      <c r="L78" s="346" t="str">
        <f>IF(AND(B78=K78,F78&gt;5),Polarity!L$5,"")</f>
        <v/>
      </c>
      <c r="M78" s="336" t="str">
        <f>IF(AND(H78=Polarity!L$6,G78=Polarity!L$6),Polarity!L$6,"")</f>
        <v/>
      </c>
      <c r="R78" s="46"/>
      <c r="S78" s="46"/>
      <c r="T78" s="46"/>
      <c r="U78" s="46"/>
    </row>
    <row r="79" spans="1:21" x14ac:dyDescent="0.2">
      <c r="B79" s="5" t="s">
        <v>95</v>
      </c>
      <c r="C79" s="309">
        <v>19</v>
      </c>
      <c r="D79" s="309">
        <v>4.3</v>
      </c>
      <c r="E79" s="309">
        <v>2</v>
      </c>
      <c r="F79" s="309">
        <v>7.84</v>
      </c>
      <c r="G79" s="97" t="s">
        <v>236</v>
      </c>
      <c r="H79" s="98" t="s">
        <v>235</v>
      </c>
      <c r="J79" s="344" t="str">
        <f>IF(AND(G79=Polarity!L$4,H79=Polarity!L$4),Polarity!L$4,Polarity!L$6)</f>
        <v>Fail</v>
      </c>
      <c r="K79" s="345" t="str">
        <f>IF(J79=Polarity!L$4,B79,"")</f>
        <v/>
      </c>
      <c r="L79" s="346" t="str">
        <f>IF(AND(B79=K79,F79&gt;5),Polarity!L$5,"")</f>
        <v/>
      </c>
      <c r="M79" s="336" t="str">
        <f>IF(AND(H79=Polarity!L$6,G79=Polarity!L$6),Polarity!L$6,"")</f>
        <v/>
      </c>
      <c r="R79" s="46"/>
      <c r="S79" s="46"/>
      <c r="T79" s="46"/>
      <c r="U79" s="46"/>
    </row>
    <row r="80" spans="1:21" x14ac:dyDescent="0.2">
      <c r="B80" s="2" t="s">
        <v>105</v>
      </c>
      <c r="C80" s="310">
        <v>17.8</v>
      </c>
      <c r="D80" s="310">
        <v>3.1</v>
      </c>
      <c r="E80" s="310">
        <v>5.7</v>
      </c>
      <c r="F80" s="310">
        <v>6.53</v>
      </c>
      <c r="G80" s="181" t="s">
        <v>235</v>
      </c>
      <c r="H80" s="97" t="s">
        <v>236</v>
      </c>
      <c r="J80" s="344" t="str">
        <f>IF(AND(G80=Polarity!L$4,H80=Polarity!L$4),Polarity!L$4,Polarity!L$6)</f>
        <v>Fail</v>
      </c>
      <c r="K80" s="345" t="str">
        <f>IF(J80=Polarity!L$4,B80,"")</f>
        <v/>
      </c>
      <c r="L80" s="346" t="str">
        <f>IF(AND(B80=K80,F80&gt;5),Polarity!L$5,"")</f>
        <v/>
      </c>
      <c r="M80" s="336" t="str">
        <f>IF(AND(H80=Polarity!L$6,G80=Polarity!L$6),Polarity!L$6,"")</f>
        <v/>
      </c>
      <c r="R80" s="46"/>
      <c r="S80" s="46"/>
      <c r="T80" s="46"/>
      <c r="U80" s="46"/>
    </row>
    <row r="81" spans="1:13" x14ac:dyDescent="0.2">
      <c r="A81" s="407"/>
      <c r="B81" s="3" t="s">
        <v>156</v>
      </c>
      <c r="C81" s="309">
        <v>17.600000000000001</v>
      </c>
      <c r="D81" s="309">
        <v>0</v>
      </c>
      <c r="E81" s="309">
        <v>0</v>
      </c>
      <c r="F81" s="309">
        <v>12.1</v>
      </c>
      <c r="G81" s="97" t="s">
        <v>236</v>
      </c>
      <c r="H81" s="100" t="s">
        <v>237</v>
      </c>
      <c r="J81" s="344" t="str">
        <f>IF(AND(G81=Polarity!L$4,H81=Polarity!L$4),Polarity!L$4,Polarity!L$6)</f>
        <v>Fail</v>
      </c>
      <c r="K81" s="345" t="str">
        <f>IF(J81=Polarity!L$4,B81,"")</f>
        <v/>
      </c>
      <c r="L81" s="346" t="str">
        <f>IF(AND(B81=K81,F81&gt;5),Polarity!L$5,"")</f>
        <v/>
      </c>
      <c r="M81" s="336" t="str">
        <f>IF(AND(H81=Polarity!L$6,G81=Polarity!L$6),Polarity!L$6,"")</f>
        <v/>
      </c>
    </row>
    <row r="82" spans="1:13" x14ac:dyDescent="0.2">
      <c r="A82" s="407"/>
      <c r="B82" s="3" t="s">
        <v>157</v>
      </c>
      <c r="C82" s="309">
        <v>18.100000000000001</v>
      </c>
      <c r="D82" s="309">
        <v>1.2</v>
      </c>
      <c r="E82" s="309">
        <v>1.2</v>
      </c>
      <c r="F82" s="309">
        <v>10.39</v>
      </c>
      <c r="G82" s="97" t="s">
        <v>236</v>
      </c>
      <c r="H82" s="97" t="s">
        <v>236</v>
      </c>
      <c r="J82" s="344" t="str">
        <f>IF(AND(G82=Polarity!L$4,H82=Polarity!L$4),Polarity!L$4,Polarity!L$6)</f>
        <v>Fail</v>
      </c>
      <c r="K82" s="345" t="str">
        <f>IF(J82=Polarity!L$4,B82,"")</f>
        <v/>
      </c>
      <c r="L82" s="346" t="str">
        <f>IF(AND(B82=K82,F82&gt;5),Polarity!L$5,"")</f>
        <v/>
      </c>
      <c r="M82" s="336" t="str">
        <f>IF(AND(H82=Polarity!L$6,G82=Polarity!L$6),Polarity!L$6,"")</f>
        <v>Fail</v>
      </c>
    </row>
    <row r="83" spans="1:13" x14ac:dyDescent="0.2">
      <c r="A83" s="407"/>
      <c r="B83" s="6" t="s">
        <v>158</v>
      </c>
      <c r="C83" s="309">
        <v>16.8</v>
      </c>
      <c r="D83" s="309">
        <v>0</v>
      </c>
      <c r="E83" s="309">
        <v>0.2</v>
      </c>
      <c r="F83" s="309">
        <v>12.19</v>
      </c>
      <c r="G83" s="97" t="s">
        <v>236</v>
      </c>
      <c r="H83" s="97" t="s">
        <v>236</v>
      </c>
      <c r="J83" s="344" t="str">
        <f>IF(AND(G83=Polarity!L$4,H83=Polarity!L$4),Polarity!L$4,Polarity!L$6)</f>
        <v>Fail</v>
      </c>
      <c r="K83" s="345" t="str">
        <f>IF(J83=Polarity!L$4,B83,"")</f>
        <v/>
      </c>
      <c r="L83" s="346" t="str">
        <f>IF(AND(B83=K83,F83&gt;5),Polarity!L$5,"")</f>
        <v/>
      </c>
      <c r="M83" s="336" t="str">
        <f>IF(AND(H83=Polarity!L$6,G83=Polarity!L$6),Polarity!L$6,"")</f>
        <v>Fail</v>
      </c>
    </row>
    <row r="84" spans="1:13" x14ac:dyDescent="0.2">
      <c r="A84" s="407"/>
      <c r="B84" s="5" t="s">
        <v>24</v>
      </c>
      <c r="C84" s="309">
        <v>17.399999999999999</v>
      </c>
      <c r="D84" s="309">
        <v>4.0999999999999996</v>
      </c>
      <c r="E84" s="309">
        <v>13.5</v>
      </c>
      <c r="F84" s="309">
        <v>7.88</v>
      </c>
      <c r="G84" s="97" t="s">
        <v>236</v>
      </c>
      <c r="H84" s="98" t="s">
        <v>235</v>
      </c>
      <c r="J84" s="344" t="str">
        <f>IF(AND(G84=Polarity!L$4,H84=Polarity!L$4),Polarity!L$4,Polarity!L$6)</f>
        <v>Fail</v>
      </c>
      <c r="K84" s="345" t="str">
        <f>IF(J84=Polarity!L$4,B84,"")</f>
        <v/>
      </c>
      <c r="L84" s="346" t="str">
        <f>IF(AND(B84=K84,F84&gt;5),Polarity!L$5,"")</f>
        <v/>
      </c>
      <c r="M84" s="336" t="str">
        <f>IF(AND(H84=Polarity!L$6,G84=Polarity!L$6),Polarity!L$6,"")</f>
        <v/>
      </c>
    </row>
    <row r="85" spans="1:13" x14ac:dyDescent="0.2">
      <c r="A85" s="407"/>
      <c r="B85" s="5" t="s">
        <v>189</v>
      </c>
      <c r="C85" s="311">
        <v>17.8</v>
      </c>
      <c r="D85" s="311">
        <v>8.4</v>
      </c>
      <c r="E85" s="311">
        <v>5.0999999999999996</v>
      </c>
      <c r="F85" s="311">
        <v>2.78</v>
      </c>
      <c r="G85" s="98" t="s">
        <v>235</v>
      </c>
      <c r="H85" s="98" t="s">
        <v>235</v>
      </c>
      <c r="J85" s="344" t="str">
        <f>IF(AND(G85=Polarity!L$4,H85=Polarity!L$4),Polarity!L$4,Polarity!L$6)</f>
        <v>Pass</v>
      </c>
      <c r="K85" s="345" t="str">
        <f>IF(J85=Polarity!L$4,B85,"")</f>
        <v>Cyclohexanone</v>
      </c>
      <c r="L85" s="421" t="s">
        <v>558</v>
      </c>
      <c r="M85" s="336" t="str">
        <f>IF(AND(H85=Polarity!L$6,G85=Polarity!L$6),Polarity!L$6,"")</f>
        <v/>
      </c>
    </row>
    <row r="86" spans="1:13" x14ac:dyDescent="0.2">
      <c r="B86" s="6" t="s">
        <v>159</v>
      </c>
      <c r="C86" s="309">
        <v>17.2</v>
      </c>
      <c r="D86" s="309">
        <v>1</v>
      </c>
      <c r="E86" s="309">
        <v>2</v>
      </c>
      <c r="F86" s="309">
        <v>10.199999999999999</v>
      </c>
      <c r="G86" s="97" t="s">
        <v>236</v>
      </c>
      <c r="H86" s="97" t="s">
        <v>236</v>
      </c>
      <c r="J86" s="344" t="str">
        <f>IF(AND(G86=Polarity!L$4,H86=Polarity!L$4),Polarity!L$4,Polarity!L$6)</f>
        <v>Fail</v>
      </c>
      <c r="K86" s="345" t="str">
        <f>IF(J86=Polarity!L$4,B86,"")</f>
        <v/>
      </c>
      <c r="L86" s="346" t="str">
        <f>IF(AND(B86=K86,F86&gt;5),Polarity!L$5,"")</f>
        <v/>
      </c>
      <c r="M86" s="336" t="str">
        <f>IF(AND(H86=Polarity!L$6,G86=Polarity!L$6),Polarity!L$6,"")</f>
        <v>Fail</v>
      </c>
    </row>
    <row r="87" spans="1:13" x14ac:dyDescent="0.2">
      <c r="B87" s="2" t="s">
        <v>160</v>
      </c>
      <c r="C87" s="309">
        <v>16.399999999999999</v>
      </c>
      <c r="D87" s="309">
        <v>0</v>
      </c>
      <c r="E87" s="309">
        <v>1.8</v>
      </c>
      <c r="F87" s="309">
        <v>11.47</v>
      </c>
      <c r="G87" s="97" t="s">
        <v>236</v>
      </c>
      <c r="H87" s="100" t="s">
        <v>237</v>
      </c>
      <c r="J87" s="344" t="str">
        <f>IF(AND(G87=Polarity!L$4,H87=Polarity!L$4),Polarity!L$4,Polarity!L$6)</f>
        <v>Fail</v>
      </c>
      <c r="K87" s="345" t="str">
        <f>IF(J87=Polarity!L$4,B87,"")</f>
        <v/>
      </c>
      <c r="L87" s="346" t="str">
        <f>IF(AND(B87=K87,F87&gt;5),Polarity!L$5,"")</f>
        <v/>
      </c>
      <c r="M87" s="336" t="str">
        <f>IF(AND(H87=Polarity!L$6,G87=Polarity!L$6),Polarity!L$6,"")</f>
        <v/>
      </c>
    </row>
    <row r="88" spans="1:13" x14ac:dyDescent="0.2">
      <c r="A88" s="407"/>
      <c r="B88" s="5" t="s">
        <v>190</v>
      </c>
      <c r="C88" s="311">
        <v>17.899999999999999</v>
      </c>
      <c r="D88" s="311">
        <v>11.9</v>
      </c>
      <c r="E88" s="311">
        <v>5.2</v>
      </c>
      <c r="F88" s="311">
        <v>3.61</v>
      </c>
      <c r="G88" s="98" t="s">
        <v>235</v>
      </c>
      <c r="H88" s="98" t="s">
        <v>235</v>
      </c>
      <c r="J88" s="344" t="str">
        <f>IF(AND(G88=Polarity!L$4,H88=Polarity!L$4),Polarity!L$4,Polarity!L$6)</f>
        <v>Pass</v>
      </c>
      <c r="K88" s="345" t="str">
        <f>IF(J88=Polarity!L$4,B88,"")</f>
        <v>Cyclopentanone</v>
      </c>
      <c r="L88" s="421" t="s">
        <v>558</v>
      </c>
      <c r="M88" s="336" t="str">
        <f>IF(AND(H88=Polarity!L$6,G88=Polarity!L$6),Polarity!L$6,"")</f>
        <v/>
      </c>
    </row>
    <row r="89" spans="1:13" x14ac:dyDescent="0.2">
      <c r="A89" s="407"/>
      <c r="B89" s="5" t="s">
        <v>227</v>
      </c>
      <c r="C89" s="334">
        <v>18.8</v>
      </c>
      <c r="D89" s="334">
        <v>10.6</v>
      </c>
      <c r="E89" s="334">
        <v>6.9</v>
      </c>
      <c r="F89" s="334">
        <v>2.2113344387495983</v>
      </c>
      <c r="G89" s="98" t="s">
        <v>235</v>
      </c>
      <c r="H89" s="98" t="s">
        <v>235</v>
      </c>
      <c r="J89" s="344" t="str">
        <f>IF(AND(G89=Polarity!L$4,H89=Polarity!L$4),Polarity!L$4,Polarity!L$6)</f>
        <v>Pass</v>
      </c>
      <c r="K89" s="345" t="str">
        <f>IF(J89=Polarity!L$4,B89,"")</f>
        <v>Cyrene</v>
      </c>
      <c r="L89" s="421" t="s">
        <v>558</v>
      </c>
      <c r="M89" s="336" t="str">
        <f>IF(AND(H89=Polarity!L$6,G89=Polarity!L$6),Polarity!L$6,"")</f>
        <v/>
      </c>
    </row>
    <row r="90" spans="1:13" x14ac:dyDescent="0.2">
      <c r="B90" s="5" t="s">
        <v>228</v>
      </c>
      <c r="C90" s="311">
        <v>17</v>
      </c>
      <c r="D90" s="311">
        <v>7.3</v>
      </c>
      <c r="E90" s="311">
        <v>7.1</v>
      </c>
      <c r="F90" s="311">
        <v>2.89</v>
      </c>
      <c r="G90" s="98" t="s">
        <v>235</v>
      </c>
      <c r="H90" s="97" t="s">
        <v>236</v>
      </c>
      <c r="J90" s="344" t="str">
        <f>IF(AND(G90=Polarity!L$4,H90=Polarity!L$4),Polarity!L$4,Polarity!L$6)</f>
        <v>Fail</v>
      </c>
      <c r="K90" s="345" t="str">
        <f>IF(J90=Polarity!L$4,B90,"")</f>
        <v/>
      </c>
      <c r="L90" s="346" t="str">
        <f>IF(AND(B90=K90,F90&gt;5),Polarity!L$5,"")</f>
        <v/>
      </c>
      <c r="M90" s="336" t="str">
        <f>IF(AND(H90=Polarity!L$6,G90=Polarity!L$6),Polarity!L$6,"")</f>
        <v/>
      </c>
    </row>
    <row r="91" spans="1:13" x14ac:dyDescent="0.2">
      <c r="A91" s="407"/>
      <c r="B91" s="6" t="s">
        <v>204</v>
      </c>
      <c r="C91" s="309">
        <v>12.9</v>
      </c>
      <c r="D91" s="309">
        <v>1.3</v>
      </c>
      <c r="E91" s="309">
        <v>1</v>
      </c>
      <c r="F91" s="309">
        <v>14.59</v>
      </c>
      <c r="G91" s="97" t="s">
        <v>236</v>
      </c>
      <c r="H91" s="97" t="s">
        <v>236</v>
      </c>
      <c r="J91" s="344" t="str">
        <f>IF(AND(G91=Polarity!L$4,H91=Polarity!L$4),Polarity!L$4,Polarity!L$6)</f>
        <v>Fail</v>
      </c>
      <c r="K91" s="345" t="str">
        <f>IF(J91=Polarity!L$4,B91,"")</f>
        <v/>
      </c>
      <c r="L91" s="346" t="str">
        <f>IF(AND(B91=K91,F91&gt;5),Polarity!L$5,"")</f>
        <v/>
      </c>
      <c r="M91" s="336" t="str">
        <f>IF(AND(H91=Polarity!L$6,G91=Polarity!L$6),Polarity!L$6,"")</f>
        <v>Fail</v>
      </c>
    </row>
    <row r="92" spans="1:13" x14ac:dyDescent="0.2">
      <c r="A92" s="407"/>
      <c r="B92" s="3" t="s">
        <v>52</v>
      </c>
      <c r="C92" s="309">
        <v>16.600000000000001</v>
      </c>
      <c r="D92" s="309">
        <v>12</v>
      </c>
      <c r="E92" s="309">
        <v>19</v>
      </c>
      <c r="F92" s="309">
        <v>11.95</v>
      </c>
      <c r="G92" s="97" t="s">
        <v>236</v>
      </c>
      <c r="H92" s="97" t="s">
        <v>236</v>
      </c>
      <c r="J92" s="344" t="str">
        <f>IF(AND(G92=Polarity!L$4,H92=Polarity!L$4),Polarity!L$4,Polarity!L$6)</f>
        <v>Fail</v>
      </c>
      <c r="K92" s="345" t="str">
        <f>IF(J92=Polarity!L$4,B92,"")</f>
        <v/>
      </c>
      <c r="L92" s="346" t="str">
        <f>IF(AND(B92=K92,F92&gt;5),Polarity!L$5,"")</f>
        <v/>
      </c>
      <c r="M92" s="336" t="str">
        <f>IF(AND(H92=Polarity!L$6,G92=Polarity!L$6),Polarity!L$6,"")</f>
        <v>Fail</v>
      </c>
    </row>
    <row r="93" spans="1:13" x14ac:dyDescent="0.2">
      <c r="A93" s="407"/>
      <c r="B93" s="2" t="s">
        <v>133</v>
      </c>
      <c r="C93" s="309">
        <v>19.600000000000001</v>
      </c>
      <c r="D93" s="309">
        <v>3.4</v>
      </c>
      <c r="E93" s="309">
        <v>5.2</v>
      </c>
      <c r="F93" s="309">
        <v>7.16</v>
      </c>
      <c r="G93" s="97" t="s">
        <v>236</v>
      </c>
      <c r="H93" s="100" t="s">
        <v>237</v>
      </c>
      <c r="J93" s="344" t="str">
        <f>IF(AND(G93=Polarity!L$4,H93=Polarity!L$4),Polarity!L$4,Polarity!L$6)</f>
        <v>Fail</v>
      </c>
      <c r="K93" s="345" t="str">
        <f>IF(J93=Polarity!L$4,B93,"")</f>
        <v/>
      </c>
      <c r="L93" s="346" t="str">
        <f>IF(AND(B93=K93,F93&gt;5),Polarity!L$5,"")</f>
        <v/>
      </c>
      <c r="M93" s="336" t="str">
        <f>IF(AND(H93=Polarity!L$6,G93=Polarity!L$6),Polarity!L$6,"")</f>
        <v/>
      </c>
    </row>
    <row r="94" spans="1:13" x14ac:dyDescent="0.2">
      <c r="A94" s="407"/>
      <c r="B94" s="3" t="s">
        <v>146</v>
      </c>
      <c r="C94" s="309">
        <v>15.7</v>
      </c>
      <c r="D94" s="309">
        <v>4</v>
      </c>
      <c r="E94" s="309">
        <v>3.9</v>
      </c>
      <c r="F94" s="309">
        <v>7.9806014810915116</v>
      </c>
      <c r="G94" s="97" t="s">
        <v>236</v>
      </c>
      <c r="H94" s="100" t="s">
        <v>237</v>
      </c>
      <c r="J94" s="344" t="str">
        <f>IF(AND(G94=Polarity!L$4,H94=Polarity!L$4),Polarity!L$4,Polarity!L$6)</f>
        <v>Fail</v>
      </c>
      <c r="K94" s="345" t="str">
        <f>IF(J94=Polarity!L$4,B94,"")</f>
        <v/>
      </c>
      <c r="L94" s="346" t="str">
        <f>IF(AND(B94=K94,F94&gt;5),Polarity!L$5,"")</f>
        <v/>
      </c>
      <c r="M94" s="336" t="str">
        <f>IF(AND(H94=Polarity!L$6,G94=Polarity!L$6),Polarity!L$6,"")</f>
        <v/>
      </c>
    </row>
    <row r="95" spans="1:13" x14ac:dyDescent="0.2">
      <c r="B95" s="3" t="s">
        <v>134</v>
      </c>
      <c r="C95" s="309">
        <v>15.2</v>
      </c>
      <c r="D95" s="309">
        <v>3.4</v>
      </c>
      <c r="E95" s="309">
        <v>3.2</v>
      </c>
      <c r="F95" s="309">
        <f>((4*((C95-18)^2)+((D95-9.3)^2)+((E95-7.7)^2))^0.5)</f>
        <v>9.2962357973536811</v>
      </c>
      <c r="G95" s="97" t="s">
        <v>236</v>
      </c>
      <c r="H95" s="97" t="s">
        <v>236</v>
      </c>
      <c r="J95" s="344" t="str">
        <f>IF(AND(G95=Polarity!L$4,H95=Polarity!L$4),Polarity!L$4,Polarity!L$6)</f>
        <v>Fail</v>
      </c>
      <c r="K95" s="345" t="str">
        <f>IF(J95=Polarity!L$4,B95,"")</f>
        <v/>
      </c>
      <c r="L95" s="346" t="str">
        <f>IF(AND(B95=K95,F95&gt;5),Polarity!L$5,"")</f>
        <v/>
      </c>
      <c r="M95" s="336" t="str">
        <f>IF(AND(H95=Polarity!L$6,G95=Polarity!L$6),Polarity!L$6,"")</f>
        <v>Fail</v>
      </c>
    </row>
    <row r="96" spans="1:13" x14ac:dyDescent="0.2">
      <c r="B96" s="5" t="s">
        <v>147</v>
      </c>
      <c r="C96" s="309">
        <v>15.4</v>
      </c>
      <c r="D96" s="309">
        <v>5.7</v>
      </c>
      <c r="E96" s="309">
        <v>5.0999999999999996</v>
      </c>
      <c r="F96" s="309">
        <f>((4*((C96-18)^2)+((D96-9.3)^2)+((E96-7.7)^2))^0.5)</f>
        <v>6.838128398911504</v>
      </c>
      <c r="G96" s="97" t="s">
        <v>236</v>
      </c>
      <c r="H96" s="97" t="s">
        <v>236</v>
      </c>
      <c r="J96" s="344" t="str">
        <f>IF(AND(G96=Polarity!L$4,H96=Polarity!L$4),Polarity!L$4,Polarity!L$6)</f>
        <v>Fail</v>
      </c>
      <c r="K96" s="345" t="str">
        <f>IF(J96=Polarity!L$4,B96,"")</f>
        <v/>
      </c>
      <c r="L96" s="346" t="str">
        <f>IF(AND(B96=K96,F96&gt;5),Polarity!L$5,"")</f>
        <v/>
      </c>
      <c r="M96" s="336" t="str">
        <f>IF(AND(H96=Polarity!L$6,G96=Polarity!L$6),Polarity!L$6,"")</f>
        <v>Fail</v>
      </c>
    </row>
    <row r="97" spans="1:13" x14ac:dyDescent="0.2">
      <c r="B97" s="2" t="s">
        <v>135</v>
      </c>
      <c r="C97" s="309">
        <v>14.5</v>
      </c>
      <c r="D97" s="309">
        <v>2.9</v>
      </c>
      <c r="E97" s="309">
        <v>4.5999999999999996</v>
      </c>
      <c r="F97" s="309">
        <f>((4*((C97-18)^2)+((D97-9.3)^2)+((E97-7.7)^2))^0.5)</f>
        <v>9.9784768376741759</v>
      </c>
      <c r="G97" s="97" t="s">
        <v>236</v>
      </c>
      <c r="H97" s="97" t="s">
        <v>236</v>
      </c>
      <c r="J97" s="344" t="str">
        <f>IF(AND(G97=Polarity!L$4,H97=Polarity!L$4),Polarity!L$4,Polarity!L$6)</f>
        <v>Fail</v>
      </c>
      <c r="K97" s="345" t="str">
        <f>IF(J97=Polarity!L$4,B97,"")</f>
        <v/>
      </c>
      <c r="L97" s="346" t="str">
        <f>IF(AND(B97=K97,F97&gt;5),Polarity!L$5,"")</f>
        <v/>
      </c>
      <c r="M97" s="336" t="str">
        <f>IF(AND(H97=Polarity!L$6,G97=Polarity!L$6),Polarity!L$6,"")</f>
        <v>Fail</v>
      </c>
    </row>
    <row r="98" spans="1:13" x14ac:dyDescent="0.2">
      <c r="A98" s="407"/>
      <c r="B98" s="6" t="s">
        <v>128</v>
      </c>
      <c r="C98" s="311">
        <v>17.600000000000001</v>
      </c>
      <c r="D98" s="311">
        <v>9.6</v>
      </c>
      <c r="E98" s="311">
        <v>4.5</v>
      </c>
      <c r="F98" s="311">
        <v>3.31</v>
      </c>
      <c r="G98" s="98" t="s">
        <v>235</v>
      </c>
      <c r="H98" s="98" t="s">
        <v>235</v>
      </c>
      <c r="J98" s="344" t="str">
        <f>IF(AND(G98=Polarity!L$4,H98=Polarity!L$4),Polarity!L$4,Polarity!L$6)</f>
        <v>Pass</v>
      </c>
      <c r="K98" s="345" t="str">
        <f>IF(J98=Polarity!L$4,B98,"")</f>
        <v xml:space="preserve">Diethyl phthalate </v>
      </c>
      <c r="L98" s="421" t="s">
        <v>558</v>
      </c>
      <c r="M98" s="336" t="str">
        <f>IF(AND(H98=Polarity!L$6,G98=Polarity!L$6),Polarity!L$6,"")</f>
        <v/>
      </c>
    </row>
    <row r="99" spans="1:13" x14ac:dyDescent="0.2">
      <c r="A99" s="407"/>
      <c r="B99" s="2" t="s">
        <v>75</v>
      </c>
      <c r="C99" s="309">
        <v>14.9</v>
      </c>
      <c r="D99" s="309">
        <v>2.2999999999999998</v>
      </c>
      <c r="E99" s="309">
        <v>6.1</v>
      </c>
      <c r="F99" s="309">
        <v>9.49</v>
      </c>
      <c r="G99" s="97" t="s">
        <v>236</v>
      </c>
      <c r="H99" s="97" t="s">
        <v>236</v>
      </c>
      <c r="J99" s="344" t="str">
        <f>IF(AND(G99=Polarity!L$4,H99=Polarity!L$4),Polarity!L$4,Polarity!L$6)</f>
        <v>Fail</v>
      </c>
      <c r="K99" s="345" t="str">
        <f>IF(J99=Polarity!L$4,B99,"")</f>
        <v/>
      </c>
      <c r="L99" s="346" t="str">
        <f>IF(AND(B99=K99,F99&gt;5),Polarity!L$5,"")</f>
        <v/>
      </c>
      <c r="M99" s="336" t="str">
        <f>IF(AND(H99=Polarity!L$6,G99=Polarity!L$6),Polarity!L$6,"")</f>
        <v>Fail</v>
      </c>
    </row>
    <row r="100" spans="1:13" x14ac:dyDescent="0.2">
      <c r="A100" s="407"/>
      <c r="B100" s="4" t="s">
        <v>148</v>
      </c>
      <c r="C100" s="309">
        <v>15.8</v>
      </c>
      <c r="D100" s="309">
        <v>4.7</v>
      </c>
      <c r="E100" s="309">
        <v>4.4000000000000004</v>
      </c>
      <c r="F100" s="309">
        <v>7.17</v>
      </c>
      <c r="G100" s="97" t="s">
        <v>236</v>
      </c>
      <c r="H100" s="97" t="s">
        <v>236</v>
      </c>
      <c r="J100" s="344" t="str">
        <f>IF(AND(G100=Polarity!L$4,H100=Polarity!L$4),Polarity!L$4,Polarity!L$6)</f>
        <v>Fail</v>
      </c>
      <c r="K100" s="345" t="str">
        <f>IF(J100=Polarity!L$4,B100,"")</f>
        <v/>
      </c>
      <c r="L100" s="346" t="str">
        <f>IF(AND(B100=K100,F100&gt;5),Polarity!L$5,"")</f>
        <v/>
      </c>
      <c r="M100" s="336" t="str">
        <f>IF(AND(H100=Polarity!L$6,G100=Polarity!L$6),Polarity!L$6,"")</f>
        <v>Fail</v>
      </c>
    </row>
    <row r="101" spans="1:13" x14ac:dyDescent="0.2">
      <c r="A101" s="407"/>
      <c r="B101" s="3" t="s">
        <v>149</v>
      </c>
      <c r="C101" s="312">
        <v>15.8</v>
      </c>
      <c r="D101" s="312">
        <v>5.9</v>
      </c>
      <c r="E101" s="312">
        <v>5.6</v>
      </c>
      <c r="F101" s="312">
        <v>5.94</v>
      </c>
      <c r="G101" s="181" t="s">
        <v>235</v>
      </c>
      <c r="H101" s="97" t="s">
        <v>236</v>
      </c>
      <c r="J101" s="344" t="str">
        <f>IF(AND(G101=Polarity!L$4,H101=Polarity!L$4),Polarity!L$4,Polarity!L$6)</f>
        <v>Fail</v>
      </c>
      <c r="K101" s="345" t="str">
        <f>IF(J101=Polarity!L$4,B101,"")</f>
        <v/>
      </c>
      <c r="L101" s="346" t="str">
        <f>IF(AND(B101=K101,F101&gt;5),Polarity!L$5,"")</f>
        <v/>
      </c>
      <c r="M101" s="336" t="str">
        <f>IF(AND(H101=Polarity!L$6,G101=Polarity!L$6),Polarity!L$6,"")</f>
        <v/>
      </c>
    </row>
    <row r="102" spans="1:13" x14ac:dyDescent="0.2">
      <c r="A102" s="407"/>
      <c r="B102" s="4" t="s">
        <v>150</v>
      </c>
      <c r="C102" s="310">
        <v>16</v>
      </c>
      <c r="D102" s="310">
        <v>5.9</v>
      </c>
      <c r="E102" s="310">
        <v>6.2</v>
      </c>
      <c r="F102" s="310">
        <v>5.4598534778874788</v>
      </c>
      <c r="G102" s="181" t="s">
        <v>235</v>
      </c>
      <c r="H102" s="97" t="s">
        <v>236</v>
      </c>
      <c r="J102" s="344" t="str">
        <f>IF(AND(G102=Polarity!L$4,H102=Polarity!L$4),Polarity!L$4,Polarity!L$6)</f>
        <v>Fail</v>
      </c>
      <c r="K102" s="345" t="str">
        <f>IF(J102=Polarity!L$4,B102,"")</f>
        <v/>
      </c>
      <c r="L102" s="346" t="str">
        <f>IF(AND(B102=K102,F102&gt;5),Polarity!L$5,"")</f>
        <v/>
      </c>
      <c r="M102" s="336" t="str">
        <f>IF(AND(H102=Polarity!L$6,G102=Polarity!L$6),Polarity!L$6,"")</f>
        <v/>
      </c>
    </row>
    <row r="103" spans="1:13" x14ac:dyDescent="0.2">
      <c r="A103" s="407"/>
      <c r="B103" s="2" t="s">
        <v>37</v>
      </c>
      <c r="C103" s="312">
        <v>16</v>
      </c>
      <c r="D103" s="312">
        <v>7</v>
      </c>
      <c r="E103" s="312">
        <v>10.6</v>
      </c>
      <c r="F103" s="312">
        <v>5.45</v>
      </c>
      <c r="G103" s="181" t="s">
        <v>235</v>
      </c>
      <c r="H103" s="98" t="s">
        <v>235</v>
      </c>
      <c r="J103" s="344" t="str">
        <f>IF(AND(G103=Polarity!L$4,H103=Polarity!L$4),Polarity!L$4,Polarity!L$6)</f>
        <v>Pass</v>
      </c>
      <c r="K103" s="345" t="str">
        <f>IF(J103=Polarity!L$4,B103,"")</f>
        <v>Diethylene glycol monobutyl ether</v>
      </c>
      <c r="L103" s="346" t="str">
        <f>IF(AND(B103=K103,F103&gt;5),Polarity!L$5,"")</f>
        <v>Borderline (still considered a pass)</v>
      </c>
      <c r="M103" s="336" t="str">
        <f>IF(AND(H103=Polarity!L$6,G103=Polarity!L$6),Polarity!L$6,"")</f>
        <v/>
      </c>
    </row>
    <row r="104" spans="1:13" x14ac:dyDescent="0.2">
      <c r="A104" s="407"/>
      <c r="B104" s="4" t="s">
        <v>38</v>
      </c>
      <c r="C104" s="312">
        <v>16.100000000000001</v>
      </c>
      <c r="D104" s="312">
        <v>9.1999999999999993</v>
      </c>
      <c r="E104" s="312">
        <v>12.2</v>
      </c>
      <c r="F104" s="312">
        <v>5.89</v>
      </c>
      <c r="G104" s="181" t="s">
        <v>235</v>
      </c>
      <c r="H104" s="97" t="s">
        <v>236</v>
      </c>
      <c r="J104" s="344" t="str">
        <f>IF(AND(G104=Polarity!L$4,H104=Polarity!L$4),Polarity!L$4,Polarity!L$6)</f>
        <v>Fail</v>
      </c>
      <c r="K104" s="345" t="str">
        <f>IF(J104=Polarity!L$4,B104,"")</f>
        <v/>
      </c>
      <c r="L104" s="346" t="str">
        <f>IF(AND(B104=K104,F104&gt;5),Polarity!L$5,"")</f>
        <v/>
      </c>
      <c r="M104" s="336" t="str">
        <f>IF(AND(H104=Polarity!L$6,G104=Polarity!L$6),Polarity!L$6,"")</f>
        <v/>
      </c>
    </row>
    <row r="105" spans="1:13" x14ac:dyDescent="0.2">
      <c r="A105" s="407"/>
      <c r="B105" s="4" t="s">
        <v>39</v>
      </c>
      <c r="C105" s="310">
        <v>16.2</v>
      </c>
      <c r="D105" s="310">
        <v>7.8</v>
      </c>
      <c r="E105" s="310">
        <v>12.6</v>
      </c>
      <c r="F105" s="310">
        <v>6.26</v>
      </c>
      <c r="G105" s="181" t="s">
        <v>235</v>
      </c>
      <c r="H105" s="97" t="s">
        <v>236</v>
      </c>
      <c r="J105" s="344" t="str">
        <f>IF(AND(G105=Polarity!L$4,H105=Polarity!L$4),Polarity!L$4,Polarity!L$6)</f>
        <v>Fail</v>
      </c>
      <c r="K105" s="345" t="str">
        <f>IF(J105=Polarity!L$4,B105,"")</f>
        <v/>
      </c>
      <c r="L105" s="346" t="str">
        <f>IF(AND(B105=K105,F105&gt;5),Polarity!L$5,"")</f>
        <v/>
      </c>
      <c r="M105" s="336" t="str">
        <f>IF(AND(H105=Polarity!L$6,G105=Polarity!L$6),Polarity!L$6,"")</f>
        <v/>
      </c>
    </row>
    <row r="106" spans="1:13" x14ac:dyDescent="0.2">
      <c r="B106" s="6" t="s">
        <v>136</v>
      </c>
      <c r="C106" s="309">
        <v>15.1</v>
      </c>
      <c r="D106" s="309">
        <v>3.2</v>
      </c>
      <c r="E106" s="309">
        <v>3.2</v>
      </c>
      <c r="F106" s="309">
        <v>9.5399999999999991</v>
      </c>
      <c r="G106" s="97" t="s">
        <v>236</v>
      </c>
      <c r="H106" s="97" t="s">
        <v>236</v>
      </c>
      <c r="J106" s="344" t="str">
        <f>IF(AND(G106=Polarity!L$4,H106=Polarity!L$4),Polarity!L$4,Polarity!L$6)</f>
        <v>Fail</v>
      </c>
      <c r="K106" s="345" t="str">
        <f>IF(J106=Polarity!L$4,B106,"")</f>
        <v/>
      </c>
      <c r="L106" s="346" t="str">
        <f>IF(AND(B106=K106,F106&gt;5),Polarity!L$5,"")</f>
        <v/>
      </c>
      <c r="M106" s="336" t="str">
        <f>IF(AND(H106=Polarity!L$6,G106=Polarity!L$6),Polarity!L$6,"")</f>
        <v>Fail</v>
      </c>
    </row>
    <row r="107" spans="1:13" x14ac:dyDescent="0.2">
      <c r="B107" s="2" t="s">
        <v>151</v>
      </c>
      <c r="C107" s="309">
        <v>15</v>
      </c>
      <c r="D107" s="309">
        <v>1.8</v>
      </c>
      <c r="E107" s="309">
        <v>8.6</v>
      </c>
      <c r="F107" s="309">
        <v>9.65</v>
      </c>
      <c r="G107" s="97" t="s">
        <v>236</v>
      </c>
      <c r="H107" s="97" t="s">
        <v>236</v>
      </c>
      <c r="J107" s="344" t="str">
        <f>IF(AND(G107=Polarity!L$4,H107=Polarity!L$4),Polarity!L$4,Polarity!L$6)</f>
        <v>Fail</v>
      </c>
      <c r="K107" s="345" t="str">
        <f>IF(J107=Polarity!L$4,B107,"")</f>
        <v/>
      </c>
      <c r="L107" s="346" t="str">
        <f>IF(AND(B107=K107,F107&gt;5),Polarity!L$5,"")</f>
        <v/>
      </c>
      <c r="M107" s="336" t="str">
        <f>IF(AND(H107=Polarity!L$6,G107=Polarity!L$6),Polarity!L$6,"")</f>
        <v>Fail</v>
      </c>
    </row>
    <row r="108" spans="1:13" x14ac:dyDescent="0.2">
      <c r="B108" s="6" t="s">
        <v>90</v>
      </c>
      <c r="C108" s="312">
        <v>15.5</v>
      </c>
      <c r="D108" s="312">
        <v>8.6</v>
      </c>
      <c r="E108" s="312">
        <v>9.6999999999999993</v>
      </c>
      <c r="F108" s="312">
        <v>5.43</v>
      </c>
      <c r="G108" s="181" t="s">
        <v>235</v>
      </c>
      <c r="H108" s="97" t="s">
        <v>236</v>
      </c>
      <c r="J108" s="344" t="str">
        <f>IF(AND(G108=Polarity!L$4,H108=Polarity!L$4),Polarity!L$4,Polarity!L$6)</f>
        <v>Fail</v>
      </c>
      <c r="K108" s="345" t="str">
        <f>IF(J108=Polarity!L$4,B108,"")</f>
        <v/>
      </c>
      <c r="L108" s="346" t="str">
        <f>IF(AND(B108=K108,F108&gt;5),Polarity!L$5,"")</f>
        <v/>
      </c>
      <c r="M108" s="336" t="str">
        <f>IF(AND(H108=Polarity!L$6,G108=Polarity!L$6),Polarity!L$6,"")</f>
        <v/>
      </c>
    </row>
    <row r="109" spans="1:13" x14ac:dyDescent="0.2">
      <c r="B109" s="2" t="s">
        <v>137</v>
      </c>
      <c r="C109" s="309">
        <v>15.2</v>
      </c>
      <c r="D109" s="309">
        <v>6.1</v>
      </c>
      <c r="E109" s="309">
        <v>5.7</v>
      </c>
      <c r="F109" s="309">
        <f>((4*((C109-18)^2)+((D109-9.3)^2)+((E109-7.7)^2))^0.5)</f>
        <v>6.7527772064536542</v>
      </c>
      <c r="G109" s="97" t="s">
        <v>236</v>
      </c>
      <c r="H109" s="97" t="s">
        <v>236</v>
      </c>
      <c r="J109" s="344" t="str">
        <f>IF(AND(G109=Polarity!L$4,H109=Polarity!L$4),Polarity!L$4,Polarity!L$6)</f>
        <v>Fail</v>
      </c>
      <c r="K109" s="345" t="str">
        <f>IF(J109=Polarity!L$4,B109,"")</f>
        <v/>
      </c>
      <c r="L109" s="346" t="str">
        <f>IF(AND(B109=K109,F109&gt;5),Polarity!L$5,"")</f>
        <v/>
      </c>
      <c r="M109" s="336" t="str">
        <f>IF(AND(H109=Polarity!L$6,G109=Polarity!L$6),Polarity!L$6,"")</f>
        <v>Fail</v>
      </c>
    </row>
    <row r="110" spans="1:13" x14ac:dyDescent="0.2">
      <c r="A110" s="407"/>
      <c r="B110" s="2" t="s">
        <v>129</v>
      </c>
      <c r="C110" s="311">
        <v>16.100000000000001</v>
      </c>
      <c r="D110" s="311">
        <v>7.7</v>
      </c>
      <c r="E110" s="311">
        <v>8.3000000000000007</v>
      </c>
      <c r="F110" s="311">
        <v>4.17</v>
      </c>
      <c r="G110" s="98" t="s">
        <v>235</v>
      </c>
      <c r="H110" s="97" t="s">
        <v>236</v>
      </c>
      <c r="J110" s="344" t="str">
        <f>IF(AND(G110=Polarity!L$4,H110=Polarity!L$4),Polarity!L$4,Polarity!L$6)</f>
        <v>Fail</v>
      </c>
      <c r="K110" s="345" t="str">
        <f>IF(J110=Polarity!L$4,B110,"")</f>
        <v/>
      </c>
      <c r="L110" s="346" t="str">
        <f>IF(AND(B110=K110,F110&gt;5),Polarity!L$5,"")</f>
        <v/>
      </c>
      <c r="M110" s="336" t="str">
        <f>IF(AND(H110=Polarity!L$6,G110=Polarity!L$6),Polarity!L$6,"")</f>
        <v/>
      </c>
    </row>
    <row r="111" spans="1:13" x14ac:dyDescent="0.2">
      <c r="A111" s="407"/>
      <c r="B111" s="31" t="s">
        <v>331</v>
      </c>
      <c r="C111" s="311">
        <v>17.600000000000001</v>
      </c>
      <c r="D111" s="311">
        <v>7.1</v>
      </c>
      <c r="E111" s="311">
        <v>7.5</v>
      </c>
      <c r="F111" s="311">
        <v>2.35</v>
      </c>
      <c r="G111" s="98" t="s">
        <v>235</v>
      </c>
      <c r="H111" s="100" t="s">
        <v>237</v>
      </c>
      <c r="J111" s="344" t="str">
        <f>IF(AND(G111=Polarity!L$4,H111=Polarity!L$4),Polarity!L$4,Polarity!L$6)</f>
        <v>Fail</v>
      </c>
      <c r="K111" s="345" t="str">
        <f>IF(J111=Polarity!L$4,B111,"")</f>
        <v/>
      </c>
      <c r="L111" s="346" t="str">
        <f>IF(AND(B111=K111,F111&gt;5),Polarity!L$5,"")</f>
        <v/>
      </c>
      <c r="M111" s="336" t="str">
        <f>IF(AND(H111=Polarity!L$6,G111=Polarity!L$6),Polarity!L$6,"")</f>
        <v/>
      </c>
    </row>
    <row r="112" spans="1:13" x14ac:dyDescent="0.2">
      <c r="A112" s="407"/>
      <c r="B112" s="6" t="s">
        <v>130</v>
      </c>
      <c r="C112" s="311">
        <v>18.600000000000001</v>
      </c>
      <c r="D112" s="311">
        <v>10.8</v>
      </c>
      <c r="E112" s="311">
        <v>4.9000000000000004</v>
      </c>
      <c r="F112" s="311">
        <v>3.4</v>
      </c>
      <c r="G112" s="98" t="s">
        <v>235</v>
      </c>
      <c r="H112" s="100" t="s">
        <v>237</v>
      </c>
      <c r="J112" s="344" t="str">
        <f>IF(AND(G112=Polarity!L$4,H112=Polarity!L$4),Polarity!L$4,Polarity!L$6)</f>
        <v>Fail</v>
      </c>
      <c r="K112" s="345" t="str">
        <f>IF(J112=Polarity!L$4,B112,"")</f>
        <v/>
      </c>
      <c r="L112" s="346" t="str">
        <f>IF(AND(B112=K112,F112&gt;5),Polarity!L$5,"")</f>
        <v/>
      </c>
      <c r="M112" s="336" t="str">
        <f>IF(AND(H112=Polarity!L$6,G112=Polarity!L$6),Polarity!L$6,"")</f>
        <v/>
      </c>
    </row>
    <row r="113" spans="1:13" x14ac:dyDescent="0.2">
      <c r="B113" s="5" t="s">
        <v>210</v>
      </c>
      <c r="C113" s="311">
        <v>16.100000000000001</v>
      </c>
      <c r="D113" s="311">
        <v>6.4</v>
      </c>
      <c r="E113" s="311">
        <v>7.4</v>
      </c>
      <c r="F113" s="311">
        <v>4.79</v>
      </c>
      <c r="G113" s="98" t="s">
        <v>235</v>
      </c>
      <c r="H113" s="97" t="s">
        <v>236</v>
      </c>
      <c r="J113" s="344" t="str">
        <f>IF(AND(G113=Polarity!L$4,H113=Polarity!L$4),Polarity!L$4,Polarity!L$6)</f>
        <v>Fail</v>
      </c>
      <c r="K113" s="345" t="str">
        <f>IF(J113=Polarity!L$4,B113,"")</f>
        <v/>
      </c>
      <c r="L113" s="346" t="str">
        <f>IF(AND(B113=K113,F113&gt;5),Polarity!L$5,"")</f>
        <v/>
      </c>
      <c r="M113" s="336" t="str">
        <f>IF(AND(H113=Polarity!L$6,G113=Polarity!L$6),Polarity!L$6,"")</f>
        <v/>
      </c>
    </row>
    <row r="114" spans="1:13" x14ac:dyDescent="0.2">
      <c r="A114" s="407"/>
      <c r="B114" s="6" t="s">
        <v>208</v>
      </c>
      <c r="C114" s="309">
        <v>18.399999999999999</v>
      </c>
      <c r="D114" s="309">
        <v>16.399999999999999</v>
      </c>
      <c r="E114" s="309">
        <v>10.199999999999999</v>
      </c>
      <c r="F114" s="309">
        <v>7.57</v>
      </c>
      <c r="G114" s="97" t="s">
        <v>236</v>
      </c>
      <c r="H114" s="98" t="s">
        <v>235</v>
      </c>
      <c r="J114" s="344" t="str">
        <f>IF(AND(G114=Polarity!L$4,H114=Polarity!L$4),Polarity!L$4,Polarity!L$6)</f>
        <v>Fail</v>
      </c>
      <c r="K114" s="345" t="str">
        <f>IF(J114=Polarity!L$4,B114,"")</f>
        <v/>
      </c>
      <c r="L114" s="346" t="str">
        <f>IF(AND(B114=K114,F114&gt;5),Polarity!L$5,"")</f>
        <v/>
      </c>
      <c r="M114" s="336" t="str">
        <f>IF(AND(H114=Polarity!L$6,G114=Polarity!L$6),Polarity!L$6,"")</f>
        <v/>
      </c>
    </row>
    <row r="115" spans="1:13" x14ac:dyDescent="0.2">
      <c r="A115" s="407"/>
      <c r="B115" s="2" t="s">
        <v>138</v>
      </c>
      <c r="C115" s="309">
        <v>19.399999999999999</v>
      </c>
      <c r="D115" s="309">
        <v>3.4</v>
      </c>
      <c r="E115" s="309">
        <v>4</v>
      </c>
      <c r="F115" s="309">
        <v>7.51</v>
      </c>
      <c r="G115" s="97" t="s">
        <v>236</v>
      </c>
      <c r="H115" s="98" t="s">
        <v>235</v>
      </c>
      <c r="J115" s="344" t="str">
        <f>IF(AND(G115=Polarity!L$4,H115=Polarity!L$4),Polarity!L$4,Polarity!L$6)</f>
        <v>Fail</v>
      </c>
      <c r="K115" s="345" t="str">
        <f>IF(J115=Polarity!L$4,B115,"")</f>
        <v/>
      </c>
      <c r="L115" s="346" t="str">
        <f>IF(AND(B115=K115,F115&gt;5),Polarity!L$5,"")</f>
        <v/>
      </c>
      <c r="M115" s="336" t="str">
        <f>IF(AND(H115=Polarity!L$6,G115=Polarity!L$6),Polarity!L$6,"")</f>
        <v/>
      </c>
    </row>
    <row r="116" spans="1:13" x14ac:dyDescent="0.2">
      <c r="A116" s="407"/>
      <c r="B116" s="2" t="s">
        <v>53</v>
      </c>
      <c r="C116" s="309">
        <v>16.5</v>
      </c>
      <c r="D116" s="309">
        <v>10.6</v>
      </c>
      <c r="E116" s="309">
        <v>17.7</v>
      </c>
      <c r="F116" s="309">
        <v>10.52</v>
      </c>
      <c r="G116" s="97" t="s">
        <v>236</v>
      </c>
      <c r="H116" s="100" t="s">
        <v>237</v>
      </c>
      <c r="J116" s="344" t="str">
        <f>IF(AND(G116=Polarity!L$4,H116=Polarity!L$4),Polarity!L$4,Polarity!L$6)</f>
        <v>Fail</v>
      </c>
      <c r="K116" s="345" t="str">
        <f>IF(J116=Polarity!L$4,B116,"")</f>
        <v/>
      </c>
      <c r="L116" s="346" t="str">
        <f>IF(AND(B116=K116,F116&gt;5),Polarity!L$5,"")</f>
        <v/>
      </c>
      <c r="M116" s="336" t="str">
        <f>IF(AND(H116=Polarity!L$6,G116=Polarity!L$6),Polarity!L$6,"")</f>
        <v/>
      </c>
    </row>
    <row r="117" spans="1:13" x14ac:dyDescent="0.2">
      <c r="A117" s="407"/>
      <c r="B117" s="4" t="s">
        <v>40</v>
      </c>
      <c r="C117" s="309">
        <v>15.5</v>
      </c>
      <c r="D117" s="309">
        <v>5.7</v>
      </c>
      <c r="E117" s="309">
        <v>11.2</v>
      </c>
      <c r="F117" s="309">
        <v>7.09</v>
      </c>
      <c r="G117" s="97" t="s">
        <v>236</v>
      </c>
      <c r="H117" s="97" t="s">
        <v>236</v>
      </c>
      <c r="J117" s="344" t="str">
        <f>IF(AND(G117=Polarity!L$4,H117=Polarity!L$4),Polarity!L$4,Polarity!L$6)</f>
        <v>Fail</v>
      </c>
      <c r="K117" s="345" t="str">
        <f>IF(J117=Polarity!L$4,B117,"")</f>
        <v/>
      </c>
      <c r="L117" s="346" t="str">
        <f>IF(AND(B117=K117,F117&gt;5),Polarity!L$5,"")</f>
        <v/>
      </c>
      <c r="M117" s="336" t="str">
        <f>IF(AND(H117=Polarity!L$6,G117=Polarity!L$6),Polarity!L$6,"")</f>
        <v>Fail</v>
      </c>
    </row>
    <row r="118" spans="1:13" x14ac:dyDescent="0.2">
      <c r="A118" s="407"/>
      <c r="B118" s="6" t="s">
        <v>161</v>
      </c>
      <c r="C118" s="309">
        <v>17.2</v>
      </c>
      <c r="D118" s="309">
        <v>1.8</v>
      </c>
      <c r="E118" s="309">
        <v>4.3</v>
      </c>
      <c r="F118" s="309">
        <v>8.39</v>
      </c>
      <c r="G118" s="97" t="s">
        <v>236</v>
      </c>
      <c r="H118" s="97" t="s">
        <v>236</v>
      </c>
      <c r="J118" s="344" t="str">
        <f>IF(AND(G118=Polarity!L$4,H118=Polarity!L$4),Polarity!L$4,Polarity!L$6)</f>
        <v>Fail</v>
      </c>
      <c r="K118" s="345" t="str">
        <f>IF(J118=Polarity!L$4,B118,"")</f>
        <v/>
      </c>
      <c r="L118" s="346" t="str">
        <f>IF(AND(B118=K118,F118&gt;5),Polarity!L$5,"")</f>
        <v/>
      </c>
      <c r="M118" s="336" t="str">
        <f>IF(AND(H118=Polarity!L$6,G118=Polarity!L$6),Polarity!L$6,"")</f>
        <v>Fail</v>
      </c>
    </row>
    <row r="119" spans="1:13" x14ac:dyDescent="0.2">
      <c r="B119" s="2" t="s">
        <v>211</v>
      </c>
      <c r="C119" s="312">
        <v>15.7</v>
      </c>
      <c r="D119" s="312">
        <v>6.5</v>
      </c>
      <c r="E119" s="312">
        <v>7.1</v>
      </c>
      <c r="F119" s="312">
        <v>5.42</v>
      </c>
      <c r="G119" s="181" t="s">
        <v>235</v>
      </c>
      <c r="H119" s="97" t="s">
        <v>236</v>
      </c>
      <c r="J119" s="344" t="str">
        <f>IF(AND(G119=Polarity!L$4,H119=Polarity!L$4),Polarity!L$4,Polarity!L$6)</f>
        <v>Fail</v>
      </c>
      <c r="K119" s="345" t="str">
        <f>IF(J119=Polarity!L$4,B119,"")</f>
        <v/>
      </c>
      <c r="L119" s="346" t="str">
        <f>IF(AND(B119=K119,F119&gt;5),Polarity!L$5,"")</f>
        <v/>
      </c>
      <c r="M119" s="336" t="str">
        <f>IF(AND(H119=Polarity!L$6,G119=Polarity!L$6),Polarity!L$6,"")</f>
        <v/>
      </c>
    </row>
    <row r="120" spans="1:13" x14ac:dyDescent="0.2">
      <c r="A120" s="407"/>
      <c r="B120" s="2" t="s">
        <v>25</v>
      </c>
      <c r="C120" s="309">
        <v>15.8</v>
      </c>
      <c r="D120" s="309">
        <v>8.8000000000000007</v>
      </c>
      <c r="E120" s="309">
        <v>19.399999999999999</v>
      </c>
      <c r="F120" s="309">
        <v>12.51</v>
      </c>
      <c r="G120" s="97" t="s">
        <v>236</v>
      </c>
      <c r="H120" s="97" t="s">
        <v>236</v>
      </c>
      <c r="J120" s="344" t="str">
        <f>IF(AND(G120=Polarity!L$4,H120=Polarity!L$4),Polarity!L$4,Polarity!L$6)</f>
        <v>Fail</v>
      </c>
      <c r="K120" s="345" t="str">
        <f>IF(J120=Polarity!L$4,B120,"")</f>
        <v/>
      </c>
      <c r="L120" s="346" t="str">
        <f>IF(AND(B120=K120,F120&gt;5),Polarity!L$5,"")</f>
        <v/>
      </c>
      <c r="M120" s="336" t="str">
        <f>IF(AND(H120=Polarity!L$6,G120=Polarity!L$6),Polarity!L$6,"")</f>
        <v>Fail</v>
      </c>
    </row>
    <row r="121" spans="1:13" x14ac:dyDescent="0.2">
      <c r="A121" s="407"/>
      <c r="B121" s="2" t="s">
        <v>139</v>
      </c>
      <c r="C121" s="310">
        <v>18.399999999999999</v>
      </c>
      <c r="D121" s="310">
        <v>4.5</v>
      </c>
      <c r="E121" s="310">
        <v>4</v>
      </c>
      <c r="F121" s="310">
        <v>6.11</v>
      </c>
      <c r="G121" s="181" t="s">
        <v>235</v>
      </c>
      <c r="H121" s="100" t="s">
        <v>237</v>
      </c>
      <c r="J121" s="344" t="str">
        <f>IF(AND(G121=Polarity!L$4,H121=Polarity!L$4),Polarity!L$4,Polarity!L$6)</f>
        <v>Fail</v>
      </c>
      <c r="K121" s="345" t="str">
        <f>IF(J121=Polarity!L$4,B121,"")</f>
        <v/>
      </c>
      <c r="L121" s="346" t="str">
        <f>IF(AND(B121=K121,F121&gt;5),Polarity!L$5,"")</f>
        <v/>
      </c>
      <c r="M121" s="336" t="str">
        <f>IF(AND(H121=Polarity!L$6,G121=Polarity!L$6),Polarity!L$6,"")</f>
        <v/>
      </c>
    </row>
    <row r="122" spans="1:13" x14ac:dyDescent="0.2">
      <c r="B122" s="6" t="s">
        <v>114</v>
      </c>
      <c r="C122" s="312">
        <v>15.8</v>
      </c>
      <c r="D122" s="312">
        <v>5.3</v>
      </c>
      <c r="E122" s="312">
        <v>7.2</v>
      </c>
      <c r="F122" s="312">
        <v>5.97</v>
      </c>
      <c r="G122" s="181" t="s">
        <v>235</v>
      </c>
      <c r="H122" s="97" t="s">
        <v>236</v>
      </c>
      <c r="J122" s="344" t="str">
        <f>IF(AND(G122=Polarity!L$4,H122=Polarity!L$4),Polarity!L$4,Polarity!L$6)</f>
        <v>Fail</v>
      </c>
      <c r="K122" s="345" t="str">
        <f>IF(J122=Polarity!L$4,B122,"")</f>
        <v/>
      </c>
      <c r="L122" s="346" t="str">
        <f>IF(AND(B122=K122,F122&gt;5),Polarity!L$5,"")</f>
        <v/>
      </c>
      <c r="M122" s="336" t="str">
        <f>IF(AND(H122=Polarity!L$6,G122=Polarity!L$6),Polarity!L$6,"")</f>
        <v/>
      </c>
    </row>
    <row r="123" spans="1:13" x14ac:dyDescent="0.2">
      <c r="B123" s="5" t="s">
        <v>162</v>
      </c>
      <c r="C123" s="309">
        <v>17.8</v>
      </c>
      <c r="D123" s="309">
        <v>0.6</v>
      </c>
      <c r="E123" s="309">
        <v>1.4</v>
      </c>
      <c r="F123" s="309">
        <v>10.7</v>
      </c>
      <c r="G123" s="97" t="s">
        <v>236</v>
      </c>
      <c r="H123" s="97" t="s">
        <v>236</v>
      </c>
      <c r="J123" s="344" t="str">
        <f>IF(AND(G123=Polarity!L$4,H123=Polarity!L$4),Polarity!L$4,Polarity!L$6)</f>
        <v>Fail</v>
      </c>
      <c r="K123" s="345" t="str">
        <f>IF(J123=Polarity!L$4,B123,"")</f>
        <v/>
      </c>
      <c r="L123" s="346" t="str">
        <f>IF(AND(B123=K123,F123&gt;5),Polarity!L$5,"")</f>
        <v/>
      </c>
      <c r="M123" s="336" t="str">
        <f>IF(AND(H123=Polarity!L$6,G123=Polarity!L$6),Polarity!L$6,"")</f>
        <v>Fail</v>
      </c>
    </row>
    <row r="124" spans="1:13" x14ac:dyDescent="0.2">
      <c r="A124" s="407"/>
      <c r="B124" s="3" t="s">
        <v>115</v>
      </c>
      <c r="C124" s="309">
        <v>15.5</v>
      </c>
      <c r="D124" s="309">
        <v>5.6</v>
      </c>
      <c r="E124" s="309">
        <v>5</v>
      </c>
      <c r="F124" s="309">
        <v>6.78</v>
      </c>
      <c r="G124" s="97" t="s">
        <v>236</v>
      </c>
      <c r="H124" s="97" t="s">
        <v>236</v>
      </c>
      <c r="J124" s="344" t="str">
        <f>IF(AND(G124=Polarity!L$4,H124=Polarity!L$4),Polarity!L$4,Polarity!L$6)</f>
        <v>Fail</v>
      </c>
      <c r="K124" s="345" t="str">
        <f>IF(J124=Polarity!L$4,B124,"")</f>
        <v/>
      </c>
      <c r="L124" s="346" t="str">
        <f>IF(AND(B124=K124,F124&gt;5),Polarity!L$5,"")</f>
        <v/>
      </c>
      <c r="M124" s="336" t="str">
        <f>IF(AND(H124=Polarity!L$6,G124=Polarity!L$6),Polarity!L$6,"")</f>
        <v>Fail</v>
      </c>
    </row>
    <row r="125" spans="1:13" x14ac:dyDescent="0.2">
      <c r="B125" s="2" t="s">
        <v>116</v>
      </c>
      <c r="C125" s="312">
        <v>15.5</v>
      </c>
      <c r="D125" s="312">
        <v>8.4</v>
      </c>
      <c r="E125" s="312">
        <v>8.4</v>
      </c>
      <c r="F125" s="312">
        <v>5.13</v>
      </c>
      <c r="G125" s="181" t="s">
        <v>235</v>
      </c>
      <c r="H125" s="97" t="s">
        <v>236</v>
      </c>
      <c r="J125" s="344" t="str">
        <f>IF(AND(G125=Polarity!L$4,H125=Polarity!L$4),Polarity!L$4,Polarity!L$6)</f>
        <v>Fail</v>
      </c>
      <c r="K125" s="345" t="str">
        <f>IF(J125=Polarity!L$4,B125,"")</f>
        <v/>
      </c>
      <c r="L125" s="346" t="str">
        <f>IF(AND(B125=K125,F125&gt;5),Polarity!L$5,"")</f>
        <v/>
      </c>
      <c r="M125" s="336" t="str">
        <f>IF(AND(H125=Polarity!L$6,G125=Polarity!L$6),Polarity!L$6,"")</f>
        <v/>
      </c>
    </row>
    <row r="126" spans="1:13" x14ac:dyDescent="0.2">
      <c r="A126" s="407"/>
      <c r="B126" s="6" t="s">
        <v>41</v>
      </c>
      <c r="C126" s="310">
        <v>16</v>
      </c>
      <c r="D126" s="310">
        <v>7.6</v>
      </c>
      <c r="E126" s="310">
        <v>12.5</v>
      </c>
      <c r="F126" s="310">
        <v>6.48</v>
      </c>
      <c r="G126" s="181" t="s">
        <v>235</v>
      </c>
      <c r="H126" s="97" t="s">
        <v>236</v>
      </c>
      <c r="J126" s="344" t="str">
        <f>IF(AND(G126=Polarity!L$4,H126=Polarity!L$4),Polarity!L$4,Polarity!L$6)</f>
        <v>Fail</v>
      </c>
      <c r="K126" s="345" t="str">
        <f>IF(J126=Polarity!L$4,B126,"")</f>
        <v/>
      </c>
      <c r="L126" s="346" t="str">
        <f>IF(AND(B126=K126,F126&gt;5),Polarity!L$5,"")</f>
        <v/>
      </c>
      <c r="M126" s="336" t="str">
        <f>IF(AND(H126=Polarity!L$6,G126=Polarity!L$6),Polarity!L$6,"")</f>
        <v/>
      </c>
    </row>
    <row r="127" spans="1:13" x14ac:dyDescent="0.2">
      <c r="A127" s="407"/>
      <c r="B127" s="3" t="s">
        <v>76</v>
      </c>
      <c r="C127" s="311">
        <v>17.7</v>
      </c>
      <c r="D127" s="311">
        <v>5</v>
      </c>
      <c r="E127" s="311">
        <v>6.6</v>
      </c>
      <c r="F127" s="311">
        <v>4.4800000000000004</v>
      </c>
      <c r="G127" s="98" t="s">
        <v>235</v>
      </c>
      <c r="H127" s="100" t="s">
        <v>237</v>
      </c>
      <c r="J127" s="344" t="str">
        <f>IF(AND(G127=Polarity!L$4,H127=Polarity!L$4),Polarity!L$4,Polarity!L$6)</f>
        <v>Fail</v>
      </c>
      <c r="K127" s="345" t="str">
        <f>IF(J127=Polarity!L$4,B127,"")</f>
        <v/>
      </c>
      <c r="L127" s="346" t="str">
        <f>IF(AND(B127=K127,F127&gt;5),Polarity!L$5,"")</f>
        <v/>
      </c>
      <c r="M127" s="336" t="str">
        <f>IF(AND(H127=Polarity!L$6,G127=Polarity!L$6),Polarity!L$6,"")</f>
        <v/>
      </c>
    </row>
    <row r="128" spans="1:13" x14ac:dyDescent="0.2">
      <c r="B128" s="3" t="s">
        <v>117</v>
      </c>
      <c r="C128" s="310">
        <v>15.5</v>
      </c>
      <c r="D128" s="310">
        <v>6.1</v>
      </c>
      <c r="E128" s="310">
        <v>4.9000000000000004</v>
      </c>
      <c r="F128" s="310">
        <v>6.56</v>
      </c>
      <c r="G128" s="181" t="s">
        <v>235</v>
      </c>
      <c r="H128" s="97" t="s">
        <v>236</v>
      </c>
      <c r="J128" s="344" t="str">
        <f>IF(AND(G128=Polarity!L$4,H128=Polarity!L$4),Polarity!L$4,Polarity!L$6)</f>
        <v>Fail</v>
      </c>
      <c r="K128" s="345" t="str">
        <f>IF(J128=Polarity!L$4,B128,"")</f>
        <v/>
      </c>
      <c r="L128" s="346" t="str">
        <f>IF(AND(B128=K128,F128&gt;5),Polarity!L$5,"")</f>
        <v/>
      </c>
      <c r="M128" s="336" t="str">
        <f>IF(AND(H128=Polarity!L$6,G128=Polarity!L$6),Polarity!L$6,"")</f>
        <v/>
      </c>
    </row>
    <row r="129" spans="1:13" x14ac:dyDescent="0.2">
      <c r="A129" s="407"/>
      <c r="B129" s="6" t="s">
        <v>54</v>
      </c>
      <c r="C129" s="309">
        <v>17</v>
      </c>
      <c r="D129" s="309">
        <v>11</v>
      </c>
      <c r="E129" s="309">
        <v>26</v>
      </c>
      <c r="F129" s="309">
        <v>18.489999999999998</v>
      </c>
      <c r="G129" s="97" t="s">
        <v>236</v>
      </c>
      <c r="H129" s="97" t="s">
        <v>236</v>
      </c>
      <c r="J129" s="344" t="str">
        <f>IF(AND(G129=Polarity!L$4,H129=Polarity!L$4),Polarity!L$4,Polarity!L$6)</f>
        <v>Fail</v>
      </c>
      <c r="K129" s="345" t="str">
        <f>IF(J129=Polarity!L$4,B129,"")</f>
        <v/>
      </c>
      <c r="L129" s="346" t="str">
        <f>IF(AND(B129=K129,F129&gt;5),Polarity!L$5,"")</f>
        <v/>
      </c>
      <c r="M129" s="336" t="str">
        <f>IF(AND(H129=Polarity!L$6,G129=Polarity!L$6),Polarity!L$6,"")</f>
        <v>Fail</v>
      </c>
    </row>
    <row r="130" spans="1:13" x14ac:dyDescent="0.2">
      <c r="A130" s="407"/>
      <c r="B130" s="4" t="s">
        <v>152</v>
      </c>
      <c r="C130" s="309">
        <v>15.7</v>
      </c>
      <c r="D130" s="309">
        <v>4.5</v>
      </c>
      <c r="E130" s="309">
        <v>4.2</v>
      </c>
      <c r="F130" s="309">
        <v>7.51</v>
      </c>
      <c r="G130" s="97" t="s">
        <v>236</v>
      </c>
      <c r="H130" s="100" t="s">
        <v>237</v>
      </c>
      <c r="J130" s="344" t="str">
        <f>IF(AND(G130=Polarity!L$4,H130=Polarity!L$4),Polarity!L$4,Polarity!L$6)</f>
        <v>Fail</v>
      </c>
      <c r="K130" s="345" t="str">
        <f>IF(J130=Polarity!L$4,B130,"")</f>
        <v/>
      </c>
      <c r="L130" s="346" t="str">
        <f>IF(AND(B130=K130,F130&gt;5),Polarity!L$5,"")</f>
        <v/>
      </c>
      <c r="M130" s="336" t="str">
        <f>IF(AND(H130=Polarity!L$6,G130=Polarity!L$6),Polarity!L$6,"")</f>
        <v/>
      </c>
    </row>
    <row r="131" spans="1:13" x14ac:dyDescent="0.2">
      <c r="A131" s="407"/>
      <c r="B131" s="4" t="s">
        <v>153</v>
      </c>
      <c r="C131" s="309">
        <v>15.4</v>
      </c>
      <c r="D131" s="309">
        <v>5.4</v>
      </c>
      <c r="E131" s="309">
        <v>5.2</v>
      </c>
      <c r="F131" s="309">
        <v>6.96</v>
      </c>
      <c r="G131" s="97" t="s">
        <v>236</v>
      </c>
      <c r="H131" s="100" t="s">
        <v>237</v>
      </c>
      <c r="J131" s="344" t="str">
        <f>IF(AND(G131=Polarity!L$4,H131=Polarity!L$4),Polarity!L$4,Polarity!L$6)</f>
        <v>Fail</v>
      </c>
      <c r="K131" s="345" t="str">
        <f>IF(J131=Polarity!L$4,B131,"")</f>
        <v/>
      </c>
      <c r="L131" s="346" t="str">
        <f>IF(AND(B131=K131,F131&gt;5),Polarity!L$5,"")</f>
        <v/>
      </c>
      <c r="M131" s="336" t="str">
        <f>IF(AND(H131=Polarity!L$6,G131=Polarity!L$6),Polarity!L$6,"")</f>
        <v/>
      </c>
    </row>
    <row r="132" spans="1:13" x14ac:dyDescent="0.2">
      <c r="A132" s="407"/>
      <c r="B132" s="2" t="s">
        <v>77</v>
      </c>
      <c r="C132" s="309">
        <v>16.600000000000001</v>
      </c>
      <c r="D132" s="309">
        <v>8.8000000000000007</v>
      </c>
      <c r="E132" s="309">
        <v>17</v>
      </c>
      <c r="F132" s="309">
        <v>9.73</v>
      </c>
      <c r="G132" s="97" t="s">
        <v>236</v>
      </c>
      <c r="H132" s="100" t="s">
        <v>237</v>
      </c>
      <c r="J132" s="344" t="str">
        <f>IF(AND(G132=Polarity!L$4,H132=Polarity!L$4),Polarity!L$4,Polarity!L$6)</f>
        <v>Fail</v>
      </c>
      <c r="K132" s="345" t="str">
        <f>IF(J132=Polarity!L$4,B132,"")</f>
        <v/>
      </c>
      <c r="L132" s="346" t="str">
        <f>IF(AND(B132=K132,F132&gt;5),Polarity!L$5,"")</f>
        <v/>
      </c>
      <c r="M132" s="336" t="str">
        <f>IF(AND(H132=Polarity!L$6,G132=Polarity!L$6),Polarity!L$6,"")</f>
        <v/>
      </c>
    </row>
    <row r="133" spans="1:13" x14ac:dyDescent="0.2">
      <c r="A133" s="407"/>
      <c r="B133" s="2" t="s">
        <v>59</v>
      </c>
      <c r="C133" s="312">
        <v>19</v>
      </c>
      <c r="D133" s="312">
        <v>7.5</v>
      </c>
      <c r="E133" s="312">
        <v>13</v>
      </c>
      <c r="F133" s="312">
        <v>5.94</v>
      </c>
      <c r="G133" s="181" t="s">
        <v>235</v>
      </c>
      <c r="H133" s="97" t="s">
        <v>236</v>
      </c>
      <c r="J133" s="344" t="str">
        <f>IF(AND(G133=Polarity!L$4,H133=Polarity!L$4),Polarity!L$4,Polarity!L$6)</f>
        <v>Fail</v>
      </c>
      <c r="K133" s="345" t="str">
        <f>IF(J133=Polarity!L$4,B133,"")</f>
        <v/>
      </c>
      <c r="L133" s="346" t="str">
        <f>IF(AND(B133=K133,F133&gt;5),Polarity!L$5,"")</f>
        <v/>
      </c>
      <c r="M133" s="336" t="str">
        <f>IF(AND(H133=Polarity!L$6,G133=Polarity!L$6),Polarity!L$6,"")</f>
        <v/>
      </c>
    </row>
    <row r="134" spans="1:13" x14ac:dyDescent="0.2">
      <c r="B134" s="6" t="s">
        <v>67</v>
      </c>
      <c r="C134" s="309">
        <v>17.2</v>
      </c>
      <c r="D134" s="309">
        <v>26.2</v>
      </c>
      <c r="E134" s="309">
        <v>19</v>
      </c>
      <c r="F134" s="309">
        <v>20.39</v>
      </c>
      <c r="G134" s="97" t="s">
        <v>236</v>
      </c>
      <c r="H134" s="97" t="s">
        <v>236</v>
      </c>
      <c r="J134" s="344" t="str">
        <f>IF(AND(G134=Polarity!L$4,H134=Polarity!L$4),Polarity!L$4,Polarity!L$6)</f>
        <v>Fail</v>
      </c>
      <c r="K134" s="345" t="str">
        <f>IF(J134=Polarity!L$4,B134,"")</f>
        <v/>
      </c>
      <c r="L134" s="346" t="str">
        <f>IF(AND(B134=K134,F134&gt;5),Polarity!L$5,"")</f>
        <v/>
      </c>
      <c r="M134" s="336" t="str">
        <f>IF(AND(H134=Polarity!L$6,G134=Polarity!L$6),Polarity!L$6,"")</f>
        <v>Fail</v>
      </c>
    </row>
    <row r="135" spans="1:13" x14ac:dyDescent="0.2">
      <c r="A135" s="407"/>
      <c r="B135" s="4" t="s">
        <v>3</v>
      </c>
      <c r="C135" s="309">
        <v>14.6</v>
      </c>
      <c r="D135" s="309">
        <v>10</v>
      </c>
      <c r="E135" s="309">
        <v>14</v>
      </c>
      <c r="F135" s="309">
        <v>9.3000000000000007</v>
      </c>
      <c r="G135" s="97" t="s">
        <v>236</v>
      </c>
      <c r="H135" s="98" t="s">
        <v>235</v>
      </c>
      <c r="J135" s="344" t="str">
        <f>IF(AND(G135=Polarity!L$4,H135=Polarity!L$4),Polarity!L$4,Polarity!L$6)</f>
        <v>Fail</v>
      </c>
      <c r="K135" s="345" t="str">
        <f>IF(J135=Polarity!L$4,B135,"")</f>
        <v/>
      </c>
      <c r="L135" s="346" t="str">
        <f>IF(AND(B135=K135,F135&gt;5),Polarity!L$5,"")</f>
        <v/>
      </c>
      <c r="M135" s="336" t="str">
        <f>IF(AND(H135=Polarity!L$6,G135=Polarity!L$6),Polarity!L$6,"")</f>
        <v/>
      </c>
    </row>
    <row r="136" spans="1:13" x14ac:dyDescent="0.2">
      <c r="B136" s="6" t="s">
        <v>140</v>
      </c>
      <c r="C136" s="309">
        <v>17</v>
      </c>
      <c r="D136" s="309">
        <v>1.8</v>
      </c>
      <c r="E136" s="309">
        <v>5.3</v>
      </c>
      <c r="F136" s="309">
        <v>8.1199999999999992</v>
      </c>
      <c r="G136" s="97" t="s">
        <v>236</v>
      </c>
      <c r="H136" s="100" t="s">
        <v>237</v>
      </c>
      <c r="J136" s="344" t="str">
        <f>IF(AND(G136=Polarity!L$4,H136=Polarity!L$4),Polarity!L$4,Polarity!L$6)</f>
        <v>Fail</v>
      </c>
      <c r="K136" s="345" t="str">
        <f>IF(J136=Polarity!L$4,B136,"")</f>
        <v/>
      </c>
      <c r="L136" s="346" t="str">
        <f>IF(AND(B136=K136,F136&gt;5),Polarity!L$5,"")</f>
        <v/>
      </c>
      <c r="M136" s="336" t="str">
        <f>IF(AND(H136=Polarity!L$6,G136=Polarity!L$6),Polarity!L$6,"")</f>
        <v/>
      </c>
    </row>
    <row r="137" spans="1:13" x14ac:dyDescent="0.2">
      <c r="A137" s="407"/>
      <c r="B137" s="2" t="s">
        <v>65</v>
      </c>
      <c r="C137" s="310">
        <v>18.600000000000001</v>
      </c>
      <c r="D137" s="310">
        <v>14.9</v>
      </c>
      <c r="E137" s="310">
        <v>5.0999999999999996</v>
      </c>
      <c r="F137" s="310">
        <v>6.29</v>
      </c>
      <c r="G137" s="181" t="s">
        <v>235</v>
      </c>
      <c r="H137" s="98" t="s">
        <v>235</v>
      </c>
      <c r="J137" s="344" t="str">
        <f>IF(AND(G137=Polarity!L$4,H137=Polarity!L$4),Polarity!L$4,Polarity!L$6)</f>
        <v>Pass</v>
      </c>
      <c r="K137" s="345" t="str">
        <f>IF(J137=Polarity!L$4,B137,"")</f>
        <v>Furfural</v>
      </c>
      <c r="L137" s="346" t="str">
        <f>IF(AND(B137=K137,F137&gt;5),Polarity!L$5,"")</f>
        <v>Borderline (still considered a pass)</v>
      </c>
      <c r="M137" s="336" t="str">
        <f>IF(AND(H137=Polarity!L$6,G137=Polarity!L$6),Polarity!L$6,"")</f>
        <v/>
      </c>
    </row>
    <row r="138" spans="1:13" x14ac:dyDescent="0.2">
      <c r="A138" s="407"/>
      <c r="B138" s="6" t="s">
        <v>42</v>
      </c>
      <c r="C138" s="309">
        <v>17.399999999999999</v>
      </c>
      <c r="D138" s="309">
        <v>7.6</v>
      </c>
      <c r="E138" s="309">
        <v>15.1</v>
      </c>
      <c r="F138" s="309">
        <v>7.69</v>
      </c>
      <c r="G138" s="97" t="s">
        <v>236</v>
      </c>
      <c r="H138" s="98" t="s">
        <v>235</v>
      </c>
      <c r="J138" s="344" t="str">
        <f>IF(AND(G138=Polarity!L$4,H138=Polarity!L$4),Polarity!L$4,Polarity!L$6)</f>
        <v>Fail</v>
      </c>
      <c r="K138" s="345" t="str">
        <f>IF(J138=Polarity!L$4,B138,"")</f>
        <v/>
      </c>
      <c r="L138" s="346" t="str">
        <f>IF(AND(B138=K138,F138&gt;5),Polarity!L$5,"")</f>
        <v/>
      </c>
      <c r="M138" s="336" t="str">
        <f>IF(AND(H138=Polarity!L$6,G138=Polarity!L$6),Polarity!L$6,"")</f>
        <v/>
      </c>
    </row>
    <row r="139" spans="1:13" x14ac:dyDescent="0.2">
      <c r="A139" s="407"/>
      <c r="B139" s="6" t="s">
        <v>55</v>
      </c>
      <c r="C139" s="309">
        <v>17.399999999999999</v>
      </c>
      <c r="D139" s="309">
        <v>11.3</v>
      </c>
      <c r="E139" s="309">
        <v>27.2</v>
      </c>
      <c r="F139" s="309">
        <v>19.64</v>
      </c>
      <c r="G139" s="97" t="s">
        <v>236</v>
      </c>
      <c r="H139" s="97" t="s">
        <v>236</v>
      </c>
      <c r="J139" s="344" t="str">
        <f>IF(AND(G139=Polarity!L$4,H139=Polarity!L$4),Polarity!L$4,Polarity!L$6)</f>
        <v>Fail</v>
      </c>
      <c r="K139" s="345" t="str">
        <f>IF(J139=Polarity!L$4,B139,"")</f>
        <v/>
      </c>
      <c r="L139" s="346" t="str">
        <f>IF(AND(B139=K139,F139&gt;5),Polarity!L$5,"")</f>
        <v/>
      </c>
      <c r="M139" s="336" t="str">
        <f>IF(AND(H139=Polarity!L$6,G139=Polarity!L$6),Polarity!L$6,"")</f>
        <v>Fail</v>
      </c>
    </row>
    <row r="140" spans="1:13" x14ac:dyDescent="0.2">
      <c r="A140" s="407"/>
      <c r="B140" s="2" t="s">
        <v>43</v>
      </c>
      <c r="C140" s="309">
        <v>17.899999999999999</v>
      </c>
      <c r="D140" s="309">
        <v>25.5</v>
      </c>
      <c r="E140" s="309">
        <v>17.399999999999999</v>
      </c>
      <c r="F140" s="309">
        <v>18.88</v>
      </c>
      <c r="G140" s="97" t="s">
        <v>236</v>
      </c>
      <c r="H140" s="100" t="s">
        <v>237</v>
      </c>
      <c r="J140" s="344" t="str">
        <f>IF(AND(G140=Polarity!L$4,H140=Polarity!L$4),Polarity!L$4,Polarity!L$6)</f>
        <v>Fail</v>
      </c>
      <c r="K140" s="345" t="str">
        <f>IF(J140=Polarity!L$4,B140,"")</f>
        <v/>
      </c>
      <c r="L140" s="346" t="str">
        <f>IF(AND(B140=K140,F140&gt;5),Polarity!L$5,"")</f>
        <v/>
      </c>
      <c r="M140" s="336" t="str">
        <f>IF(AND(H140=Polarity!L$6,G140=Polarity!L$6),Polarity!L$6,"")</f>
        <v/>
      </c>
    </row>
    <row r="141" spans="1:13" x14ac:dyDescent="0.2">
      <c r="A141" s="407"/>
      <c r="B141" s="3" t="s">
        <v>4</v>
      </c>
      <c r="C141" s="310">
        <v>16.100000000000001</v>
      </c>
      <c r="D141" s="310">
        <v>5.2</v>
      </c>
      <c r="E141" s="310">
        <v>10.3</v>
      </c>
      <c r="F141" s="310">
        <v>6.17</v>
      </c>
      <c r="G141" s="181" t="s">
        <v>235</v>
      </c>
      <c r="H141" s="100" t="s">
        <v>237</v>
      </c>
      <c r="J141" s="344" t="str">
        <f>IF(AND(G141=Polarity!L$4,H141=Polarity!L$4),Polarity!L$4,Polarity!L$6)</f>
        <v>Fail</v>
      </c>
      <c r="K141" s="345" t="str">
        <f>IF(J141=Polarity!L$4,B141,"")</f>
        <v/>
      </c>
      <c r="L141" s="346" t="str">
        <f>IF(AND(B141=K141,F141&gt;5),Polarity!L$5,"")</f>
        <v/>
      </c>
      <c r="M141" s="336" t="str">
        <f>IF(AND(H141=Polarity!L$6,G141=Polarity!L$6),Polarity!L$6,"")</f>
        <v/>
      </c>
    </row>
    <row r="142" spans="1:13" x14ac:dyDescent="0.2">
      <c r="B142" s="2" t="s">
        <v>205</v>
      </c>
      <c r="C142" s="309">
        <v>12.6</v>
      </c>
      <c r="D142" s="309">
        <v>2</v>
      </c>
      <c r="E142" s="309">
        <v>0</v>
      </c>
      <c r="F142" s="309">
        <v>15.14</v>
      </c>
      <c r="G142" s="97" t="s">
        <v>236</v>
      </c>
      <c r="H142" s="97" t="s">
        <v>236</v>
      </c>
      <c r="J142" s="344" t="str">
        <f>IF(AND(G142=Polarity!L$4,H142=Polarity!L$4),Polarity!L$4,Polarity!L$6)</f>
        <v>Fail</v>
      </c>
      <c r="K142" s="345" t="str">
        <f>IF(J142=Polarity!L$4,B142,"")</f>
        <v/>
      </c>
      <c r="L142" s="346" t="str">
        <f>IF(AND(B142=K142,F142&gt;5),Polarity!L$5,"")</f>
        <v/>
      </c>
      <c r="M142" s="336" t="str">
        <f>IF(AND(H142=Polarity!L$6,G142=Polarity!L$6),Polarity!L$6,"")</f>
        <v>Fail</v>
      </c>
    </row>
    <row r="143" spans="1:13" x14ac:dyDescent="0.2">
      <c r="A143" s="407"/>
      <c r="B143" s="6" t="s">
        <v>118</v>
      </c>
      <c r="C143" s="309">
        <v>15.3</v>
      </c>
      <c r="D143" s="309">
        <v>3.1</v>
      </c>
      <c r="E143" s="309">
        <v>7</v>
      </c>
      <c r="F143" s="309">
        <v>8.25</v>
      </c>
      <c r="G143" s="97" t="s">
        <v>236</v>
      </c>
      <c r="H143" s="100" t="s">
        <v>237</v>
      </c>
      <c r="J143" s="344" t="str">
        <f>IF(AND(G143=Polarity!L$4,H143=Polarity!L$4),Polarity!L$4,Polarity!L$6)</f>
        <v>Fail</v>
      </c>
      <c r="K143" s="345" t="str">
        <f>IF(J143=Polarity!L$4,B143,"")</f>
        <v/>
      </c>
      <c r="L143" s="346" t="str">
        <f>IF(AND(B143=K143,F143&gt;5),Polarity!L$5,"")</f>
        <v/>
      </c>
      <c r="M143" s="336" t="str">
        <f>IF(AND(H143=Polarity!L$6,G143=Polarity!L$6),Polarity!L$6,"")</f>
        <v/>
      </c>
    </row>
    <row r="144" spans="1:13" x14ac:dyDescent="0.2">
      <c r="A144" s="407"/>
      <c r="B144" s="6" t="s">
        <v>26</v>
      </c>
      <c r="C144" s="309">
        <v>15.8</v>
      </c>
      <c r="D144" s="309">
        <v>5.2</v>
      </c>
      <c r="E144" s="309">
        <v>13.3</v>
      </c>
      <c r="F144" s="309">
        <v>8.2200000000000006</v>
      </c>
      <c r="G144" s="97" t="s">
        <v>236</v>
      </c>
      <c r="H144" s="97" t="s">
        <v>236</v>
      </c>
      <c r="J144" s="344" t="str">
        <f>IF(AND(G144=Polarity!L$4,H144=Polarity!L$4),Polarity!L$4,Polarity!L$6)</f>
        <v>Fail</v>
      </c>
      <c r="K144" s="345" t="str">
        <f>IF(J144=Polarity!L$4,B144,"")</f>
        <v/>
      </c>
      <c r="L144" s="346" t="str">
        <f>IF(AND(B144=K144,F144&gt;5),Polarity!L$5,"")</f>
        <v/>
      </c>
      <c r="M144" s="336" t="str">
        <f>IF(AND(H144=Polarity!L$6,G144=Polarity!L$6),Polarity!L$6,"")</f>
        <v>Fail</v>
      </c>
    </row>
    <row r="145" spans="1:13" x14ac:dyDescent="0.2">
      <c r="A145" s="407"/>
      <c r="B145" s="3" t="s">
        <v>27</v>
      </c>
      <c r="C145" s="309">
        <v>15.1</v>
      </c>
      <c r="D145" s="309">
        <v>5.7</v>
      </c>
      <c r="E145" s="309">
        <v>15.9</v>
      </c>
      <c r="F145" s="309">
        <v>10.67</v>
      </c>
      <c r="G145" s="97" t="s">
        <v>236</v>
      </c>
      <c r="H145" s="97" t="s">
        <v>236</v>
      </c>
      <c r="J145" s="344" t="str">
        <f>IF(AND(G145=Polarity!L$4,H145=Polarity!L$4),Polarity!L$4,Polarity!L$6)</f>
        <v>Fail</v>
      </c>
      <c r="K145" s="345" t="str">
        <f>IF(J145=Polarity!L$4,B145,"")</f>
        <v/>
      </c>
      <c r="L145" s="346" t="str">
        <f>IF(AND(B145=K145,F145&gt;5),Polarity!L$5,"")</f>
        <v/>
      </c>
      <c r="M145" s="336" t="str">
        <f>IF(AND(H145=Polarity!L$6,G145=Polarity!L$6),Polarity!L$6,"")</f>
        <v>Fail</v>
      </c>
    </row>
    <row r="146" spans="1:13" x14ac:dyDescent="0.2">
      <c r="B146" s="6" t="s">
        <v>119</v>
      </c>
      <c r="C146" s="309">
        <v>15.1</v>
      </c>
      <c r="D146" s="309">
        <v>3.7</v>
      </c>
      <c r="E146" s="309">
        <v>6.3</v>
      </c>
      <c r="F146" s="309">
        <v>8.18</v>
      </c>
      <c r="G146" s="97" t="s">
        <v>236</v>
      </c>
      <c r="H146" s="97" t="s">
        <v>236</v>
      </c>
      <c r="J146" s="344" t="str">
        <f>IF(AND(G146=Polarity!L$4,H146=Polarity!L$4),Polarity!L$4,Polarity!L$6)</f>
        <v>Fail</v>
      </c>
      <c r="K146" s="345" t="str">
        <f>IF(J146=Polarity!L$4,B146,"")</f>
        <v/>
      </c>
      <c r="L146" s="346" t="str">
        <f>IF(AND(B146=K146,F146&gt;5),Polarity!L$5,"")</f>
        <v/>
      </c>
      <c r="M146" s="336" t="str">
        <f>IF(AND(H146=Polarity!L$6,G146=Polarity!L$6),Polarity!L$6,"")</f>
        <v>Fail</v>
      </c>
    </row>
    <row r="147" spans="1:13" x14ac:dyDescent="0.2">
      <c r="A147" s="407"/>
      <c r="B147" s="3" t="s">
        <v>60</v>
      </c>
      <c r="C147" s="311">
        <v>18.899999999999999</v>
      </c>
      <c r="D147" s="311">
        <v>5.7</v>
      </c>
      <c r="E147" s="311">
        <v>9.9</v>
      </c>
      <c r="F147" s="311">
        <v>4.59</v>
      </c>
      <c r="G147" s="98" t="s">
        <v>235</v>
      </c>
      <c r="H147" s="97" t="s">
        <v>236</v>
      </c>
      <c r="J147" s="344" t="str">
        <f>IF(AND(G147=Polarity!L$4,H147=Polarity!L$4),Polarity!L$4,Polarity!L$6)</f>
        <v>Fail</v>
      </c>
      <c r="K147" s="345" t="str">
        <f>IF(J147=Polarity!L$4,B147,"")</f>
        <v/>
      </c>
      <c r="L147" s="346" t="str">
        <f>IF(AND(B147=K147,F147&gt;5),Polarity!L$5,"")</f>
        <v/>
      </c>
      <c r="M147" s="336" t="str">
        <f>IF(AND(H147=Polarity!L$6,G147=Polarity!L$6),Polarity!L$6,"")</f>
        <v/>
      </c>
    </row>
    <row r="148" spans="1:13" x14ac:dyDescent="0.2">
      <c r="B148" s="3" t="s">
        <v>163</v>
      </c>
      <c r="C148" s="309">
        <v>14.1</v>
      </c>
      <c r="D148" s="309">
        <v>0</v>
      </c>
      <c r="E148" s="309">
        <v>0</v>
      </c>
      <c r="F148" s="309">
        <v>14.37</v>
      </c>
      <c r="G148" s="97" t="s">
        <v>236</v>
      </c>
      <c r="H148" s="97" t="s">
        <v>236</v>
      </c>
      <c r="J148" s="344" t="str">
        <f>IF(AND(G148=Polarity!L$4,H148=Polarity!L$4),Polarity!L$4,Polarity!L$6)</f>
        <v>Fail</v>
      </c>
      <c r="K148" s="345" t="str">
        <f>IF(J148=Polarity!L$4,B148,"")</f>
        <v/>
      </c>
      <c r="L148" s="346" t="str">
        <f>IF(AND(B148=K148,F148&gt;5),Polarity!L$5,"")</f>
        <v/>
      </c>
      <c r="M148" s="336" t="str">
        <f>IF(AND(H148=Polarity!L$6,G148=Polarity!L$6),Polarity!L$6,"")</f>
        <v>Fail</v>
      </c>
    </row>
    <row r="149" spans="1:13" x14ac:dyDescent="0.2">
      <c r="A149" s="407"/>
      <c r="B149" s="6" t="s">
        <v>120</v>
      </c>
      <c r="C149" s="309">
        <v>14.9</v>
      </c>
      <c r="D149" s="309">
        <v>4.5</v>
      </c>
      <c r="E149" s="309">
        <v>8.1999999999999993</v>
      </c>
      <c r="F149" s="309">
        <v>7.86</v>
      </c>
      <c r="G149" s="97" t="s">
        <v>236</v>
      </c>
      <c r="H149" s="97" t="s">
        <v>236</v>
      </c>
      <c r="J149" s="344" t="str">
        <f>IF(AND(G149=Polarity!L$4,H149=Polarity!L$4),Polarity!L$4,Polarity!L$6)</f>
        <v>Fail</v>
      </c>
      <c r="K149" s="345" t="str">
        <f>IF(J149=Polarity!L$4,B149,"")</f>
        <v/>
      </c>
      <c r="L149" s="346" t="str">
        <f>IF(AND(B149=K149,F149&gt;5),Polarity!L$5,"")</f>
        <v/>
      </c>
      <c r="M149" s="336" t="str">
        <f>IF(AND(H149=Polarity!L$6,G149=Polarity!L$6),Polarity!L$6,"")</f>
        <v>Fail</v>
      </c>
    </row>
    <row r="150" spans="1:13" x14ac:dyDescent="0.2">
      <c r="A150" s="407"/>
      <c r="B150" s="5" t="s">
        <v>5</v>
      </c>
      <c r="C150" s="310">
        <v>16.2</v>
      </c>
      <c r="D150" s="310">
        <v>4.0999999999999996</v>
      </c>
      <c r="E150" s="310">
        <v>7.4</v>
      </c>
      <c r="F150" s="310">
        <v>6.33</v>
      </c>
      <c r="G150" s="181" t="s">
        <v>235</v>
      </c>
      <c r="H150" s="97" t="s">
        <v>236</v>
      </c>
      <c r="J150" s="344" t="str">
        <f>IF(AND(G150=Polarity!L$4,H150=Polarity!L$4),Polarity!L$4,Polarity!L$6)</f>
        <v>Fail</v>
      </c>
      <c r="K150" s="345" t="str">
        <f>IF(J150=Polarity!L$4,B150,"")</f>
        <v/>
      </c>
      <c r="L150" s="346" t="str">
        <f>IF(AND(B150=K150,F150&gt;5),Polarity!L$5,"")</f>
        <v/>
      </c>
      <c r="M150" s="336" t="str">
        <f>IF(AND(H150=Polarity!L$6,G150=Polarity!L$6),Polarity!L$6,"")</f>
        <v/>
      </c>
    </row>
    <row r="151" spans="1:13" x14ac:dyDescent="0.2">
      <c r="A151" s="407"/>
      <c r="B151" s="5" t="s">
        <v>577</v>
      </c>
      <c r="C151" s="429">
        <v>17.100000000000001</v>
      </c>
      <c r="D151" s="429">
        <v>10.4</v>
      </c>
      <c r="E151" s="429">
        <v>13.5</v>
      </c>
      <c r="F151" s="310">
        <v>6.17</v>
      </c>
      <c r="G151" s="430" t="s">
        <v>235</v>
      </c>
      <c r="H151" s="98" t="s">
        <v>235</v>
      </c>
      <c r="J151" s="344" t="str">
        <f>IF(AND(G151=Polarity!L$4,H151=Polarity!L$4),Polarity!L$4,Polarity!L$6)</f>
        <v>Pass</v>
      </c>
      <c r="K151" s="345" t="str">
        <f>IF(J151=Polarity!L$4,B151,"")</f>
        <v>Levulinic acid</v>
      </c>
      <c r="L151" s="346" t="str">
        <f>IF(AND(B151=K151,F151&gt;5),Polarity!L$5,"")</f>
        <v>Borderline (still considered a pass)</v>
      </c>
      <c r="M151" s="336" t="str">
        <f>IF(AND(H151=Polarity!L$6,G151=Polarity!L$6),Polarity!L$6,"")</f>
        <v/>
      </c>
    </row>
    <row r="152" spans="1:13" x14ac:dyDescent="0.2">
      <c r="A152" s="407"/>
      <c r="B152" s="6" t="s">
        <v>61</v>
      </c>
      <c r="C152" s="309">
        <v>18.5</v>
      </c>
      <c r="D152" s="309">
        <v>6.5</v>
      </c>
      <c r="E152" s="309">
        <v>13.7</v>
      </c>
      <c r="F152" s="309">
        <v>6.7</v>
      </c>
      <c r="G152" s="97" t="s">
        <v>236</v>
      </c>
      <c r="H152" s="100" t="s">
        <v>237</v>
      </c>
      <c r="J152" s="344" t="str">
        <f>IF(AND(G152=Polarity!L$4,H152=Polarity!L$4),Polarity!L$4,Polarity!L$6)</f>
        <v>Fail</v>
      </c>
      <c r="K152" s="345" t="str">
        <f>IF(J152=Polarity!L$4,B152,"")</f>
        <v/>
      </c>
      <c r="L152" s="346" t="str">
        <f>IF(AND(B152=K152,F152&gt;5),Polarity!L$5,"")</f>
        <v/>
      </c>
      <c r="M152" s="336" t="str">
        <f>IF(AND(H152=Polarity!L$6,G152=Polarity!L$6),Polarity!L$6,"")</f>
        <v/>
      </c>
    </row>
    <row r="153" spans="1:13" x14ac:dyDescent="0.2">
      <c r="A153" s="407"/>
      <c r="B153" s="2" t="s">
        <v>106</v>
      </c>
      <c r="C153" s="309">
        <v>19.2</v>
      </c>
      <c r="D153" s="309">
        <v>5.0999999999999996</v>
      </c>
      <c r="E153" s="309">
        <v>2.7</v>
      </c>
      <c r="F153" s="309">
        <v>6.96</v>
      </c>
      <c r="G153" s="97" t="s">
        <v>236</v>
      </c>
      <c r="H153" s="98" t="s">
        <v>235</v>
      </c>
      <c r="J153" s="344" t="str">
        <f>IF(AND(G153=Polarity!L$4,H153=Polarity!L$4),Polarity!L$4,Polarity!L$6)</f>
        <v>Fail</v>
      </c>
      <c r="K153" s="345" t="str">
        <f>IF(J153=Polarity!L$4,B153,"")</f>
        <v/>
      </c>
      <c r="L153" s="346" t="str">
        <f>IF(AND(B153=K153,F153&gt;5),Polarity!L$5,"")</f>
        <v/>
      </c>
      <c r="M153" s="336" t="str">
        <f>IF(AND(H153=Polarity!L$6,G153=Polarity!L$6),Polarity!L$6,"")</f>
        <v/>
      </c>
    </row>
    <row r="154" spans="1:13" x14ac:dyDescent="0.2">
      <c r="B154" s="6" t="s">
        <v>164</v>
      </c>
      <c r="C154" s="309">
        <v>18</v>
      </c>
      <c r="D154" s="309">
        <v>0.6</v>
      </c>
      <c r="E154" s="309">
        <v>0.6</v>
      </c>
      <c r="F154" s="309">
        <v>11.23</v>
      </c>
      <c r="G154" s="97" t="s">
        <v>236</v>
      </c>
      <c r="H154" s="97" t="s">
        <v>236</v>
      </c>
      <c r="J154" s="344" t="str">
        <f>IF(AND(G154=Polarity!L$4,H154=Polarity!L$4),Polarity!L$4,Polarity!L$6)</f>
        <v>Fail</v>
      </c>
      <c r="K154" s="345" t="str">
        <f>IF(J154=Polarity!L$4,B154,"")</f>
        <v/>
      </c>
      <c r="L154" s="346" t="str">
        <f>IF(AND(B154=K154,F154&gt;5),Polarity!L$5,"")</f>
        <v/>
      </c>
      <c r="M154" s="336" t="str">
        <f>IF(AND(H154=Polarity!L$6,G154=Polarity!L$6),Polarity!L$6,"")</f>
        <v>Fail</v>
      </c>
    </row>
    <row r="155" spans="1:13" x14ac:dyDescent="0.2">
      <c r="B155" s="6" t="s">
        <v>28</v>
      </c>
      <c r="C155" s="309">
        <v>14.7</v>
      </c>
      <c r="D155" s="309">
        <v>12.3</v>
      </c>
      <c r="E155" s="309">
        <v>22.3</v>
      </c>
      <c r="F155" s="309">
        <v>16.3</v>
      </c>
      <c r="G155" s="97" t="s">
        <v>236</v>
      </c>
      <c r="H155" s="97" t="s">
        <v>236</v>
      </c>
      <c r="J155" s="344" t="str">
        <f>IF(AND(G155=Polarity!L$4,H155=Polarity!L$4),Polarity!L$4,Polarity!L$6)</f>
        <v>Fail</v>
      </c>
      <c r="K155" s="345" t="str">
        <f>IF(J155=Polarity!L$4,B155,"")</f>
        <v/>
      </c>
      <c r="L155" s="346" t="str">
        <f>IF(AND(B155=K155,F155&gt;5),Polarity!L$5,"")</f>
        <v/>
      </c>
      <c r="M155" s="336" t="str">
        <f>IF(AND(H155=Polarity!L$6,G155=Polarity!L$6),Polarity!L$6,"")</f>
        <v>Fail</v>
      </c>
    </row>
    <row r="156" spans="1:13" x14ac:dyDescent="0.2">
      <c r="B156" s="2" t="s">
        <v>121</v>
      </c>
      <c r="C156" s="312">
        <v>15.5</v>
      </c>
      <c r="D156" s="312">
        <v>7.2</v>
      </c>
      <c r="E156" s="312">
        <v>7.6</v>
      </c>
      <c r="F156" s="312">
        <v>5.42</v>
      </c>
      <c r="G156" s="181" t="s">
        <v>235</v>
      </c>
      <c r="H156" s="97" t="s">
        <v>236</v>
      </c>
      <c r="J156" s="344" t="str">
        <f>IF(AND(G156=Polarity!L$4,H156=Polarity!L$4),Polarity!L$4,Polarity!L$6)</f>
        <v>Fail</v>
      </c>
      <c r="K156" s="345" t="str">
        <f>IF(J156=Polarity!L$4,B156,"")</f>
        <v/>
      </c>
      <c r="L156" s="346" t="str">
        <f>IF(AND(B156=K156,F156&gt;5),Polarity!L$5,"")</f>
        <v/>
      </c>
      <c r="M156" s="336" t="str">
        <f>IF(AND(H156=Polarity!L$6,G156=Polarity!L$6),Polarity!L$6,"")</f>
        <v/>
      </c>
    </row>
    <row r="157" spans="1:13" x14ac:dyDescent="0.2">
      <c r="B157" s="4" t="s">
        <v>122</v>
      </c>
      <c r="C157" s="310">
        <v>15.8</v>
      </c>
      <c r="D157" s="310">
        <v>4.9000000000000004</v>
      </c>
      <c r="E157" s="310">
        <v>6.2</v>
      </c>
      <c r="F157" s="310">
        <v>6.4007812023221033</v>
      </c>
      <c r="G157" s="181" t="s">
        <v>235</v>
      </c>
      <c r="H157" s="97" t="s">
        <v>236</v>
      </c>
      <c r="J157" s="344" t="str">
        <f>IF(AND(G157=Polarity!L$4,H157=Polarity!L$4),Polarity!L$4,Polarity!L$6)</f>
        <v>Fail</v>
      </c>
      <c r="K157" s="345" t="str">
        <f>IF(J157=Polarity!L$4,B157,"")</f>
        <v/>
      </c>
      <c r="L157" s="346" t="str">
        <f>IF(AND(B157=K157,F157&gt;5),Polarity!L$5,"")</f>
        <v/>
      </c>
      <c r="M157" s="336" t="str">
        <f>IF(AND(H157=Polarity!L$6,G157=Polarity!L$6),Polarity!L$6,"")</f>
        <v/>
      </c>
    </row>
    <row r="158" spans="1:13" x14ac:dyDescent="0.2">
      <c r="B158" s="6" t="s">
        <v>191</v>
      </c>
      <c r="C158" s="311">
        <v>16</v>
      </c>
      <c r="D158" s="311">
        <v>9</v>
      </c>
      <c r="E158" s="311">
        <v>5.0999999999999996</v>
      </c>
      <c r="F158" s="311">
        <v>4.78</v>
      </c>
      <c r="G158" s="98" t="s">
        <v>235</v>
      </c>
      <c r="H158" s="97" t="s">
        <v>236</v>
      </c>
      <c r="J158" s="344" t="str">
        <f>IF(AND(G158=Polarity!L$4,H158=Polarity!L$4),Polarity!L$4,Polarity!L$6)</f>
        <v>Fail</v>
      </c>
      <c r="K158" s="345" t="str">
        <f>IF(J158=Polarity!L$4,B158,"")</f>
        <v/>
      </c>
      <c r="L158" s="346" t="str">
        <f>IF(AND(B158=K158,F158&gt;5),Polarity!L$5,"")</f>
        <v/>
      </c>
      <c r="M158" s="336" t="str">
        <f>IF(AND(H158=Polarity!L$6,G158=Polarity!L$6),Polarity!L$6,"")</f>
        <v/>
      </c>
    </row>
    <row r="159" spans="1:13" x14ac:dyDescent="0.2">
      <c r="B159" s="6" t="s">
        <v>123</v>
      </c>
      <c r="C159" s="312">
        <v>15.3</v>
      </c>
      <c r="D159" s="312">
        <v>8.4</v>
      </c>
      <c r="E159" s="312">
        <v>10.199999999999999</v>
      </c>
      <c r="F159" s="312">
        <v>6.02</v>
      </c>
      <c r="G159" s="181" t="s">
        <v>235</v>
      </c>
      <c r="H159" s="97" t="s">
        <v>236</v>
      </c>
      <c r="J159" s="344" t="str">
        <f>IF(AND(G159=Polarity!L$4,H159=Polarity!L$4),Polarity!L$4,Polarity!L$6)</f>
        <v>Fail</v>
      </c>
      <c r="K159" s="345" t="str">
        <f>IF(J159=Polarity!L$4,B159,"")</f>
        <v/>
      </c>
      <c r="L159" s="346" t="str">
        <f>IF(AND(B159=K159,F159&gt;5),Polarity!L$5,"")</f>
        <v/>
      </c>
      <c r="M159" s="336" t="str">
        <f>IF(AND(H159=Polarity!L$6,G159=Polarity!L$6),Polarity!L$6,"")</f>
        <v/>
      </c>
    </row>
    <row r="160" spans="1:13" x14ac:dyDescent="0.2">
      <c r="A160" s="407"/>
      <c r="B160" s="4" t="s">
        <v>44</v>
      </c>
      <c r="C160" s="309">
        <v>16.899999999999999</v>
      </c>
      <c r="D160" s="309">
        <v>8.3000000000000007</v>
      </c>
      <c r="E160" s="309">
        <v>16.100000000000001</v>
      </c>
      <c r="F160" s="309">
        <v>8.74</v>
      </c>
      <c r="G160" s="97" t="s">
        <v>236</v>
      </c>
      <c r="H160" s="98" t="s">
        <v>235</v>
      </c>
      <c r="J160" s="344" t="str">
        <f>IF(AND(G160=Polarity!L$4,H160=Polarity!L$4),Polarity!L$4,Polarity!L$6)</f>
        <v>Fail</v>
      </c>
      <c r="K160" s="345" t="str">
        <f>IF(J160=Polarity!L$4,B160,"")</f>
        <v/>
      </c>
      <c r="L160" s="346" t="str">
        <f>IF(AND(B160=K160,F160&gt;5),Polarity!L$5,"")</f>
        <v/>
      </c>
      <c r="M160" s="336" t="str">
        <f>IF(AND(H160=Polarity!L$6,G160=Polarity!L$6),Polarity!L$6,"")</f>
        <v/>
      </c>
    </row>
    <row r="161" spans="1:13" x14ac:dyDescent="0.2">
      <c r="A161" s="407"/>
      <c r="B161" s="2" t="s">
        <v>124</v>
      </c>
      <c r="C161" s="309">
        <v>16.2</v>
      </c>
      <c r="D161" s="309">
        <v>3.8</v>
      </c>
      <c r="E161" s="309">
        <v>4.5</v>
      </c>
      <c r="F161" s="309">
        <v>7.31</v>
      </c>
      <c r="G161" s="97" t="s">
        <v>236</v>
      </c>
      <c r="H161" s="97" t="s">
        <v>236</v>
      </c>
      <c r="J161" s="344" t="str">
        <f>IF(AND(G161=Polarity!L$4,H161=Polarity!L$4),Polarity!L$4,Polarity!L$6)</f>
        <v>Fail</v>
      </c>
      <c r="K161" s="345" t="str">
        <f>IF(J161=Polarity!L$4,B161,"")</f>
        <v/>
      </c>
      <c r="L161" s="346" t="str">
        <f>IF(AND(B161=K161,F161&gt;5),Polarity!L$5,"")</f>
        <v/>
      </c>
      <c r="M161" s="336" t="str">
        <f>IF(AND(H161=Polarity!L$6,G161=Polarity!L$6),Polarity!L$6,"")</f>
        <v>Fail</v>
      </c>
    </row>
    <row r="162" spans="1:13" x14ac:dyDescent="0.2">
      <c r="B162" s="2" t="s">
        <v>165</v>
      </c>
      <c r="C162" s="309">
        <v>16</v>
      </c>
      <c r="D162" s="309">
        <v>0</v>
      </c>
      <c r="E162" s="309">
        <v>1</v>
      </c>
      <c r="F162" s="309">
        <v>12.1</v>
      </c>
      <c r="G162" s="97" t="s">
        <v>236</v>
      </c>
      <c r="H162" s="97" t="s">
        <v>236</v>
      </c>
      <c r="J162" s="344" t="str">
        <f>IF(AND(G162=Polarity!L$4,H162=Polarity!L$4),Polarity!L$4,Polarity!L$6)</f>
        <v>Fail</v>
      </c>
      <c r="K162" s="345" t="str">
        <f>IF(J162=Polarity!L$4,B162,"")</f>
        <v/>
      </c>
      <c r="L162" s="346" t="str">
        <f>IF(AND(B162=K162,F162&gt;5),Polarity!L$5,"")</f>
        <v/>
      </c>
      <c r="M162" s="336" t="str">
        <f>IF(AND(H162=Polarity!L$6,G162=Polarity!L$6),Polarity!L$6,"")</f>
        <v>Fail</v>
      </c>
    </row>
    <row r="163" spans="1:13" x14ac:dyDescent="0.2">
      <c r="A163" s="407"/>
      <c r="B163" s="6" t="s">
        <v>78</v>
      </c>
      <c r="C163" s="312">
        <v>18</v>
      </c>
      <c r="D163" s="312">
        <v>4.9000000000000004</v>
      </c>
      <c r="E163" s="312">
        <v>11</v>
      </c>
      <c r="F163" s="312">
        <v>5.5</v>
      </c>
      <c r="G163" s="181" t="s">
        <v>235</v>
      </c>
      <c r="H163" s="98" t="s">
        <v>235</v>
      </c>
      <c r="J163" s="344" t="str">
        <f>IF(AND(G163=Polarity!L$4,H163=Polarity!L$4),Polarity!L$4,Polarity!L$6)</f>
        <v>Pass</v>
      </c>
      <c r="K163" s="345" t="str">
        <f>IF(J163=Polarity!L$4,B163,"")</f>
        <v>Morpholine</v>
      </c>
      <c r="L163" s="346" t="str">
        <f>IF(AND(B163=K163,F163&gt;5),Polarity!L$5,"")</f>
        <v>Borderline (still considered a pass)</v>
      </c>
      <c r="M163" s="336" t="str">
        <f>IF(AND(H163=Polarity!L$6,G163=Polarity!L$6),Polarity!L$6,"")</f>
        <v/>
      </c>
    </row>
    <row r="164" spans="1:13" x14ac:dyDescent="0.2">
      <c r="B164" s="2" t="s">
        <v>166</v>
      </c>
      <c r="C164" s="309">
        <v>17.8</v>
      </c>
      <c r="D164" s="309">
        <v>2.6</v>
      </c>
      <c r="E164" s="309">
        <v>2.8</v>
      </c>
      <c r="F164" s="309">
        <v>8.31</v>
      </c>
      <c r="G164" s="97" t="s">
        <v>236</v>
      </c>
      <c r="H164" s="97" t="s">
        <v>236</v>
      </c>
      <c r="J164" s="344" t="str">
        <f>IF(AND(G164=Polarity!L$4,H164=Polarity!L$4),Polarity!L$4,Polarity!L$6)</f>
        <v>Fail</v>
      </c>
      <c r="K164" s="345" t="str">
        <f>IF(J164=Polarity!L$4,B164,"")</f>
        <v/>
      </c>
      <c r="L164" s="346" t="str">
        <f>IF(AND(B164=K164,F164&gt;5),Polarity!L$5,"")</f>
        <v/>
      </c>
      <c r="M164" s="336" t="str">
        <f>IF(AND(H164=Polarity!L$6,G164=Polarity!L$6),Polarity!L$6,"")</f>
        <v>Fail</v>
      </c>
    </row>
    <row r="165" spans="1:13" x14ac:dyDescent="0.2">
      <c r="A165" s="407"/>
      <c r="B165" s="6" t="s">
        <v>68</v>
      </c>
      <c r="C165" s="311">
        <v>16.8</v>
      </c>
      <c r="D165" s="311">
        <v>11.5</v>
      </c>
      <c r="E165" s="311">
        <v>9.4</v>
      </c>
      <c r="F165" s="311">
        <v>3.67</v>
      </c>
      <c r="G165" s="98" t="s">
        <v>235</v>
      </c>
      <c r="H165" s="98" t="s">
        <v>235</v>
      </c>
      <c r="J165" s="344" t="str">
        <f>IF(AND(G165=Polarity!L$4,H165=Polarity!L$4),Polarity!L$4,Polarity!L$6)</f>
        <v>Pass</v>
      </c>
      <c r="K165" s="345" t="str">
        <f>IF(J165=Polarity!L$4,B165,"")</f>
        <v>N,N-Dimethyl acetamide</v>
      </c>
      <c r="L165" s="421" t="s">
        <v>558</v>
      </c>
      <c r="M165" s="336" t="str">
        <f>IF(AND(H165=Polarity!L$6,G165=Polarity!L$6),Polarity!L$6,"")</f>
        <v/>
      </c>
    </row>
    <row r="166" spans="1:13" x14ac:dyDescent="0.2">
      <c r="A166" s="407"/>
      <c r="B166" s="6" t="s">
        <v>79</v>
      </c>
      <c r="C166" s="309">
        <v>18.3</v>
      </c>
      <c r="D166" s="309">
        <v>3.2</v>
      </c>
      <c r="E166" s="309">
        <v>5.5</v>
      </c>
      <c r="F166" s="309">
        <v>6.51</v>
      </c>
      <c r="G166" s="97" t="s">
        <v>236</v>
      </c>
      <c r="H166" s="98" t="s">
        <v>235</v>
      </c>
      <c r="J166" s="344" t="str">
        <f>IF(AND(G166=Polarity!L$4,H166=Polarity!L$4),Polarity!L$4,Polarity!L$6)</f>
        <v>Fail</v>
      </c>
      <c r="K166" s="345" t="str">
        <f>IF(J166=Polarity!L$4,B166,"")</f>
        <v/>
      </c>
      <c r="L166" s="346" t="str">
        <f>IF(AND(B166=K166,F166&gt;5),Polarity!L$5,"")</f>
        <v/>
      </c>
      <c r="M166" s="336" t="str">
        <f>IF(AND(H166=Polarity!L$6,G166=Polarity!L$6),Polarity!L$6,"")</f>
        <v/>
      </c>
    </row>
    <row r="167" spans="1:13" x14ac:dyDescent="0.2">
      <c r="A167" s="407"/>
      <c r="B167" s="2" t="s">
        <v>69</v>
      </c>
      <c r="C167" s="312">
        <v>17.399999999999999</v>
      </c>
      <c r="D167" s="312">
        <v>13.7</v>
      </c>
      <c r="E167" s="312">
        <v>11.3</v>
      </c>
      <c r="F167" s="312">
        <v>5.81</v>
      </c>
      <c r="G167" s="181" t="s">
        <v>235</v>
      </c>
      <c r="H167" s="98" t="s">
        <v>235</v>
      </c>
      <c r="J167" s="344" t="str">
        <f>IF(AND(G167=Polarity!L$4,H167=Polarity!L$4),Polarity!L$4,Polarity!L$6)</f>
        <v>Pass</v>
      </c>
      <c r="K167" s="345" t="str">
        <f>IF(J167=Polarity!L$4,B167,"")</f>
        <v>N,N-Dimethyl formamide</v>
      </c>
      <c r="L167" s="346" t="str">
        <f>IF(AND(B167=K167,F167&gt;5),Polarity!L$5,"")</f>
        <v>Borderline (still considered a pass)</v>
      </c>
      <c r="M167" s="336" t="str">
        <f>IF(AND(H167=Polarity!L$6,G167=Polarity!L$6),Polarity!L$6,"")</f>
        <v/>
      </c>
    </row>
    <row r="168" spans="1:13" x14ac:dyDescent="0.2">
      <c r="A168" s="407"/>
      <c r="B168" s="2" t="s">
        <v>70</v>
      </c>
      <c r="C168" s="334">
        <v>18.2</v>
      </c>
      <c r="D168" s="334">
        <v>10</v>
      </c>
      <c r="E168" s="334">
        <v>8.1</v>
      </c>
      <c r="F168" s="334">
        <v>0.89999999999999858</v>
      </c>
      <c r="G168" s="98" t="s">
        <v>235</v>
      </c>
      <c r="H168" s="100" t="s">
        <v>237</v>
      </c>
      <c r="J168" s="344" t="str">
        <f>IF(AND(G168=Polarity!L$4,H168=Polarity!L$4),Polarity!L$4,Polarity!L$6)</f>
        <v>Fail</v>
      </c>
      <c r="K168" s="345" t="str">
        <f>IF(J168=Polarity!L$4,B168,"")</f>
        <v/>
      </c>
      <c r="L168" s="346" t="str">
        <f>IF(AND(B168=K168,F168&gt;5),Polarity!L$5,"")</f>
        <v/>
      </c>
      <c r="M168" s="336" t="str">
        <f>IF(AND(H168=Polarity!L$6,G168=Polarity!L$6),Polarity!L$6,"")</f>
        <v/>
      </c>
    </row>
    <row r="169" spans="1:13" x14ac:dyDescent="0.2">
      <c r="A169" s="407"/>
      <c r="B169" s="2" t="s">
        <v>167</v>
      </c>
      <c r="C169" s="309">
        <v>15.7</v>
      </c>
      <c r="D169" s="309">
        <v>0</v>
      </c>
      <c r="E169" s="309">
        <v>0</v>
      </c>
      <c r="F169" s="309">
        <v>12.92</v>
      </c>
      <c r="G169" s="97" t="s">
        <v>236</v>
      </c>
      <c r="H169" s="97" t="s">
        <v>236</v>
      </c>
      <c r="J169" s="344" t="str">
        <f>IF(AND(G169=Polarity!L$4,H169=Polarity!L$4),Polarity!L$4,Polarity!L$6)</f>
        <v>Fail</v>
      </c>
      <c r="K169" s="345" t="str">
        <f>IF(J169=Polarity!L$4,B169,"")</f>
        <v/>
      </c>
      <c r="L169" s="346" t="str">
        <f>IF(AND(B169=K169,F169&gt;5),Polarity!L$5,"")</f>
        <v/>
      </c>
      <c r="M169" s="336" t="str">
        <f>IF(AND(H169=Polarity!L$6,G169=Polarity!L$6),Polarity!L$6,"")</f>
        <v>Fail</v>
      </c>
    </row>
    <row r="170" spans="1:13" x14ac:dyDescent="0.2">
      <c r="B170" s="2" t="s">
        <v>168</v>
      </c>
      <c r="C170" s="309">
        <v>15.3</v>
      </c>
      <c r="D170" s="309">
        <v>0</v>
      </c>
      <c r="E170" s="309">
        <v>0</v>
      </c>
      <c r="F170" s="309">
        <v>13.23</v>
      </c>
      <c r="G170" s="97" t="s">
        <v>236</v>
      </c>
      <c r="H170" s="97" t="s">
        <v>236</v>
      </c>
      <c r="J170" s="344" t="str">
        <f>IF(AND(G170=Polarity!L$4,H170=Polarity!L$4),Polarity!L$4,Polarity!L$6)</f>
        <v>Fail</v>
      </c>
      <c r="K170" s="345" t="str">
        <f>IF(J170=Polarity!L$4,B170,"")</f>
        <v/>
      </c>
      <c r="L170" s="346" t="str">
        <f>IF(AND(B170=K170,F170&gt;5),Polarity!L$5,"")</f>
        <v/>
      </c>
      <c r="M170" s="336" t="str">
        <f>IF(AND(H170=Polarity!L$6,G170=Polarity!L$6),Polarity!L$6,"")</f>
        <v>Fail</v>
      </c>
    </row>
    <row r="171" spans="1:13" x14ac:dyDescent="0.2">
      <c r="B171" s="2" t="s">
        <v>169</v>
      </c>
      <c r="C171" s="309">
        <v>14.9</v>
      </c>
      <c r="D171" s="309">
        <v>0</v>
      </c>
      <c r="E171" s="309">
        <v>0</v>
      </c>
      <c r="F171" s="309">
        <v>13.57</v>
      </c>
      <c r="G171" s="97" t="s">
        <v>236</v>
      </c>
      <c r="H171" s="97" t="s">
        <v>236</v>
      </c>
      <c r="J171" s="344" t="str">
        <f>IF(AND(G171=Polarity!L$4,H171=Polarity!L$4),Polarity!L$4,Polarity!L$6)</f>
        <v>Fail</v>
      </c>
      <c r="K171" s="345" t="str">
        <f>IF(J171=Polarity!L$4,B171,"")</f>
        <v/>
      </c>
      <c r="L171" s="346" t="str">
        <f>IF(AND(B171=K171,F171&gt;5),Polarity!L$5,"")</f>
        <v/>
      </c>
      <c r="M171" s="336" t="str">
        <f>IF(AND(H171=Polarity!L$6,G171=Polarity!L$6),Polarity!L$6,"")</f>
        <v>Fail</v>
      </c>
    </row>
    <row r="172" spans="1:13" x14ac:dyDescent="0.2">
      <c r="A172" s="407"/>
      <c r="B172" s="7" t="s">
        <v>125</v>
      </c>
      <c r="C172" s="309">
        <v>15.8</v>
      </c>
      <c r="D172" s="309">
        <v>2.9</v>
      </c>
      <c r="E172" s="309">
        <v>5.9</v>
      </c>
      <c r="F172" s="309">
        <v>7.97</v>
      </c>
      <c r="G172" s="97" t="s">
        <v>236</v>
      </c>
      <c r="H172" s="97" t="s">
        <v>236</v>
      </c>
      <c r="J172" s="344" t="str">
        <f>IF(AND(G172=Polarity!L$4,H172=Polarity!L$4),Polarity!L$4,Polarity!L$6)</f>
        <v>Fail</v>
      </c>
      <c r="K172" s="345" t="str">
        <f>IF(J172=Polarity!L$4,B172,"")</f>
        <v/>
      </c>
      <c r="L172" s="346" t="str">
        <f>IF(AND(B172=K172,F172&gt;5),Polarity!L$5,"")</f>
        <v/>
      </c>
      <c r="M172" s="336" t="str">
        <f>IF(AND(H172=Polarity!L$6,G172=Polarity!L$6),Polarity!L$6,"")</f>
        <v>Fail</v>
      </c>
    </row>
    <row r="173" spans="1:13" x14ac:dyDescent="0.2">
      <c r="A173" s="407"/>
      <c r="B173" s="3" t="s">
        <v>199</v>
      </c>
      <c r="C173" s="310">
        <v>20</v>
      </c>
      <c r="D173" s="310">
        <v>10.6</v>
      </c>
      <c r="E173" s="310">
        <v>3.1</v>
      </c>
      <c r="F173" s="310">
        <v>6.23</v>
      </c>
      <c r="G173" s="181" t="s">
        <v>235</v>
      </c>
      <c r="H173" s="98" t="s">
        <v>235</v>
      </c>
      <c r="J173" s="344" t="str">
        <f>IF(AND(G173=Polarity!L$4,H173=Polarity!L$4),Polarity!L$4,Polarity!L$6)</f>
        <v>Pass</v>
      </c>
      <c r="K173" s="345" t="str">
        <f>IF(J173=Polarity!L$4,B173,"")</f>
        <v>Nitrobenzene</v>
      </c>
      <c r="L173" s="346" t="str">
        <f>IF(AND(B173=K173,F173&gt;5),Polarity!L$5,"")</f>
        <v>Borderline (still considered a pass)</v>
      </c>
      <c r="M173" s="336" t="str">
        <f>IF(AND(H173=Polarity!L$6,G173=Polarity!L$6),Polarity!L$6,"")</f>
        <v/>
      </c>
    </row>
    <row r="174" spans="1:13" x14ac:dyDescent="0.2">
      <c r="B174" s="6" t="s">
        <v>200</v>
      </c>
      <c r="C174" s="309">
        <v>16</v>
      </c>
      <c r="D174" s="309">
        <v>15.5</v>
      </c>
      <c r="E174" s="309">
        <v>4.5</v>
      </c>
      <c r="F174" s="309">
        <v>8.0399999999999991</v>
      </c>
      <c r="G174" s="97" t="s">
        <v>236</v>
      </c>
      <c r="H174" s="98" t="s">
        <v>235</v>
      </c>
      <c r="J174" s="344" t="str">
        <f>IF(AND(G174=Polarity!L$4,H174=Polarity!L$4),Polarity!L$4,Polarity!L$6)</f>
        <v>Fail</v>
      </c>
      <c r="K174" s="345" t="str">
        <f>IF(J174=Polarity!L$4,B174,"")</f>
        <v/>
      </c>
      <c r="L174" s="346" t="str">
        <f>IF(AND(B174=K174,F174&gt;5),Polarity!L$5,"")</f>
        <v/>
      </c>
      <c r="M174" s="336" t="str">
        <f>IF(AND(H174=Polarity!L$6,G174=Polarity!L$6),Polarity!L$6,"")</f>
        <v/>
      </c>
    </row>
    <row r="175" spans="1:13" x14ac:dyDescent="0.2">
      <c r="B175" s="6" t="s">
        <v>201</v>
      </c>
      <c r="C175" s="309">
        <v>15.8</v>
      </c>
      <c r="D175" s="309">
        <v>18.8</v>
      </c>
      <c r="E175" s="309">
        <v>6.1</v>
      </c>
      <c r="F175" s="309">
        <v>10.59</v>
      </c>
      <c r="G175" s="97" t="s">
        <v>236</v>
      </c>
      <c r="H175" s="98" t="s">
        <v>235</v>
      </c>
      <c r="J175" s="344" t="str">
        <f>IF(AND(G175=Polarity!L$4,H175=Polarity!L$4),Polarity!L$4,Polarity!L$6)</f>
        <v>Fail</v>
      </c>
      <c r="K175" s="345" t="str">
        <f>IF(J175=Polarity!L$4,B175,"")</f>
        <v/>
      </c>
      <c r="L175" s="346" t="str">
        <f>IF(AND(B175=K175,F175&gt;5),Polarity!L$5,"")</f>
        <v/>
      </c>
      <c r="M175" s="336" t="str">
        <f>IF(AND(H175=Polarity!L$6,G175=Polarity!L$6),Polarity!L$6,"")</f>
        <v/>
      </c>
    </row>
    <row r="176" spans="1:13" x14ac:dyDescent="0.2">
      <c r="B176" s="2" t="s">
        <v>71</v>
      </c>
      <c r="C176" s="309">
        <v>17.399999999999999</v>
      </c>
      <c r="D176" s="309">
        <v>18.8</v>
      </c>
      <c r="E176" s="309">
        <v>15.9</v>
      </c>
      <c r="F176" s="309">
        <v>12.61</v>
      </c>
      <c r="G176" s="97" t="s">
        <v>236</v>
      </c>
      <c r="H176" s="98" t="s">
        <v>235</v>
      </c>
      <c r="J176" s="344" t="str">
        <f>IF(AND(G176=Polarity!L$4,H176=Polarity!L$4),Polarity!L$4,Polarity!L$6)</f>
        <v>Fail</v>
      </c>
      <c r="K176" s="345" t="str">
        <f>IF(J176=Polarity!L$4,B176,"")</f>
        <v/>
      </c>
      <c r="L176" s="346" t="str">
        <f>IF(AND(B176=K176,F176&gt;5),Polarity!L$5,"")</f>
        <v/>
      </c>
      <c r="M176" s="336" t="str">
        <f>IF(AND(H176=Polarity!L$6,G176=Polarity!L$6),Polarity!L$6,"")</f>
        <v/>
      </c>
    </row>
    <row r="177" spans="1:13" x14ac:dyDescent="0.2">
      <c r="A177" s="407"/>
      <c r="B177" s="2" t="s">
        <v>72</v>
      </c>
      <c r="C177" s="309">
        <v>16.899999999999999</v>
      </c>
      <c r="D177" s="309">
        <v>17</v>
      </c>
      <c r="E177" s="309">
        <v>13</v>
      </c>
      <c r="F177" s="309">
        <v>9.6</v>
      </c>
      <c r="G177" s="97" t="s">
        <v>236</v>
      </c>
      <c r="H177" s="98" t="s">
        <v>235</v>
      </c>
      <c r="J177" s="344" t="str">
        <f>IF(AND(G177=Polarity!L$4,H177=Polarity!L$4),Polarity!L$4,Polarity!L$6)</f>
        <v>Fail</v>
      </c>
      <c r="K177" s="345" t="str">
        <f>IF(J177=Polarity!L$4,B177,"")</f>
        <v/>
      </c>
      <c r="L177" s="346" t="str">
        <f>IF(AND(B177=K177,F177&gt;5),Polarity!L$5,"")</f>
        <v/>
      </c>
      <c r="M177" s="336" t="str">
        <f>IF(AND(H177=Polarity!L$6,G177=Polarity!L$6),Polarity!L$6,"")</f>
        <v/>
      </c>
    </row>
    <row r="178" spans="1:13" x14ac:dyDescent="0.2">
      <c r="A178" s="407"/>
      <c r="B178" s="6" t="s">
        <v>226</v>
      </c>
      <c r="C178" s="311">
        <v>18</v>
      </c>
      <c r="D178" s="311">
        <v>12.3</v>
      </c>
      <c r="E178" s="311">
        <v>7.2</v>
      </c>
      <c r="F178" s="311">
        <v>3.04</v>
      </c>
      <c r="G178" s="98" t="s">
        <v>235</v>
      </c>
      <c r="H178" s="98" t="s">
        <v>235</v>
      </c>
      <c r="J178" s="344" t="str">
        <f>IF(AND(G178=Polarity!L$4,H178=Polarity!L$4),Polarity!L$4,Polarity!L$6)</f>
        <v>Pass</v>
      </c>
      <c r="K178" s="345" t="str">
        <f>IF(J178=Polarity!L$4,B178,"")</f>
        <v>NMP</v>
      </c>
      <c r="L178" s="421" t="s">
        <v>558</v>
      </c>
      <c r="M178" s="336" t="str">
        <f>IF(AND(H178=Polarity!L$6,G178=Polarity!L$6),Polarity!L$6,"")</f>
        <v/>
      </c>
    </row>
    <row r="179" spans="1:13" x14ac:dyDescent="0.2">
      <c r="B179" s="6" t="s">
        <v>170</v>
      </c>
      <c r="C179" s="309">
        <v>15.5</v>
      </c>
      <c r="D179" s="309">
        <v>0</v>
      </c>
      <c r="E179" s="309">
        <v>0</v>
      </c>
      <c r="F179" s="309">
        <v>13.07</v>
      </c>
      <c r="G179" s="97" t="s">
        <v>236</v>
      </c>
      <c r="H179" s="97" t="s">
        <v>236</v>
      </c>
      <c r="J179" s="344" t="str">
        <f>IF(AND(G179=Polarity!L$4,H179=Polarity!L$4),Polarity!L$4,Polarity!L$6)</f>
        <v>Fail</v>
      </c>
      <c r="K179" s="345" t="str">
        <f>IF(J179=Polarity!L$4,B179,"")</f>
        <v/>
      </c>
      <c r="L179" s="346" t="str">
        <f>IF(AND(B179=K179,F179&gt;5),Polarity!L$5,"")</f>
        <v/>
      </c>
      <c r="M179" s="336" t="str">
        <f>IF(AND(H179=Polarity!L$6,G179=Polarity!L$6),Polarity!L$6,"")</f>
        <v>Fail</v>
      </c>
    </row>
    <row r="180" spans="1:13" x14ac:dyDescent="0.2">
      <c r="B180" s="2" t="s">
        <v>171</v>
      </c>
      <c r="C180" s="309">
        <v>14.5</v>
      </c>
      <c r="D180" s="309">
        <v>0</v>
      </c>
      <c r="E180" s="309">
        <v>0</v>
      </c>
      <c r="F180" s="309">
        <v>14</v>
      </c>
      <c r="G180" s="97" t="s">
        <v>236</v>
      </c>
      <c r="H180" s="97" t="s">
        <v>236</v>
      </c>
      <c r="J180" s="344" t="str">
        <f>IF(AND(G180=Polarity!L$4,H180=Polarity!L$4),Polarity!L$4,Polarity!L$6)</f>
        <v>Fail</v>
      </c>
      <c r="K180" s="345" t="str">
        <f>IF(J180=Polarity!L$4,B180,"")</f>
        <v/>
      </c>
      <c r="L180" s="346" t="str">
        <f>IF(AND(B180=K180,F180&gt;5),Polarity!L$5,"")</f>
        <v/>
      </c>
      <c r="M180" s="336" t="str">
        <f>IF(AND(H180=Polarity!L$6,G180=Polarity!L$6),Polarity!L$6,"")</f>
        <v>Fail</v>
      </c>
    </row>
    <row r="181" spans="1:13" x14ac:dyDescent="0.2">
      <c r="B181" s="6" t="s">
        <v>126</v>
      </c>
      <c r="C181" s="309">
        <v>15.3</v>
      </c>
      <c r="D181" s="309">
        <v>4.3</v>
      </c>
      <c r="E181" s="309">
        <v>7.6</v>
      </c>
      <c r="F181" s="309">
        <v>7.36</v>
      </c>
      <c r="G181" s="97" t="s">
        <v>236</v>
      </c>
      <c r="H181" s="97" t="s">
        <v>236</v>
      </c>
      <c r="J181" s="344" t="str">
        <f>IF(AND(G181=Polarity!L$4,H181=Polarity!L$4),Polarity!L$4,Polarity!L$6)</f>
        <v>Fail</v>
      </c>
      <c r="K181" s="345" t="str">
        <f>IF(J181=Polarity!L$4,B181,"")</f>
        <v/>
      </c>
      <c r="L181" s="346" t="str">
        <f>IF(AND(B181=K181,F181&gt;5),Polarity!L$5,"")</f>
        <v/>
      </c>
      <c r="M181" s="336" t="str">
        <f>IF(AND(H181=Polarity!L$6,G181=Polarity!L$6),Polarity!L$6,"")</f>
        <v>Fail</v>
      </c>
    </row>
    <row r="182" spans="1:13" x14ac:dyDescent="0.2">
      <c r="B182" s="2" t="s">
        <v>80</v>
      </c>
      <c r="C182" s="312">
        <v>16</v>
      </c>
      <c r="D182" s="312">
        <v>4.9000000000000004</v>
      </c>
      <c r="E182" s="312">
        <v>8.6</v>
      </c>
      <c r="F182" s="312">
        <v>6.01</v>
      </c>
      <c r="G182" s="181" t="s">
        <v>235</v>
      </c>
      <c r="H182" s="97" t="s">
        <v>236</v>
      </c>
      <c r="J182" s="344" t="str">
        <f>IF(AND(G182=Polarity!L$4,H182=Polarity!L$4),Polarity!L$4,Polarity!L$6)</f>
        <v>Fail</v>
      </c>
      <c r="K182" s="345" t="str">
        <f>IF(J182=Polarity!L$4,B182,"")</f>
        <v/>
      </c>
      <c r="L182" s="346" t="str">
        <f>IF(AND(B182=K182,F182&gt;5),Polarity!L$5,"")</f>
        <v/>
      </c>
      <c r="M182" s="336" t="str">
        <f>IF(AND(H182=Polarity!L$6,G182=Polarity!L$6),Polarity!L$6,"")</f>
        <v/>
      </c>
    </row>
    <row r="183" spans="1:13" x14ac:dyDescent="0.2">
      <c r="A183" s="407"/>
      <c r="B183" s="6" t="s">
        <v>206</v>
      </c>
      <c r="C183" s="309">
        <v>12.8</v>
      </c>
      <c r="D183" s="309">
        <v>1.3</v>
      </c>
      <c r="E183" s="309">
        <v>1</v>
      </c>
      <c r="F183" s="309">
        <v>14.73</v>
      </c>
      <c r="G183" s="97" t="s">
        <v>236</v>
      </c>
      <c r="H183" s="97" t="s">
        <v>236</v>
      </c>
      <c r="J183" s="344" t="str">
        <f>IF(AND(G183=Polarity!L$4,H183=Polarity!L$4),Polarity!L$4,Polarity!L$6)</f>
        <v>Fail</v>
      </c>
      <c r="K183" s="345" t="str">
        <f>IF(J183=Polarity!L$4,B183,"")</f>
        <v/>
      </c>
      <c r="L183" s="346" t="str">
        <f>IF(AND(B183=K183,F183&gt;5),Polarity!L$5,"")</f>
        <v/>
      </c>
      <c r="M183" s="336" t="str">
        <f>IF(AND(H183=Polarity!L$6,G183=Polarity!L$6),Polarity!L$6,"")</f>
        <v>Fail</v>
      </c>
    </row>
    <row r="184" spans="1:13" x14ac:dyDescent="0.2">
      <c r="A184" s="407"/>
      <c r="B184" s="6" t="s">
        <v>207</v>
      </c>
      <c r="C184" s="309">
        <v>12.2</v>
      </c>
      <c r="D184" s="309">
        <v>1.8</v>
      </c>
      <c r="E184" s="309">
        <v>0</v>
      </c>
      <c r="F184" s="309">
        <v>15.81</v>
      </c>
      <c r="G184" s="97" t="s">
        <v>236</v>
      </c>
      <c r="H184" s="97" t="s">
        <v>236</v>
      </c>
      <c r="J184" s="344" t="str">
        <f>IF(AND(G184=Polarity!L$4,H184=Polarity!L$4),Polarity!L$4,Polarity!L$6)</f>
        <v>Fail</v>
      </c>
      <c r="K184" s="345" t="str">
        <f>IF(J184=Polarity!L$4,B184,"")</f>
        <v/>
      </c>
      <c r="L184" s="346" t="str">
        <f>IF(AND(B184=K184,F184&gt;5),Polarity!L$5,"")</f>
        <v/>
      </c>
      <c r="M184" s="336" t="str">
        <f>IF(AND(H184=Polarity!L$6,G184=Polarity!L$6),Polarity!L$6,"")</f>
        <v>Fail</v>
      </c>
    </row>
    <row r="185" spans="1:13" x14ac:dyDescent="0.2">
      <c r="A185" s="407"/>
      <c r="B185" s="5" t="s">
        <v>6</v>
      </c>
      <c r="C185" s="309">
        <v>15.7</v>
      </c>
      <c r="D185" s="309">
        <v>3.3</v>
      </c>
      <c r="E185" s="309">
        <v>8.1999999999999993</v>
      </c>
      <c r="F185" s="309">
        <v>7.58</v>
      </c>
      <c r="G185" s="97" t="s">
        <v>236</v>
      </c>
      <c r="H185" s="97" t="s">
        <v>236</v>
      </c>
      <c r="J185" s="344" t="str">
        <f>IF(AND(G185=Polarity!L$4,H185=Polarity!L$4),Polarity!L$4,Polarity!L$6)</f>
        <v>Fail</v>
      </c>
      <c r="K185" s="345" t="str">
        <f>IF(J185=Polarity!L$4,B185,"")</f>
        <v/>
      </c>
      <c r="L185" s="346" t="str">
        <f>IF(AND(B185=K185,F185&gt;5),Polarity!L$5,"")</f>
        <v/>
      </c>
      <c r="M185" s="336" t="str">
        <f>IF(AND(H185=Polarity!L$6,G185=Polarity!L$6),Polarity!L$6,"")</f>
        <v>Fail</v>
      </c>
    </row>
    <row r="186" spans="1:13" x14ac:dyDescent="0.2">
      <c r="A186" s="407"/>
      <c r="B186" s="2" t="s">
        <v>7</v>
      </c>
      <c r="C186" s="309">
        <v>16</v>
      </c>
      <c r="D186" s="309">
        <v>2.8</v>
      </c>
      <c r="E186" s="309">
        <v>6.2</v>
      </c>
      <c r="F186" s="309">
        <v>7.78</v>
      </c>
      <c r="G186" s="97" t="s">
        <v>236</v>
      </c>
      <c r="H186" s="98" t="s">
        <v>235</v>
      </c>
      <c r="J186" s="344" t="str">
        <f>IF(AND(G186=Polarity!L$4,H186=Polarity!L$4),Polarity!L$4,Polarity!L$6)</f>
        <v>Fail</v>
      </c>
      <c r="K186" s="345" t="str">
        <f>IF(J186=Polarity!L$4,B186,"")</f>
        <v/>
      </c>
      <c r="L186" s="346" t="str">
        <f>IF(AND(B186=K186,F186&gt;5),Polarity!L$5,"")</f>
        <v/>
      </c>
      <c r="M186" s="336" t="str">
        <f>IF(AND(H186=Polarity!L$6,G186=Polarity!L$6),Polarity!L$6,"")</f>
        <v/>
      </c>
    </row>
    <row r="187" spans="1:13" x14ac:dyDescent="0.2">
      <c r="A187" s="407"/>
      <c r="B187" s="4" t="s">
        <v>45</v>
      </c>
      <c r="C187" s="310">
        <v>16.5</v>
      </c>
      <c r="D187" s="310">
        <v>5.9</v>
      </c>
      <c r="E187" s="310">
        <v>10.7</v>
      </c>
      <c r="F187" s="310">
        <v>5.436910887627274</v>
      </c>
      <c r="G187" s="181" t="s">
        <v>235</v>
      </c>
      <c r="H187" s="100" t="s">
        <v>237</v>
      </c>
      <c r="J187" s="344" t="str">
        <f>IF(AND(G187=Polarity!L$4,H187=Polarity!L$4),Polarity!L$4,Polarity!L$6)</f>
        <v>Fail</v>
      </c>
      <c r="K187" s="345" t="str">
        <f>IF(J187=Polarity!L$4,B187,"")</f>
        <v/>
      </c>
      <c r="L187" s="346" t="str">
        <f>IF(AND(B187=K187,F187&gt;5),Polarity!L$5,"")</f>
        <v/>
      </c>
      <c r="M187" s="336" t="str">
        <f>IF(AND(H187=Polarity!L$6,G187=Polarity!L$6),Polarity!L$6,"")</f>
        <v/>
      </c>
    </row>
    <row r="188" spans="1:13" x14ac:dyDescent="0.2">
      <c r="A188" s="407"/>
      <c r="B188" s="2" t="s">
        <v>172</v>
      </c>
      <c r="C188" s="309">
        <v>17.8</v>
      </c>
      <c r="D188" s="309">
        <v>1</v>
      </c>
      <c r="E188" s="309">
        <v>3.1</v>
      </c>
      <c r="F188" s="309">
        <v>9.5</v>
      </c>
      <c r="G188" s="97" t="s">
        <v>236</v>
      </c>
      <c r="H188" s="97" t="s">
        <v>236</v>
      </c>
      <c r="J188" s="344" t="str">
        <f>IF(AND(G188=Polarity!L$4,H188=Polarity!L$4),Polarity!L$4,Polarity!L$6)</f>
        <v>Fail</v>
      </c>
      <c r="K188" s="345" t="str">
        <f>IF(J188=Polarity!L$4,B188,"")</f>
        <v/>
      </c>
      <c r="L188" s="346" t="str">
        <f>IF(AND(B188=K188,F188&gt;5),Polarity!L$5,"")</f>
        <v/>
      </c>
      <c r="M188" s="336" t="str">
        <f>IF(AND(H188=Polarity!L$6,G188=Polarity!L$6),Polarity!L$6,"")</f>
        <v>Fail</v>
      </c>
    </row>
    <row r="189" spans="1:13" x14ac:dyDescent="0.2">
      <c r="B189" s="6" t="s">
        <v>173</v>
      </c>
      <c r="C189" s="309">
        <v>17.3</v>
      </c>
      <c r="D189" s="309">
        <v>2.4</v>
      </c>
      <c r="E189" s="309">
        <v>2.4</v>
      </c>
      <c r="F189" s="309">
        <v>8.8000000000000007</v>
      </c>
      <c r="G189" s="97" t="s">
        <v>236</v>
      </c>
      <c r="H189" s="97" t="s">
        <v>236</v>
      </c>
      <c r="J189" s="344" t="str">
        <f>IF(AND(G189=Polarity!L$4,H189=Polarity!L$4),Polarity!L$4,Polarity!L$6)</f>
        <v>Fail</v>
      </c>
      <c r="K189" s="345" t="str">
        <f>IF(J189=Polarity!L$4,B189,"")</f>
        <v/>
      </c>
      <c r="L189" s="346" t="str">
        <f>IF(AND(B189=K189,F189&gt;5),Polarity!L$5,"")</f>
        <v/>
      </c>
      <c r="M189" s="336" t="str">
        <f>IF(AND(H189=Polarity!L$6,G189=Polarity!L$6),Polarity!L$6,"")</f>
        <v>Fail</v>
      </c>
    </row>
    <row r="190" spans="1:13" x14ac:dyDescent="0.2">
      <c r="A190" s="407"/>
      <c r="B190" s="2" t="s">
        <v>62</v>
      </c>
      <c r="C190" s="309">
        <v>18.5</v>
      </c>
      <c r="D190" s="309">
        <v>5.9</v>
      </c>
      <c r="E190" s="309">
        <v>14.9</v>
      </c>
      <c r="F190" s="309">
        <v>8.02</v>
      </c>
      <c r="G190" s="97" t="s">
        <v>236</v>
      </c>
      <c r="H190" s="98" t="s">
        <v>235</v>
      </c>
      <c r="J190" s="344" t="str">
        <f>IF(AND(G190=Polarity!L$4,H190=Polarity!L$4),Polarity!L$4,Polarity!L$6)</f>
        <v>Fail</v>
      </c>
      <c r="K190" s="345" t="str">
        <f>IF(J190=Polarity!L$4,B190,"")</f>
        <v/>
      </c>
      <c r="L190" s="346" t="str">
        <f>IF(AND(B190=K190,F190&gt;5),Polarity!L$5,"")</f>
        <v/>
      </c>
      <c r="M190" s="336" t="str">
        <f>IF(AND(H190=Polarity!L$6,G190=Polarity!L$6),Polarity!L$6,"")</f>
        <v/>
      </c>
    </row>
    <row r="191" spans="1:13" x14ac:dyDescent="0.2">
      <c r="B191" s="2" t="s">
        <v>197</v>
      </c>
      <c r="C191" s="309">
        <v>15.3</v>
      </c>
      <c r="D191" s="309">
        <v>14.3</v>
      </c>
      <c r="E191" s="309">
        <v>5.5</v>
      </c>
      <c r="F191" s="309">
        <v>7.7</v>
      </c>
      <c r="G191" s="97" t="s">
        <v>236</v>
      </c>
      <c r="H191" s="97" t="s">
        <v>236</v>
      </c>
      <c r="J191" s="344" t="str">
        <f>IF(AND(G191=Polarity!L$4,H191=Polarity!L$4),Polarity!L$4,Polarity!L$6)</f>
        <v>Fail</v>
      </c>
      <c r="K191" s="345" t="str">
        <f>IF(J191=Polarity!L$4,B191,"")</f>
        <v/>
      </c>
      <c r="L191" s="346" t="str">
        <f>IF(AND(B191=K191,F191&gt;5),Polarity!L$5,"")</f>
        <v/>
      </c>
      <c r="M191" s="336" t="str">
        <f>IF(AND(H191=Polarity!L$6,G191=Polarity!L$6),Polarity!L$6,"")</f>
        <v>Fail</v>
      </c>
    </row>
    <row r="192" spans="1:13" x14ac:dyDescent="0.2">
      <c r="A192" s="407"/>
      <c r="B192" s="6" t="s">
        <v>8</v>
      </c>
      <c r="C192" s="309">
        <v>14.7</v>
      </c>
      <c r="D192" s="309">
        <v>5.3</v>
      </c>
      <c r="E192" s="309">
        <v>12.4</v>
      </c>
      <c r="F192" s="309">
        <v>9.0399999999999991</v>
      </c>
      <c r="G192" s="97" t="s">
        <v>236</v>
      </c>
      <c r="H192" s="97" t="s">
        <v>236</v>
      </c>
      <c r="J192" s="344" t="str">
        <f>IF(AND(G192=Polarity!L$4,H192=Polarity!L$4),Polarity!L$4,Polarity!L$6)</f>
        <v>Fail</v>
      </c>
      <c r="K192" s="345" t="str">
        <f>IF(J192=Polarity!L$4,B192,"")</f>
        <v/>
      </c>
      <c r="L192" s="346" t="str">
        <f>IF(AND(B192=K192,F192&gt;5),Polarity!L$5,"")</f>
        <v/>
      </c>
      <c r="M192" s="336" t="str">
        <f>IF(AND(H192=Polarity!L$6,G192=Polarity!L$6),Polarity!L$6,"")</f>
        <v>Fail</v>
      </c>
    </row>
    <row r="193" spans="1:13" x14ac:dyDescent="0.2">
      <c r="A193" s="407"/>
      <c r="B193" s="6" t="s">
        <v>91</v>
      </c>
      <c r="C193" s="309">
        <v>20</v>
      </c>
      <c r="D193" s="309">
        <v>18</v>
      </c>
      <c r="E193" s="309">
        <v>4.0999999999999996</v>
      </c>
      <c r="F193" s="309">
        <v>10.23</v>
      </c>
      <c r="G193" s="97" t="s">
        <v>236</v>
      </c>
      <c r="H193" s="98" t="s">
        <v>235</v>
      </c>
      <c r="J193" s="344" t="str">
        <f>IF(AND(G193=Polarity!L$4,H193=Polarity!L$4),Polarity!L$4,Polarity!L$6)</f>
        <v>Fail</v>
      </c>
      <c r="K193" s="345" t="str">
        <f>IF(J193=Polarity!L$4,B193,"")</f>
        <v/>
      </c>
      <c r="L193" s="346" t="str">
        <f>IF(AND(B193=K193,F193&gt;5),Polarity!L$5,"")</f>
        <v/>
      </c>
      <c r="M193" s="336" t="str">
        <f>IF(AND(H193=Polarity!L$6,G193=Polarity!L$6),Polarity!L$6,"")</f>
        <v/>
      </c>
    </row>
    <row r="194" spans="1:13" x14ac:dyDescent="0.2">
      <c r="B194" s="5" t="s">
        <v>174</v>
      </c>
      <c r="C194" s="309">
        <v>17.8</v>
      </c>
      <c r="D194" s="309">
        <v>1</v>
      </c>
      <c r="E194" s="309">
        <v>3.1</v>
      </c>
      <c r="F194" s="309">
        <v>9.5</v>
      </c>
      <c r="G194" s="97" t="s">
        <v>236</v>
      </c>
      <c r="H194" s="97" t="s">
        <v>236</v>
      </c>
      <c r="J194" s="344" t="str">
        <f>IF(AND(G194=Polarity!L$4,H194=Polarity!L$4),Polarity!L$4,Polarity!L$6)</f>
        <v>Fail</v>
      </c>
      <c r="K194" s="345" t="str">
        <f>IF(J194=Polarity!L$4,B194,"")</f>
        <v/>
      </c>
      <c r="L194" s="346" t="str">
        <f>IF(AND(B194=K194,F194&gt;5),Polarity!L$5,"")</f>
        <v/>
      </c>
      <c r="M194" s="336" t="str">
        <f>IF(AND(H194=Polarity!L$6,G194=Polarity!L$6),Polarity!L$6,"")</f>
        <v>Fail</v>
      </c>
    </row>
    <row r="195" spans="1:13" x14ac:dyDescent="0.2">
      <c r="A195" s="407"/>
      <c r="B195" s="3" t="s">
        <v>192</v>
      </c>
      <c r="C195" s="311">
        <v>19</v>
      </c>
      <c r="D195" s="311">
        <v>8.8000000000000007</v>
      </c>
      <c r="E195" s="311">
        <v>5.9</v>
      </c>
      <c r="F195" s="311">
        <v>2.74</v>
      </c>
      <c r="G195" s="98" t="s">
        <v>235</v>
      </c>
      <c r="H195" s="98" t="s">
        <v>235</v>
      </c>
      <c r="J195" s="344" t="str">
        <f>IF(AND(G195=Polarity!L$4,H195=Polarity!L$4),Polarity!L$4,Polarity!L$6)</f>
        <v>Pass</v>
      </c>
      <c r="K195" s="345" t="str">
        <f>IF(J195=Polarity!L$4,B195,"")</f>
        <v>Pyridine</v>
      </c>
      <c r="L195" s="421" t="s">
        <v>558</v>
      </c>
      <c r="M195" s="336" t="str">
        <f>IF(AND(H195=Polarity!L$6,G195=Polarity!L$6),Polarity!L$6,"")</f>
        <v/>
      </c>
    </row>
    <row r="196" spans="1:13" x14ac:dyDescent="0.2">
      <c r="B196" s="5" t="s">
        <v>81</v>
      </c>
      <c r="C196" s="311">
        <v>17.899999999999999</v>
      </c>
      <c r="D196" s="311">
        <v>6.5</v>
      </c>
      <c r="E196" s="311">
        <v>7.4</v>
      </c>
      <c r="F196" s="311">
        <v>2.82</v>
      </c>
      <c r="G196" s="98" t="s">
        <v>235</v>
      </c>
      <c r="H196" s="97" t="s">
        <v>236</v>
      </c>
      <c r="J196" s="344" t="str">
        <f>IF(AND(G196=Polarity!L$4,H196=Polarity!L$4),Polarity!L$4,Polarity!L$6)</f>
        <v>Fail</v>
      </c>
      <c r="K196" s="345" t="str">
        <f>IF(J196=Polarity!L$4,B196,"")</f>
        <v/>
      </c>
      <c r="L196" s="346" t="str">
        <f>IF(AND(B196=K196,F196&gt;5),Polarity!L$5,"")</f>
        <v/>
      </c>
      <c r="M196" s="336" t="str">
        <f>IF(AND(H196=Polarity!L$6,G196=Polarity!L$6),Polarity!L$6,"")</f>
        <v/>
      </c>
    </row>
    <row r="197" spans="1:13" x14ac:dyDescent="0.2">
      <c r="A197" s="407"/>
      <c r="B197" s="6" t="s">
        <v>193</v>
      </c>
      <c r="C197" s="309">
        <v>20.5</v>
      </c>
      <c r="D197" s="309">
        <v>5.6</v>
      </c>
      <c r="E197" s="309">
        <v>5.7</v>
      </c>
      <c r="F197" s="309">
        <v>6.53</v>
      </c>
      <c r="G197" s="97" t="s">
        <v>236</v>
      </c>
      <c r="H197" s="97" t="s">
        <v>236</v>
      </c>
      <c r="J197" s="344" t="str">
        <f>IF(AND(G197=Polarity!L$4,H197=Polarity!L$4),Polarity!L$4,Polarity!L$6)</f>
        <v>Fail</v>
      </c>
      <c r="K197" s="345" t="str">
        <f>IF(J197=Polarity!L$4,B197,"")</f>
        <v/>
      </c>
      <c r="L197" s="346" t="str">
        <f>IF(AND(B197=K197,F197&gt;5),Polarity!L$5,"")</f>
        <v/>
      </c>
      <c r="M197" s="336" t="str">
        <f>IF(AND(H197=Polarity!L$6,G197=Polarity!L$6),Polarity!L$6,"")</f>
        <v>Fail</v>
      </c>
    </row>
    <row r="198" spans="1:13" x14ac:dyDescent="0.2">
      <c r="A198" s="407"/>
      <c r="B198" s="2" t="s">
        <v>46</v>
      </c>
      <c r="C198" s="310">
        <v>16.600000000000001</v>
      </c>
      <c r="D198" s="310">
        <v>7.9</v>
      </c>
      <c r="E198" s="310">
        <v>12</v>
      </c>
      <c r="F198" s="310">
        <v>5.3188344587888787</v>
      </c>
      <c r="G198" s="181" t="s">
        <v>235</v>
      </c>
      <c r="H198" s="97" t="s">
        <v>236</v>
      </c>
      <c r="J198" s="344" t="str">
        <f>IF(AND(G198=Polarity!L$4,H198=Polarity!L$4),Polarity!L$4,Polarity!L$6)</f>
        <v>Fail</v>
      </c>
      <c r="K198" s="345" t="str">
        <f>IF(J198=Polarity!L$4,B198,"")</f>
        <v/>
      </c>
      <c r="L198" s="346" t="str">
        <f>IF(AND(B198=K198,F198&gt;5),Polarity!L$5,"")</f>
        <v/>
      </c>
      <c r="M198" s="336" t="str">
        <f>IF(AND(H198=Polarity!L$6,G198=Polarity!L$6),Polarity!L$6,"")</f>
        <v/>
      </c>
    </row>
    <row r="199" spans="1:13" x14ac:dyDescent="0.2">
      <c r="A199" s="407"/>
      <c r="B199" s="2" t="s">
        <v>209</v>
      </c>
      <c r="C199" s="309">
        <v>17.8</v>
      </c>
      <c r="D199" s="309">
        <v>17.399999999999999</v>
      </c>
      <c r="E199" s="309">
        <v>8.6999999999999993</v>
      </c>
      <c r="F199" s="309">
        <v>8.17</v>
      </c>
      <c r="G199" s="97" t="s">
        <v>236</v>
      </c>
      <c r="H199" s="98" t="s">
        <v>235</v>
      </c>
      <c r="J199" s="344" t="str">
        <f>IF(AND(G199=Polarity!L$4,H199=Polarity!L$4),Polarity!L$4,Polarity!L$6)</f>
        <v>Fail</v>
      </c>
      <c r="K199" s="345" t="str">
        <f>IF(J199=Polarity!L$4,B199,"")</f>
        <v/>
      </c>
      <c r="L199" s="346" t="str">
        <f>IF(AND(B199=K199,F199&gt;5),Polarity!L$5,"")</f>
        <v/>
      </c>
      <c r="M199" s="336" t="str">
        <f>IF(AND(H199=Polarity!L$6,G199=Polarity!L$6),Polarity!L$6,"")</f>
        <v/>
      </c>
    </row>
    <row r="200" spans="1:13" x14ac:dyDescent="0.2">
      <c r="B200" s="6" t="s">
        <v>141</v>
      </c>
      <c r="C200" s="309">
        <v>14.4</v>
      </c>
      <c r="D200" s="309">
        <v>3.5</v>
      </c>
      <c r="E200" s="309">
        <v>2.7</v>
      </c>
      <c r="F200" s="309">
        <v>10.51</v>
      </c>
      <c r="G200" s="97" t="s">
        <v>236</v>
      </c>
      <c r="H200" s="97" t="s">
        <v>236</v>
      </c>
      <c r="J200" s="344" t="str">
        <f>IF(AND(G200=Polarity!L$4,H200=Polarity!L$4),Polarity!L$4,Polarity!L$6)</f>
        <v>Fail</v>
      </c>
      <c r="K200" s="345" t="str">
        <f>IF(J200=Polarity!L$4,B200,"")</f>
        <v/>
      </c>
      <c r="L200" s="346" t="str">
        <f>IF(AND(B200=K200,F200&gt;5),Polarity!L$5,"")</f>
        <v/>
      </c>
      <c r="M200" s="336" t="str">
        <f>IF(AND(H200=Polarity!L$6,G200=Polarity!L$6),Polarity!L$6,"")</f>
        <v>Fail</v>
      </c>
    </row>
    <row r="201" spans="1:13" x14ac:dyDescent="0.2">
      <c r="B201" s="2" t="s">
        <v>142</v>
      </c>
      <c r="C201" s="309">
        <v>14.8</v>
      </c>
      <c r="D201" s="309">
        <v>4.3</v>
      </c>
      <c r="E201" s="309">
        <v>5</v>
      </c>
      <c r="F201" s="309">
        <v>8.56</v>
      </c>
      <c r="G201" s="97" t="s">
        <v>236</v>
      </c>
      <c r="H201" s="97" t="s">
        <v>236</v>
      </c>
      <c r="J201" s="344" t="str">
        <f>IF(AND(G201=Polarity!L$4,H201=Polarity!L$4),Polarity!L$4,Polarity!L$6)</f>
        <v>Fail</v>
      </c>
      <c r="K201" s="345" t="str">
        <f>IF(J201=Polarity!L$4,B201,"")</f>
        <v/>
      </c>
      <c r="L201" s="346" t="str">
        <f>IF(AND(B201=K201,F201&gt;5),Polarity!L$5,"")</f>
        <v/>
      </c>
      <c r="M201" s="336" t="str">
        <f>IF(AND(H201=Polarity!L$6,G201=Polarity!L$6),Polarity!L$6,"")</f>
        <v>Fail</v>
      </c>
    </row>
    <row r="202" spans="1:13" x14ac:dyDescent="0.2">
      <c r="B202" s="2" t="s">
        <v>107</v>
      </c>
      <c r="C202" s="309">
        <v>18.3</v>
      </c>
      <c r="D202" s="309">
        <v>5.7</v>
      </c>
      <c r="E202" s="309">
        <v>0</v>
      </c>
      <c r="F202" s="309">
        <v>8.52</v>
      </c>
      <c r="G202" s="97" t="s">
        <v>236</v>
      </c>
      <c r="H202" s="97" t="s">
        <v>236</v>
      </c>
      <c r="J202" s="344" t="str">
        <f>IF(AND(G202=Polarity!L$4,H202=Polarity!L$4),Polarity!L$4,Polarity!L$6)</f>
        <v>Fail</v>
      </c>
      <c r="K202" s="345" t="str">
        <f>IF(J202=Polarity!L$4,B202,"")</f>
        <v/>
      </c>
      <c r="L202" s="346" t="str">
        <f>IF(AND(B202=K202,F202&gt;5),Polarity!L$5,"")</f>
        <v/>
      </c>
      <c r="M202" s="336" t="str">
        <f>IF(AND(H202=Polarity!L$6,G202=Polarity!L$6),Polarity!L$6,"")</f>
        <v>Fail</v>
      </c>
    </row>
    <row r="203" spans="1:13" x14ac:dyDescent="0.2">
      <c r="A203" s="407"/>
      <c r="B203" s="2" t="s">
        <v>57</v>
      </c>
      <c r="C203" s="309">
        <v>16.399999999999999</v>
      </c>
      <c r="D203" s="309">
        <v>9.4</v>
      </c>
      <c r="E203" s="309">
        <v>15.3</v>
      </c>
      <c r="F203" s="309">
        <v>8.25</v>
      </c>
      <c r="G203" s="97" t="s">
        <v>236</v>
      </c>
      <c r="H203" s="98" t="s">
        <v>235</v>
      </c>
      <c r="J203" s="344" t="str">
        <f>IF(AND(G203=Polarity!L$4,H203=Polarity!L$4),Polarity!L$4,Polarity!L$6)</f>
        <v>Fail</v>
      </c>
      <c r="K203" s="345" t="str">
        <f>IF(J203=Polarity!L$4,B203,"")</f>
        <v/>
      </c>
      <c r="L203" s="346" t="str">
        <f>IF(AND(B203=K203,F203&gt;5),Polarity!L$5,"")</f>
        <v/>
      </c>
      <c r="M203" s="336" t="str">
        <f>IF(AND(H203=Polarity!L$6,G203=Polarity!L$6),Polarity!L$6,"")</f>
        <v/>
      </c>
    </row>
    <row r="204" spans="1:13" x14ac:dyDescent="0.2">
      <c r="B204" s="6" t="s">
        <v>143</v>
      </c>
      <c r="C204" s="311">
        <v>16.8</v>
      </c>
      <c r="D204" s="311">
        <v>5.7</v>
      </c>
      <c r="E204" s="311">
        <v>8</v>
      </c>
      <c r="F204" s="311">
        <v>4.34</v>
      </c>
      <c r="G204" s="98" t="s">
        <v>235</v>
      </c>
      <c r="H204" s="97" t="s">
        <v>236</v>
      </c>
      <c r="J204" s="344" t="str">
        <f>IF(AND(G204=Polarity!L$4,H204=Polarity!L$4),Polarity!L$4,Polarity!L$6)</f>
        <v>Fail</v>
      </c>
      <c r="K204" s="345" t="str">
        <f>IF(J204=Polarity!L$4,B204,"")</f>
        <v/>
      </c>
      <c r="L204" s="346" t="str">
        <f>IF(AND(B204=K204,F204&gt;5),Polarity!L$5,"")</f>
        <v/>
      </c>
      <c r="M204" s="336" t="str">
        <f>IF(AND(H204=Polarity!L$6,G204=Polarity!L$6),Polarity!L$6,"")</f>
        <v/>
      </c>
    </row>
    <row r="205" spans="1:13" x14ac:dyDescent="0.2">
      <c r="A205" s="407"/>
      <c r="B205" s="2" t="s">
        <v>47</v>
      </c>
      <c r="C205" s="312">
        <v>17.8</v>
      </c>
      <c r="D205" s="312">
        <v>8.1999999999999993</v>
      </c>
      <c r="E205" s="312">
        <v>12.9</v>
      </c>
      <c r="F205" s="312">
        <v>5.33</v>
      </c>
      <c r="G205" s="181" t="s">
        <v>235</v>
      </c>
      <c r="H205" s="98" t="s">
        <v>235</v>
      </c>
      <c r="J205" s="344" t="str">
        <f>IF(AND(G205=Polarity!L$4,H205=Polarity!L$4),Polarity!L$4,Polarity!L$6)</f>
        <v>Pass</v>
      </c>
      <c r="K205" s="345" t="str">
        <f>IF(J205=Polarity!L$4,B205,"")</f>
        <v>Tetrahydrofurfuryl alcohol</v>
      </c>
      <c r="L205" s="346" t="str">
        <f>IF(AND(B205=K205,F205&gt;5),Polarity!L$5,"")</f>
        <v>Borderline (still considered a pass)</v>
      </c>
      <c r="M205" s="336" t="str">
        <f>IF(AND(H205=Polarity!L$6,G205=Polarity!L$6),Polarity!L$6,"")</f>
        <v/>
      </c>
    </row>
    <row r="206" spans="1:13" x14ac:dyDescent="0.2">
      <c r="B206" s="2" t="s">
        <v>175</v>
      </c>
      <c r="C206" s="309">
        <v>18</v>
      </c>
      <c r="D206" s="309">
        <v>1.4</v>
      </c>
      <c r="E206" s="309">
        <v>2</v>
      </c>
      <c r="F206" s="309">
        <v>9.74</v>
      </c>
      <c r="G206" s="97" t="s">
        <v>236</v>
      </c>
      <c r="H206" s="97" t="s">
        <v>236</v>
      </c>
      <c r="J206" s="344" t="str">
        <f>IF(AND(G206=Polarity!L$4,H206=Polarity!L$4),Polarity!L$4,Polarity!L$6)</f>
        <v>Fail</v>
      </c>
      <c r="K206" s="345" t="str">
        <f>IF(J206=Polarity!L$4,B206,"")</f>
        <v/>
      </c>
      <c r="L206" s="346" t="str">
        <f>IF(AND(B206=K206,F206&gt;5),Polarity!L$5,"")</f>
        <v/>
      </c>
      <c r="M206" s="336" t="str">
        <f>IF(AND(H206=Polarity!L$6,G206=Polarity!L$6),Polarity!L$6,"")</f>
        <v>Fail</v>
      </c>
    </row>
    <row r="207" spans="1:13" x14ac:dyDescent="0.2">
      <c r="A207" s="407"/>
      <c r="B207" s="2" t="s">
        <v>58</v>
      </c>
      <c r="C207" s="309">
        <v>16</v>
      </c>
      <c r="D207" s="309">
        <v>12.5</v>
      </c>
      <c r="E207" s="309">
        <v>18.600000000000001</v>
      </c>
      <c r="F207" s="309">
        <v>12.04</v>
      </c>
      <c r="G207" s="97" t="s">
        <v>236</v>
      </c>
      <c r="H207" s="97" t="s">
        <v>236</v>
      </c>
      <c r="J207" s="344" t="str">
        <f>IF(AND(G207=Polarity!L$4,H207=Polarity!L$4),Polarity!L$4,Polarity!L$6)</f>
        <v>Fail</v>
      </c>
      <c r="K207" s="345" t="str">
        <f>IF(J207=Polarity!L$4,B207,"")</f>
        <v/>
      </c>
      <c r="L207" s="346" t="str">
        <f>IF(AND(B207=K207,F207&gt;5),Polarity!L$5,"")</f>
        <v/>
      </c>
      <c r="M207" s="336" t="str">
        <f>IF(AND(H207=Polarity!L$6,G207=Polarity!L$6),Polarity!L$6,"")</f>
        <v>Fail</v>
      </c>
    </row>
    <row r="208" spans="1:13" x14ac:dyDescent="0.2">
      <c r="A208" s="407"/>
      <c r="B208" s="2" t="s">
        <v>330</v>
      </c>
      <c r="C208" s="312">
        <v>16.5</v>
      </c>
      <c r="D208" s="312">
        <v>4.5</v>
      </c>
      <c r="E208" s="312">
        <v>9.1</v>
      </c>
      <c r="F208" s="312">
        <v>5.83</v>
      </c>
      <c r="G208" s="181" t="s">
        <v>235</v>
      </c>
      <c r="H208" s="98" t="s">
        <v>235</v>
      </c>
      <c r="J208" s="344" t="str">
        <f>IF(AND(G208=Polarity!L$4,H208=Polarity!L$4),Polarity!L$4,Polarity!L$6)</f>
        <v>Pass</v>
      </c>
      <c r="K208" s="345" t="str">
        <f>IF(J208=Polarity!L$4,B208,"")</f>
        <v>Triacetin</v>
      </c>
      <c r="L208" s="346" t="str">
        <f>IF(AND(B208=K208,F208&gt;5),Polarity!L$5,"")</f>
        <v>Borderline (still considered a pass)</v>
      </c>
      <c r="M208" s="336" t="str">
        <f>IF(AND(H208=Polarity!L$6,G208=Polarity!L$6),Polarity!L$6,"")</f>
        <v/>
      </c>
    </row>
    <row r="209" spans="1:13" x14ac:dyDescent="0.2">
      <c r="A209" s="407"/>
      <c r="B209" s="2" t="s">
        <v>82</v>
      </c>
      <c r="C209" s="309">
        <v>15.7</v>
      </c>
      <c r="D209" s="309">
        <v>2.2000000000000002</v>
      </c>
      <c r="E209" s="309">
        <v>2.1</v>
      </c>
      <c r="F209" s="309">
        <v>10.15</v>
      </c>
      <c r="G209" s="97" t="s">
        <v>236</v>
      </c>
      <c r="H209" s="97" t="s">
        <v>236</v>
      </c>
      <c r="J209" s="344" t="str">
        <f>IF(AND(G209=Polarity!L$4,H209=Polarity!L$4),Polarity!L$4,Polarity!L$6)</f>
        <v>Fail</v>
      </c>
      <c r="K209" s="345" t="str">
        <f>IF(J209=Polarity!L$4,B209,"")</f>
        <v/>
      </c>
      <c r="L209" s="346" t="str">
        <f>IF(AND(B209=K209,F209&gt;5),Polarity!L$5,"")</f>
        <v/>
      </c>
      <c r="M209" s="336" t="str">
        <f>IF(AND(H209=Polarity!L$6,G209=Polarity!L$6),Polarity!L$6,"")</f>
        <v>Fail</v>
      </c>
    </row>
    <row r="210" spans="1:13" x14ac:dyDescent="0.2">
      <c r="A210" s="407"/>
      <c r="B210" s="6" t="s">
        <v>202</v>
      </c>
      <c r="C210" s="312">
        <v>16.3</v>
      </c>
      <c r="D210" s="312">
        <v>6.3</v>
      </c>
      <c r="E210" s="312">
        <v>4.3</v>
      </c>
      <c r="F210" s="312">
        <v>5.67</v>
      </c>
      <c r="G210" s="181" t="s">
        <v>235</v>
      </c>
      <c r="H210" s="97" t="s">
        <v>236</v>
      </c>
      <c r="J210" s="344" t="str">
        <f>IF(AND(G210=Polarity!L$4,H210=Polarity!L$4),Polarity!L$4,Polarity!L$6)</f>
        <v>Fail</v>
      </c>
      <c r="K210" s="345" t="str">
        <f>IF(J210=Polarity!L$4,B210,"")</f>
        <v/>
      </c>
      <c r="L210" s="346" t="str">
        <f>IF(AND(B210=K210,F210&gt;5),Polarity!L$5,"")</f>
        <v/>
      </c>
      <c r="M210" s="336" t="str">
        <f>IF(AND(H210=Polarity!L$6,G210=Polarity!L$6),Polarity!L$6,"")</f>
        <v/>
      </c>
    </row>
    <row r="211" spans="1:13" x14ac:dyDescent="0.2">
      <c r="B211" s="6" t="s">
        <v>10</v>
      </c>
      <c r="C211" s="312">
        <v>18.3</v>
      </c>
      <c r="D211" s="312">
        <v>7</v>
      </c>
      <c r="E211" s="312">
        <v>13</v>
      </c>
      <c r="F211" s="312">
        <v>5.81</v>
      </c>
      <c r="G211" s="181" t="s">
        <v>235</v>
      </c>
      <c r="H211" s="97" t="s">
        <v>236</v>
      </c>
      <c r="J211" s="344" t="str">
        <f>IF(AND(G211=Polarity!L$4,H211=Polarity!L$4),Polarity!L$4,Polarity!L$6)</f>
        <v>Fail</v>
      </c>
      <c r="K211" s="345" t="str">
        <f>IF(J211=Polarity!L$4,B211,"")</f>
        <v/>
      </c>
      <c r="L211" s="346" t="str">
        <f>IF(AND(B211=K211,F211&gt;5),Polarity!L$5,"")</f>
        <v/>
      </c>
      <c r="M211" s="336" t="str">
        <f>IF(AND(H211=Polarity!L$6,G211=Polarity!L$6),Polarity!L$6,"")</f>
        <v/>
      </c>
    </row>
    <row r="212" spans="1:13" x14ac:dyDescent="0.2">
      <c r="A212" s="408"/>
      <c r="B212" s="2" t="s">
        <v>108</v>
      </c>
      <c r="C212" s="309">
        <v>18</v>
      </c>
      <c r="D212" s="309">
        <v>3.1</v>
      </c>
      <c r="E212" s="309">
        <v>5.3</v>
      </c>
      <c r="F212" s="309">
        <v>6.65</v>
      </c>
      <c r="G212" s="97" t="s">
        <v>236</v>
      </c>
      <c r="H212" s="97" t="s">
        <v>236</v>
      </c>
      <c r="J212" s="344" t="str">
        <f>IF(AND(G212=Polarity!L$4,H212=Polarity!L$4),Polarity!L$4,Polarity!L$6)</f>
        <v>Fail</v>
      </c>
      <c r="K212" s="345" t="str">
        <f>IF(J212=Polarity!L$4,B212,"")</f>
        <v/>
      </c>
      <c r="L212" s="346" t="str">
        <f>IF(AND(B212=K212,F212&gt;5),Polarity!L$5,"")</f>
        <v/>
      </c>
      <c r="M212" s="336" t="str">
        <f>IF(AND(H212=Polarity!L$6,G212=Polarity!L$6),Polarity!L$6,"")</f>
        <v>Fail</v>
      </c>
    </row>
    <row r="213" spans="1:13" x14ac:dyDescent="0.2">
      <c r="B213" s="6" t="s">
        <v>83</v>
      </c>
      <c r="C213" s="309">
        <v>15.5</v>
      </c>
      <c r="D213" s="309">
        <v>0.4</v>
      </c>
      <c r="E213" s="309">
        <v>1</v>
      </c>
      <c r="F213" s="309">
        <v>12.21</v>
      </c>
      <c r="G213" s="97" t="s">
        <v>236</v>
      </c>
      <c r="H213" s="97" t="s">
        <v>236</v>
      </c>
      <c r="J213" s="344" t="str">
        <f>IF(AND(G213=Polarity!L$4,H213=Polarity!L$4),Polarity!L$4,Polarity!L$6)</f>
        <v>Fail</v>
      </c>
      <c r="K213" s="345" t="str">
        <f>IF(J213=Polarity!L$4,B213,"")</f>
        <v/>
      </c>
      <c r="L213" s="346" t="str">
        <f>IF(AND(B213=K213,F213&gt;5),Polarity!L$5,"")</f>
        <v/>
      </c>
      <c r="M213" s="336" t="str">
        <f>IF(AND(H213=Polarity!L$6,G213=Polarity!L$6),Polarity!L$6,"")</f>
        <v>Fail</v>
      </c>
    </row>
    <row r="214" spans="1:13" x14ac:dyDescent="0.2">
      <c r="A214" s="407"/>
      <c r="B214" s="6" t="s">
        <v>438</v>
      </c>
      <c r="C214" s="308">
        <v>16.5</v>
      </c>
      <c r="D214" s="308">
        <v>4.9000000000000004</v>
      </c>
      <c r="E214" s="308">
        <v>12</v>
      </c>
      <c r="F214" s="308">
        <v>6.84</v>
      </c>
      <c r="G214" s="97" t="s">
        <v>236</v>
      </c>
      <c r="H214" s="100" t="s">
        <v>237</v>
      </c>
      <c r="J214" s="344" t="str">
        <f>IF(AND(G214=Polarity!L$4,H214=Polarity!L$4),Polarity!L$4,Polarity!L$6)</f>
        <v>Fail</v>
      </c>
      <c r="K214" s="345" t="str">
        <f>IF(J214=Polarity!L$4,B214,"")</f>
        <v/>
      </c>
      <c r="L214" s="346" t="str">
        <f>IF(AND(B214=K214,F214&gt;5),Polarity!L$5,"")</f>
        <v/>
      </c>
      <c r="M214" s="336" t="str">
        <f>IF(AND(H214=Polarity!L$6,G214=Polarity!L$6),Polarity!L$6,"")</f>
        <v/>
      </c>
    </row>
    <row r="215" spans="1:13" x14ac:dyDescent="0.2">
      <c r="A215" s="407"/>
      <c r="B215" s="7" t="s">
        <v>154</v>
      </c>
      <c r="C215" s="312">
        <v>15.9</v>
      </c>
      <c r="D215" s="312">
        <v>5.9</v>
      </c>
      <c r="E215" s="312">
        <v>6.4</v>
      </c>
      <c r="F215" s="312">
        <v>5.56</v>
      </c>
      <c r="G215" s="181" t="s">
        <v>235</v>
      </c>
      <c r="H215" s="97" t="s">
        <v>236</v>
      </c>
      <c r="J215" s="344" t="str">
        <f>IF(AND(G215=Polarity!L$4,H215=Polarity!L$4),Polarity!L$4,Polarity!L$6)</f>
        <v>Fail</v>
      </c>
      <c r="K215" s="345" t="str">
        <f>IF(J215=Polarity!L$4,B215,"")</f>
        <v/>
      </c>
      <c r="L215" s="346" t="str">
        <f>IF(AND(B215=K215,F215&gt;5),Polarity!L$5,"")</f>
        <v/>
      </c>
      <c r="M215" s="336" t="str">
        <f>IF(AND(H215=Polarity!L$6,G215=Polarity!L$6),Polarity!L$6,"")</f>
        <v/>
      </c>
    </row>
    <row r="216" spans="1:13" x14ac:dyDescent="0.2">
      <c r="B216" s="6" t="s">
        <v>203</v>
      </c>
      <c r="C216" s="311">
        <v>16.7</v>
      </c>
      <c r="D216" s="311">
        <v>11.4</v>
      </c>
      <c r="E216" s="311">
        <v>9.1999999999999993</v>
      </c>
      <c r="F216" s="311">
        <v>3.66</v>
      </c>
      <c r="G216" s="98" t="s">
        <v>235</v>
      </c>
      <c r="H216" s="98" t="s">
        <v>235</v>
      </c>
      <c r="J216" s="344" t="str">
        <f>IF(AND(G216=Polarity!L$4,H216=Polarity!L$4),Polarity!L$4,Polarity!L$6)</f>
        <v>Pass</v>
      </c>
      <c r="K216" s="345" t="str">
        <f>IF(J216=Polarity!L$4,B216,"")</f>
        <v>Triethylphosphate</v>
      </c>
      <c r="L216" s="421" t="s">
        <v>558</v>
      </c>
      <c r="M216" s="336" t="str">
        <f>IF(AND(H216=Polarity!L$6,G216=Polarity!L$6),Polarity!L$6,"")</f>
        <v/>
      </c>
    </row>
    <row r="217" spans="1:13" x14ac:dyDescent="0.2">
      <c r="A217" s="407"/>
      <c r="B217" s="6" t="s">
        <v>85</v>
      </c>
      <c r="C217" s="309">
        <v>15.5</v>
      </c>
      <c r="D217" s="309">
        <v>16</v>
      </c>
      <c r="E217" s="309">
        <v>42.3</v>
      </c>
      <c r="F217" s="309">
        <v>35.6</v>
      </c>
      <c r="G217" s="97" t="s">
        <v>236</v>
      </c>
      <c r="H217" s="97" t="s">
        <v>236</v>
      </c>
      <c r="J217" s="344" t="str">
        <f>IF(AND(G217=Polarity!L$4,H217=Polarity!L$4),Polarity!L$4,Polarity!L$6)</f>
        <v>Fail</v>
      </c>
      <c r="K217" s="345" t="str">
        <f>IF(J217=Polarity!L$4,B217,"")</f>
        <v/>
      </c>
      <c r="L217" s="346" t="str">
        <f>IF(AND(B217=K217,F217&gt;5),Polarity!L$5,"")</f>
        <v/>
      </c>
      <c r="M217" s="336" t="str">
        <f>IF(AND(H217=Polarity!L$6,G217=Polarity!L$6),Polarity!L$6,"")</f>
        <v>Fail</v>
      </c>
    </row>
    <row r="218" spans="1:13" x14ac:dyDescent="0.2">
      <c r="B218" s="6" t="s">
        <v>109</v>
      </c>
      <c r="C218" s="312">
        <v>17</v>
      </c>
      <c r="D218" s="312">
        <v>8</v>
      </c>
      <c r="E218" s="312">
        <v>3.2</v>
      </c>
      <c r="F218" s="312">
        <v>5.09</v>
      </c>
      <c r="G218" s="181" t="s">
        <v>235</v>
      </c>
      <c r="H218" s="97" t="s">
        <v>236</v>
      </c>
      <c r="J218" s="344" t="str">
        <f>IF(AND(G218=Polarity!L$4,H218=Polarity!L$4),Polarity!L$4,Polarity!L$6)</f>
        <v>Fail</v>
      </c>
      <c r="K218" s="345" t="str">
        <f>IF(J218=Polarity!L$4,B218,"")</f>
        <v/>
      </c>
      <c r="L218" s="346" t="str">
        <f>IF(AND(B218=K218,F218&gt;5),Polarity!L$5,"")</f>
        <v/>
      </c>
      <c r="M218" s="336" t="str">
        <f>IF(AND(H218=Polarity!L$6,G218=Polarity!L$6),Polarity!L$6,"")</f>
        <v/>
      </c>
    </row>
    <row r="219" spans="1:13" x14ac:dyDescent="0.2">
      <c r="A219" s="407"/>
      <c r="B219" s="6" t="s">
        <v>176</v>
      </c>
      <c r="C219" s="309">
        <v>16.399999999999999</v>
      </c>
      <c r="D219" s="309">
        <v>1.1000000000000001</v>
      </c>
      <c r="E219" s="309">
        <v>2.2000000000000002</v>
      </c>
      <c r="F219" s="309">
        <v>10.38</v>
      </c>
      <c r="G219" s="97" t="s">
        <v>236</v>
      </c>
      <c r="H219" s="97" t="s">
        <v>236</v>
      </c>
      <c r="J219" s="344" t="str">
        <f>IF(AND(G219=Polarity!L$4,H219=Polarity!L$4),Polarity!L$4,Polarity!L$6)</f>
        <v>Fail</v>
      </c>
      <c r="K219" s="345" t="str">
        <f>IF(J219=Polarity!L$4,B219,"")</f>
        <v/>
      </c>
      <c r="L219" s="346" t="str">
        <f>IF(AND(B219=K219,F219&gt;5),Polarity!L$5,"")</f>
        <v/>
      </c>
      <c r="M219" s="336" t="str">
        <f>IF(AND(H219=Polarity!L$6,G219=Polarity!L$6),Polarity!L$6,"")</f>
        <v>Fail</v>
      </c>
    </row>
    <row r="220" spans="1:13" x14ac:dyDescent="0.2">
      <c r="A220" s="407"/>
      <c r="B220" s="2" t="s">
        <v>29</v>
      </c>
      <c r="C220" s="312">
        <v>17.100000000000001</v>
      </c>
      <c r="D220" s="312">
        <v>3.6</v>
      </c>
      <c r="E220" s="312">
        <v>7.6</v>
      </c>
      <c r="F220" s="312">
        <v>5.98</v>
      </c>
      <c r="G220" s="181" t="s">
        <v>235</v>
      </c>
      <c r="H220" s="97" t="s">
        <v>236</v>
      </c>
      <c r="J220" s="344" t="str">
        <f>IF(AND(G220=Polarity!L$4,H220=Polarity!L$4),Polarity!L$4,Polarity!L$6)</f>
        <v>Fail</v>
      </c>
      <c r="K220" s="345" t="str">
        <f>IF(J220=Polarity!L$4,B220,"")</f>
        <v/>
      </c>
      <c r="L220" s="346" t="str">
        <f>IF(AND(B220=K220,F220&gt;5),Polarity!L$5,"")</f>
        <v/>
      </c>
      <c r="M220" s="336" t="str">
        <f>IF(AND(H220=Polarity!L$6,G220=Polarity!L$6),Polarity!L$6,"")</f>
        <v/>
      </c>
    </row>
    <row r="221" spans="1:13" x14ac:dyDescent="0.2">
      <c r="A221" s="407"/>
      <c r="B221" s="2" t="s">
        <v>177</v>
      </c>
      <c r="C221" s="309">
        <v>16.3</v>
      </c>
      <c r="D221" s="309">
        <v>1.1000000000000001</v>
      </c>
      <c r="E221" s="309">
        <v>1.9</v>
      </c>
      <c r="F221" s="309">
        <v>10.6</v>
      </c>
      <c r="G221" s="97" t="s">
        <v>236</v>
      </c>
      <c r="H221" s="97" t="s">
        <v>236</v>
      </c>
      <c r="J221" s="344" t="str">
        <f>IF(AND(G221=Polarity!L$4,H221=Polarity!L$4),Polarity!L$4,Polarity!L$6)</f>
        <v>Fail</v>
      </c>
      <c r="K221" s="345" t="str">
        <f>IF(J221=Polarity!L$4,B221,"")</f>
        <v/>
      </c>
      <c r="L221" s="346" t="str">
        <f>IF(AND(B221=K221,F221&gt;5),Polarity!L$5,"")</f>
        <v/>
      </c>
      <c r="M221" s="336" t="str">
        <f>IF(AND(H221=Polarity!L$6,G221=Polarity!L$6),Polarity!L$6,"")</f>
        <v>Fail</v>
      </c>
    </row>
    <row r="222" spans="1:13" x14ac:dyDescent="0.2">
      <c r="A222" s="407"/>
      <c r="B222" s="7" t="s">
        <v>261</v>
      </c>
      <c r="C222" s="309">
        <v>18</v>
      </c>
      <c r="D222" s="309">
        <v>16.600000000000001</v>
      </c>
      <c r="E222" s="309">
        <v>7.4</v>
      </c>
      <c r="F222" s="309">
        <v>7.31</v>
      </c>
      <c r="G222" s="97" t="s">
        <v>236</v>
      </c>
      <c r="H222" s="98" t="s">
        <v>235</v>
      </c>
      <c r="J222" s="344" t="str">
        <f>IF(AND(G222=Polarity!L$4,H222=Polarity!L$4),Polarity!L$4,Polarity!L$6)</f>
        <v>Fail</v>
      </c>
      <c r="K222" s="345" t="str">
        <f>IF(J222=Polarity!L$4,B222,"")</f>
        <v/>
      </c>
      <c r="L222" s="346" t="str">
        <f>IF(AND(B222=K222,F222&gt;5),Polarity!L$5,"")</f>
        <v/>
      </c>
      <c r="M222" s="336" t="str">
        <f>IF(AND(H222=Polarity!L$6,G222=Polarity!L$6),Polarity!L$6,"")</f>
        <v/>
      </c>
    </row>
    <row r="223" spans="1:13" x14ac:dyDescent="0.2">
      <c r="A223" s="407"/>
      <c r="B223" s="6" t="s">
        <v>340</v>
      </c>
      <c r="C223" s="335">
        <v>16.899999999999999</v>
      </c>
      <c r="D223" s="335">
        <v>11.5</v>
      </c>
      <c r="E223" s="335">
        <v>6.3</v>
      </c>
      <c r="F223" s="335">
        <v>3.41</v>
      </c>
      <c r="G223" s="98" t="s">
        <v>235</v>
      </c>
      <c r="H223" s="100" t="s">
        <v>237</v>
      </c>
      <c r="J223" s="344" t="str">
        <f>IF(AND(G223=Polarity!L$4,H223=Polarity!L$4),Polarity!L$4,Polarity!L$6)</f>
        <v>Fail</v>
      </c>
      <c r="K223" s="345" t="str">
        <f>IF(J223=Polarity!L$4,B223,"")</f>
        <v/>
      </c>
      <c r="L223" s="346" t="str">
        <f>IF(AND(B223=K223,F223&gt;5),Polarity!L$5,"")</f>
        <v/>
      </c>
      <c r="M223" s="336" t="str">
        <f>IF(AND(H223=Polarity!L$6,G223=Polarity!L$6),Polarity!L$6,"")</f>
        <v/>
      </c>
    </row>
    <row r="224" spans="1:13" x14ac:dyDescent="0.2">
      <c r="K224" s="46"/>
    </row>
    <row r="225" spans="2:12" x14ac:dyDescent="0.2">
      <c r="B225" s="190" t="s">
        <v>348</v>
      </c>
      <c r="C225" s="342">
        <f>COUNTA(B7:B223)-COUNTIF(M7:M223,Polarity!L6)</f>
        <v>120</v>
      </c>
      <c r="D225" s="349"/>
      <c r="E225" s="349"/>
      <c r="F225" s="349"/>
      <c r="G225" s="350">
        <f>COUNTIF(G7:G223,"PASS")</f>
        <v>80</v>
      </c>
      <c r="H225" s="351">
        <f>COUNTIF(H7:H223,"PASS")</f>
        <v>53</v>
      </c>
      <c r="J225" s="190" t="s">
        <v>350</v>
      </c>
      <c r="K225" s="192"/>
      <c r="L225" s="412">
        <f>COUNTA(K7:K223)-COUNTIF(K7:K223,"")</f>
        <v>29</v>
      </c>
    </row>
    <row r="226" spans="2:12" x14ac:dyDescent="0.2">
      <c r="K226" s="46"/>
    </row>
    <row r="227" spans="2:12" x14ac:dyDescent="0.2">
      <c r="K227" s="46"/>
    </row>
    <row r="228" spans="2:12" x14ac:dyDescent="0.2">
      <c r="K228" s="46"/>
    </row>
    <row r="229" spans="2:12" x14ac:dyDescent="0.2">
      <c r="K229" s="46"/>
    </row>
    <row r="230" spans="2:12" x14ac:dyDescent="0.2">
      <c r="K230" s="46"/>
    </row>
    <row r="231" spans="2:12" x14ac:dyDescent="0.2">
      <c r="K231" s="46"/>
    </row>
    <row r="232" spans="2:12" x14ac:dyDescent="0.2">
      <c r="K232" s="46"/>
    </row>
    <row r="233" spans="2:12" x14ac:dyDescent="0.2">
      <c r="K233" s="46"/>
    </row>
    <row r="234" spans="2:12" x14ac:dyDescent="0.2">
      <c r="K234" s="46"/>
    </row>
    <row r="235" spans="2:12" x14ac:dyDescent="0.2">
      <c r="K235" s="46"/>
    </row>
    <row r="236" spans="2:12" x14ac:dyDescent="0.2">
      <c r="K236" s="46"/>
    </row>
    <row r="237" spans="2:12" x14ac:dyDescent="0.2">
      <c r="K237" s="46"/>
    </row>
    <row r="238" spans="2:12" x14ac:dyDescent="0.2">
      <c r="K238" s="46"/>
    </row>
    <row r="239" spans="2:12" x14ac:dyDescent="0.2">
      <c r="K239" s="46"/>
    </row>
    <row r="243" spans="7:9" x14ac:dyDescent="0.2">
      <c r="G243" s="184"/>
      <c r="H243" s="113"/>
      <c r="I243" s="114"/>
    </row>
    <row r="244" spans="7:9" x14ac:dyDescent="0.2">
      <c r="G244" s="185"/>
      <c r="H244" s="88"/>
      <c r="I244" s="89"/>
    </row>
    <row r="245" spans="7:9" x14ac:dyDescent="0.2">
      <c r="G245" s="185"/>
      <c r="H245" s="88"/>
      <c r="I245" s="89"/>
    </row>
    <row r="246" spans="7:9" x14ac:dyDescent="0.2">
      <c r="G246" s="185"/>
      <c r="H246" s="88"/>
      <c r="I246" s="89"/>
    </row>
    <row r="247" spans="7:9" x14ac:dyDescent="0.2">
      <c r="G247" s="185"/>
      <c r="H247" s="88"/>
      <c r="I247" s="89"/>
    </row>
    <row r="248" spans="7:9" x14ac:dyDescent="0.2">
      <c r="G248" s="185"/>
      <c r="H248" s="88"/>
      <c r="I248" s="89"/>
    </row>
    <row r="249" spans="7:9" x14ac:dyDescent="0.2">
      <c r="G249" s="185"/>
      <c r="H249" s="88"/>
      <c r="I249" s="89"/>
    </row>
    <row r="250" spans="7:9" x14ac:dyDescent="0.2">
      <c r="G250" s="185"/>
      <c r="H250" s="88"/>
      <c r="I250" s="89"/>
    </row>
    <row r="251" spans="7:9" x14ac:dyDescent="0.2">
      <c r="G251" s="185"/>
      <c r="H251" s="88"/>
      <c r="I251" s="89"/>
    </row>
    <row r="252" spans="7:9" ht="15.75" x14ac:dyDescent="0.25">
      <c r="G252" s="186" t="s">
        <v>312</v>
      </c>
      <c r="H252" s="91"/>
      <c r="I252" s="92"/>
    </row>
  </sheetData>
  <sortState ref="P11:U38">
    <sortCondition ref="T11:T38"/>
  </sortState>
  <mergeCells count="2">
    <mergeCell ref="B2:F4"/>
    <mergeCell ref="O43:Y4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7"/>
  <sheetViews>
    <sheetView zoomScale="80" zoomScaleNormal="80" workbookViewId="0"/>
  </sheetViews>
  <sheetFormatPr defaultColWidth="9.140625" defaultRowHeight="12.75" x14ac:dyDescent="0.2"/>
  <cols>
    <col min="1" max="1" width="1.42578125" style="39" customWidth="1"/>
    <col min="2" max="2" width="55.7109375" style="8" customWidth="1"/>
    <col min="3" max="3" width="12.7109375" style="21" customWidth="1"/>
    <col min="4" max="4" width="28.5703125" style="8" customWidth="1"/>
    <col min="5" max="7" width="12.7109375" style="20" customWidth="1"/>
    <col min="8" max="8" width="51.42578125" style="8" customWidth="1"/>
    <col min="9" max="9" width="3.42578125" style="39" customWidth="1"/>
    <col min="10" max="11" width="15.7109375" style="39" customWidth="1"/>
    <col min="12" max="13" width="9.140625" style="39" customWidth="1"/>
    <col min="14" max="14" width="3.42578125" style="46" customWidth="1"/>
    <col min="15" max="15" width="20" style="39" customWidth="1"/>
    <col min="16" max="17" width="12.85546875" style="39" customWidth="1"/>
    <col min="18" max="18" width="90" style="39" customWidth="1"/>
    <col min="19" max="19" width="20" style="39" customWidth="1"/>
    <col min="20" max="16384" width="9.140625" style="39"/>
  </cols>
  <sheetData>
    <row r="1" spans="2:19" ht="15" customHeight="1" x14ac:dyDescent="0.2"/>
    <row r="2" spans="2:19" ht="15" customHeight="1" x14ac:dyDescent="0.2"/>
    <row r="3" spans="2:19" ht="45" customHeight="1" x14ac:dyDescent="0.2">
      <c r="B3" s="73" t="s">
        <v>0</v>
      </c>
      <c r="C3" s="74" t="s">
        <v>333</v>
      </c>
      <c r="D3" s="74" t="s">
        <v>212</v>
      </c>
      <c r="E3" s="75" t="s">
        <v>213</v>
      </c>
      <c r="F3" s="75" t="s">
        <v>343</v>
      </c>
      <c r="G3" s="75" t="s">
        <v>214</v>
      </c>
      <c r="H3" s="75" t="s">
        <v>212</v>
      </c>
      <c r="J3" s="76" t="s">
        <v>265</v>
      </c>
      <c r="K3" s="76" t="s">
        <v>374</v>
      </c>
      <c r="L3" s="77" t="s">
        <v>264</v>
      </c>
      <c r="M3" s="105" t="s">
        <v>285</v>
      </c>
      <c r="N3" s="72"/>
      <c r="O3" s="322" t="s">
        <v>435</v>
      </c>
      <c r="P3" s="118"/>
      <c r="Q3" s="118"/>
      <c r="R3" s="118"/>
      <c r="S3" s="118"/>
    </row>
    <row r="4" spans="2:19" ht="15" customHeight="1" x14ac:dyDescent="0.2">
      <c r="B4" s="1" t="s">
        <v>55</v>
      </c>
      <c r="C4" s="51">
        <v>1.25</v>
      </c>
      <c r="D4" s="52" t="s">
        <v>217</v>
      </c>
      <c r="E4" s="11">
        <v>954</v>
      </c>
      <c r="F4" s="9">
        <f t="shared" ref="F4:F36" si="0">LOG(E4)</f>
        <v>2.9795483747040952</v>
      </c>
      <c r="G4" s="11">
        <v>25</v>
      </c>
      <c r="H4" s="10" t="s">
        <v>216</v>
      </c>
      <c r="J4" s="70">
        <f t="shared" ref="J4:J48" si="1">(C4/E4)</f>
        <v>1.3102725366876311E-3</v>
      </c>
      <c r="K4" s="70" t="str">
        <f t="shared" ref="K4:K35" si="2">IF(J4&gt;$Q$17,"too high","")</f>
        <v/>
      </c>
      <c r="L4" s="57">
        <v>1</v>
      </c>
      <c r="M4" s="98" t="str">
        <f t="shared" ref="M4:M67" si="3">IF(K4="","PASS","FAIL")</f>
        <v>PASS</v>
      </c>
      <c r="N4" s="323"/>
      <c r="O4" s="116" t="s">
        <v>223</v>
      </c>
      <c r="P4" s="116" t="s">
        <v>288</v>
      </c>
      <c r="Q4" s="116"/>
      <c r="R4" s="116"/>
      <c r="S4" s="115"/>
    </row>
    <row r="5" spans="2:19" ht="15" customHeight="1" x14ac:dyDescent="0.2">
      <c r="B5" s="2" t="s">
        <v>53</v>
      </c>
      <c r="C5" s="51">
        <v>1.0229999999999999</v>
      </c>
      <c r="D5" s="52" t="s">
        <v>217</v>
      </c>
      <c r="E5" s="11">
        <v>107</v>
      </c>
      <c r="F5" s="9">
        <f t="shared" si="0"/>
        <v>2.0293837776852097</v>
      </c>
      <c r="G5" s="11">
        <v>20</v>
      </c>
      <c r="H5" s="10" t="s">
        <v>216</v>
      </c>
      <c r="J5" s="70">
        <f t="shared" si="1"/>
        <v>9.560747663551401E-3</v>
      </c>
      <c r="K5" s="70" t="str">
        <f t="shared" si="2"/>
        <v/>
      </c>
      <c r="L5" s="57">
        <f>1+L4</f>
        <v>2</v>
      </c>
      <c r="M5" s="98" t="str">
        <f t="shared" si="3"/>
        <v>PASS</v>
      </c>
      <c r="N5" s="323"/>
      <c r="O5" s="116" t="s">
        <v>222</v>
      </c>
      <c r="P5" s="116" t="s">
        <v>289</v>
      </c>
      <c r="Q5" s="116"/>
      <c r="R5" s="116"/>
      <c r="S5" s="115"/>
    </row>
    <row r="6" spans="2:19" ht="15" customHeight="1" x14ac:dyDescent="0.2">
      <c r="B6" s="4" t="s">
        <v>50</v>
      </c>
      <c r="C6" s="53">
        <v>1</v>
      </c>
      <c r="D6" s="54" t="s">
        <v>215</v>
      </c>
      <c r="E6" s="14">
        <v>98.3</v>
      </c>
      <c r="F6" s="9">
        <f t="shared" si="0"/>
        <v>1.9925535178321356</v>
      </c>
      <c r="G6" s="248" t="s">
        <v>218</v>
      </c>
      <c r="H6" s="13" t="s">
        <v>215</v>
      </c>
      <c r="J6" s="70">
        <f>(C6/E6)</f>
        <v>1.0172939979654121E-2</v>
      </c>
      <c r="K6" s="70" t="str">
        <f t="shared" si="2"/>
        <v/>
      </c>
      <c r="L6" s="57">
        <f t="shared" ref="L6:L69" si="4">1+L5</f>
        <v>3</v>
      </c>
      <c r="M6" s="98" t="str">
        <f t="shared" si="3"/>
        <v>PASS</v>
      </c>
      <c r="N6" s="323"/>
      <c r="O6" s="116" t="s">
        <v>216</v>
      </c>
      <c r="P6" s="116" t="s">
        <v>269</v>
      </c>
      <c r="Q6" s="116"/>
      <c r="R6" s="116"/>
      <c r="S6" s="115" t="s">
        <v>270</v>
      </c>
    </row>
    <row r="7" spans="2:19" ht="15" customHeight="1" x14ac:dyDescent="0.2">
      <c r="B7" s="6" t="s">
        <v>51</v>
      </c>
      <c r="C7" s="51">
        <v>1.0169999999999999</v>
      </c>
      <c r="D7" s="52" t="s">
        <v>217</v>
      </c>
      <c r="E7" s="11">
        <v>84.9</v>
      </c>
      <c r="F7" s="9">
        <f t="shared" si="0"/>
        <v>1.9289076902439528</v>
      </c>
      <c r="G7" s="11">
        <v>20</v>
      </c>
      <c r="H7" s="10" t="s">
        <v>216</v>
      </c>
      <c r="J7" s="70">
        <f>(C7/E7)</f>
        <v>1.1978798586572437E-2</v>
      </c>
      <c r="K7" s="70" t="str">
        <f t="shared" si="2"/>
        <v/>
      </c>
      <c r="L7" s="57">
        <f t="shared" si="4"/>
        <v>4</v>
      </c>
      <c r="M7" s="98" t="str">
        <f t="shared" si="3"/>
        <v>PASS</v>
      </c>
      <c r="N7" s="323"/>
      <c r="O7" s="116" t="s">
        <v>219</v>
      </c>
      <c r="P7" s="116" t="s">
        <v>272</v>
      </c>
      <c r="Q7" s="116"/>
      <c r="R7" s="116"/>
      <c r="S7" s="115"/>
    </row>
    <row r="8" spans="2:19" ht="15" customHeight="1" x14ac:dyDescent="0.2">
      <c r="B8" s="2" t="s">
        <v>43</v>
      </c>
      <c r="C8" s="55">
        <v>1.4</v>
      </c>
      <c r="D8" s="56" t="s">
        <v>274</v>
      </c>
      <c r="E8" s="11">
        <v>85</v>
      </c>
      <c r="F8" s="9">
        <f t="shared" si="0"/>
        <v>1.9294189257142926</v>
      </c>
      <c r="G8" s="11">
        <v>25</v>
      </c>
      <c r="H8" s="10" t="s">
        <v>274</v>
      </c>
      <c r="J8" s="70">
        <f t="shared" si="1"/>
        <v>1.6470588235294115E-2</v>
      </c>
      <c r="K8" s="70" t="str">
        <f t="shared" si="2"/>
        <v/>
      </c>
      <c r="L8" s="57">
        <f t="shared" si="4"/>
        <v>5</v>
      </c>
      <c r="M8" s="98" t="str">
        <f t="shared" si="3"/>
        <v>PASS</v>
      </c>
      <c r="N8" s="323"/>
      <c r="O8" s="116" t="s">
        <v>215</v>
      </c>
      <c r="P8" s="117" t="s">
        <v>273</v>
      </c>
      <c r="Q8" s="117"/>
      <c r="R8" s="117"/>
      <c r="S8" s="115" t="s">
        <v>268</v>
      </c>
    </row>
    <row r="9" spans="2:19" ht="15" customHeight="1" x14ac:dyDescent="0.2">
      <c r="B9" s="2" t="s">
        <v>57</v>
      </c>
      <c r="C9" s="53">
        <v>1.1299999999999999</v>
      </c>
      <c r="D9" s="54" t="s">
        <v>215</v>
      </c>
      <c r="E9" s="14">
        <v>61.9</v>
      </c>
      <c r="F9" s="9">
        <f t="shared" si="0"/>
        <v>1.7916906490201179</v>
      </c>
      <c r="G9" s="14">
        <v>20</v>
      </c>
      <c r="H9" s="13" t="s">
        <v>216</v>
      </c>
      <c r="J9" s="70">
        <f t="shared" si="1"/>
        <v>1.8255250403877221E-2</v>
      </c>
      <c r="K9" s="70" t="str">
        <f t="shared" si="2"/>
        <v/>
      </c>
      <c r="L9" s="57">
        <f t="shared" si="4"/>
        <v>6</v>
      </c>
      <c r="M9" s="98" t="str">
        <f t="shared" si="3"/>
        <v>PASS</v>
      </c>
      <c r="N9" s="323"/>
      <c r="O9" s="119" t="s">
        <v>263</v>
      </c>
      <c r="P9" s="50" t="s">
        <v>229</v>
      </c>
      <c r="Q9" s="50"/>
      <c r="R9" s="50"/>
      <c r="S9" s="115" t="s">
        <v>290</v>
      </c>
    </row>
    <row r="10" spans="2:19" ht="15" customHeight="1" x14ac:dyDescent="0.2">
      <c r="B10" s="2" t="s">
        <v>49</v>
      </c>
      <c r="C10" s="53">
        <v>1.04</v>
      </c>
      <c r="D10" s="54" t="s">
        <v>215</v>
      </c>
      <c r="E10" s="14">
        <v>56</v>
      </c>
      <c r="F10" s="9">
        <f t="shared" si="0"/>
        <v>1.7481880270062005</v>
      </c>
      <c r="G10" s="248" t="s">
        <v>218</v>
      </c>
      <c r="H10" s="13" t="s">
        <v>215</v>
      </c>
      <c r="J10" s="70">
        <f t="shared" si="1"/>
        <v>1.8571428571428572E-2</v>
      </c>
      <c r="K10" s="70" t="str">
        <f t="shared" si="2"/>
        <v/>
      </c>
      <c r="L10" s="57">
        <f t="shared" si="4"/>
        <v>7</v>
      </c>
      <c r="M10" s="98" t="str">
        <f t="shared" si="3"/>
        <v>PASS</v>
      </c>
      <c r="N10" s="323"/>
      <c r="O10" s="50" t="s">
        <v>251</v>
      </c>
      <c r="P10" s="50" t="s">
        <v>313</v>
      </c>
      <c r="Q10" s="50"/>
      <c r="R10" s="50"/>
      <c r="S10" s="50"/>
    </row>
    <row r="11" spans="2:19" ht="15" customHeight="1" x14ac:dyDescent="0.2">
      <c r="B11" s="2" t="s">
        <v>58</v>
      </c>
      <c r="C11" s="53">
        <v>1.1194999999999999</v>
      </c>
      <c r="D11" s="54" t="s">
        <v>215</v>
      </c>
      <c r="E11" s="14">
        <v>49</v>
      </c>
      <c r="F11" s="9">
        <f t="shared" si="0"/>
        <v>1.6901960800285136</v>
      </c>
      <c r="G11" s="248" t="s">
        <v>218</v>
      </c>
      <c r="H11" s="13" t="s">
        <v>215</v>
      </c>
      <c r="J11" s="70">
        <f t="shared" si="1"/>
        <v>2.2846938775510202E-2</v>
      </c>
      <c r="K11" s="70" t="str">
        <f t="shared" si="2"/>
        <v/>
      </c>
      <c r="L11" s="57">
        <f t="shared" si="4"/>
        <v>8</v>
      </c>
      <c r="M11" s="98" t="str">
        <f t="shared" si="3"/>
        <v>PASS</v>
      </c>
      <c r="N11" s="323"/>
    </row>
    <row r="12" spans="2:19" ht="15" customHeight="1" x14ac:dyDescent="0.2">
      <c r="B12" s="2" t="s">
        <v>127</v>
      </c>
      <c r="C12" s="51">
        <v>1.05</v>
      </c>
      <c r="D12" s="52" t="s">
        <v>217</v>
      </c>
      <c r="E12" s="11">
        <v>42.7</v>
      </c>
      <c r="F12" s="9">
        <f t="shared" si="0"/>
        <v>1.6304278750250238</v>
      </c>
      <c r="G12" s="11">
        <v>25</v>
      </c>
      <c r="H12" s="10" t="s">
        <v>216</v>
      </c>
      <c r="J12" s="70">
        <f t="shared" si="1"/>
        <v>2.4590163934426229E-2</v>
      </c>
      <c r="K12" s="70" t="str">
        <f t="shared" si="2"/>
        <v/>
      </c>
      <c r="L12" s="57">
        <f t="shared" si="4"/>
        <v>9</v>
      </c>
      <c r="M12" s="98" t="str">
        <f t="shared" si="3"/>
        <v>PASS</v>
      </c>
      <c r="N12" s="323"/>
      <c r="O12" s="519" t="s">
        <v>487</v>
      </c>
      <c r="P12" s="519"/>
      <c r="Q12" s="519"/>
      <c r="R12" s="519"/>
      <c r="S12" s="519"/>
    </row>
    <row r="13" spans="2:19" ht="15" customHeight="1" x14ac:dyDescent="0.2">
      <c r="B13" s="2" t="s">
        <v>29</v>
      </c>
      <c r="C13" s="53">
        <v>0.93640000000000001</v>
      </c>
      <c r="D13" s="54" t="s">
        <v>215</v>
      </c>
      <c r="E13" s="14">
        <v>36.5</v>
      </c>
      <c r="F13" s="9">
        <f t="shared" si="0"/>
        <v>1.5622928644564746</v>
      </c>
      <c r="G13" s="248" t="s">
        <v>218</v>
      </c>
      <c r="H13" s="13" t="s">
        <v>215</v>
      </c>
      <c r="J13" s="70">
        <f t="shared" si="1"/>
        <v>2.5654794520547947E-2</v>
      </c>
      <c r="K13" s="70" t="str">
        <f t="shared" si="2"/>
        <v/>
      </c>
      <c r="L13" s="57">
        <f t="shared" si="4"/>
        <v>10</v>
      </c>
      <c r="M13" s="98" t="str">
        <f t="shared" si="3"/>
        <v>PASS</v>
      </c>
      <c r="N13" s="323"/>
      <c r="O13" s="519"/>
      <c r="P13" s="519"/>
      <c r="Q13" s="519"/>
      <c r="R13" s="519"/>
      <c r="S13" s="519"/>
    </row>
    <row r="14" spans="2:19" ht="15" customHeight="1" x14ac:dyDescent="0.2">
      <c r="B14" s="3" t="s">
        <v>52</v>
      </c>
      <c r="C14" s="53">
        <v>1.1200000000000001</v>
      </c>
      <c r="D14" s="54" t="s">
        <v>215</v>
      </c>
      <c r="E14" s="14">
        <v>38.5</v>
      </c>
      <c r="F14" s="9">
        <f t="shared" si="0"/>
        <v>1.5854607295085006</v>
      </c>
      <c r="G14" s="248" t="s">
        <v>218</v>
      </c>
      <c r="H14" s="13" t="s">
        <v>215</v>
      </c>
      <c r="J14" s="70">
        <f t="shared" si="1"/>
        <v>2.9090909090909094E-2</v>
      </c>
      <c r="K14" s="70" t="str">
        <f t="shared" si="2"/>
        <v/>
      </c>
      <c r="L14" s="57">
        <f t="shared" si="4"/>
        <v>11</v>
      </c>
      <c r="M14" s="98" t="str">
        <f t="shared" si="3"/>
        <v>PASS</v>
      </c>
      <c r="N14" s="323"/>
      <c r="O14" s="326"/>
      <c r="P14" s="326"/>
      <c r="Q14" s="326"/>
      <c r="R14" s="326"/>
      <c r="S14" s="326"/>
    </row>
    <row r="15" spans="2:19" ht="15" customHeight="1" x14ac:dyDescent="0.2">
      <c r="B15" s="6" t="s">
        <v>48</v>
      </c>
      <c r="C15" s="51">
        <v>1.137</v>
      </c>
      <c r="D15" s="52" t="s">
        <v>217</v>
      </c>
      <c r="E15" s="11">
        <v>35.200000000000003</v>
      </c>
      <c r="F15" s="9">
        <f t="shared" si="0"/>
        <v>1.546542663478131</v>
      </c>
      <c r="G15" s="11">
        <v>25</v>
      </c>
      <c r="H15" s="10" t="s">
        <v>216</v>
      </c>
      <c r="J15" s="70">
        <f t="shared" si="1"/>
        <v>3.2301136363636358E-2</v>
      </c>
      <c r="K15" s="70" t="str">
        <f t="shared" si="2"/>
        <v/>
      </c>
      <c r="L15" s="57">
        <f t="shared" si="4"/>
        <v>12</v>
      </c>
      <c r="M15" s="98" t="str">
        <f t="shared" si="3"/>
        <v>PASS</v>
      </c>
      <c r="N15" s="323"/>
      <c r="O15" s="518" t="s">
        <v>488</v>
      </c>
      <c r="P15" s="518"/>
      <c r="Q15" s="518"/>
      <c r="R15" s="326"/>
      <c r="S15" s="326"/>
    </row>
    <row r="16" spans="2:19" ht="15" customHeight="1" x14ac:dyDescent="0.2">
      <c r="B16" s="2" t="s">
        <v>7</v>
      </c>
      <c r="C16" s="51">
        <v>0.89</v>
      </c>
      <c r="D16" s="52" t="s">
        <v>217</v>
      </c>
      <c r="E16" s="11">
        <v>25.6</v>
      </c>
      <c r="F16" s="9">
        <f t="shared" si="0"/>
        <v>1.4082399653118496</v>
      </c>
      <c r="G16" s="11">
        <v>30</v>
      </c>
      <c r="H16" s="10" t="s">
        <v>216</v>
      </c>
      <c r="J16" s="70">
        <f t="shared" si="1"/>
        <v>3.4765625000000001E-2</v>
      </c>
      <c r="K16" s="70" t="str">
        <f t="shared" si="2"/>
        <v/>
      </c>
      <c r="L16" s="57">
        <f t="shared" si="4"/>
        <v>13</v>
      </c>
      <c r="M16" s="98" t="str">
        <f t="shared" si="3"/>
        <v>PASS</v>
      </c>
      <c r="N16" s="323"/>
      <c r="O16" s="518"/>
      <c r="P16" s="518"/>
      <c r="Q16" s="518"/>
      <c r="R16" s="326"/>
      <c r="S16" s="326"/>
    </row>
    <row r="17" spans="2:19" ht="15" customHeight="1" x14ac:dyDescent="0.2">
      <c r="B17" s="6" t="s">
        <v>32</v>
      </c>
      <c r="C17" s="51">
        <v>1.012</v>
      </c>
      <c r="D17" s="52" t="s">
        <v>217</v>
      </c>
      <c r="E17" s="11">
        <v>18.95</v>
      </c>
      <c r="F17" s="9">
        <f t="shared" si="0"/>
        <v>1.2776092143040911</v>
      </c>
      <c r="G17" s="11">
        <v>25</v>
      </c>
      <c r="H17" s="10" t="s">
        <v>216</v>
      </c>
      <c r="J17" s="70">
        <f t="shared" si="1"/>
        <v>5.3403693931398419E-2</v>
      </c>
      <c r="K17" s="70" t="str">
        <f t="shared" si="2"/>
        <v/>
      </c>
      <c r="L17" s="57">
        <f t="shared" si="4"/>
        <v>14</v>
      </c>
      <c r="M17" s="98" t="str">
        <f t="shared" si="3"/>
        <v>PASS</v>
      </c>
      <c r="N17" s="323"/>
      <c r="O17" s="49" t="s">
        <v>375</v>
      </c>
      <c r="P17" s="49"/>
      <c r="Q17" s="240">
        <f>1.2</f>
        <v>1.2</v>
      </c>
      <c r="R17" s="326"/>
      <c r="S17" s="326"/>
    </row>
    <row r="18" spans="2:19" ht="15" customHeight="1" x14ac:dyDescent="0.2">
      <c r="B18" s="4" t="s">
        <v>152</v>
      </c>
      <c r="C18" s="53">
        <v>0.83189000000000002</v>
      </c>
      <c r="D18" s="54" t="s">
        <v>215</v>
      </c>
      <c r="E18" s="14">
        <v>14.04</v>
      </c>
      <c r="F18" s="9">
        <f t="shared" si="0"/>
        <v>1.1473671077937864</v>
      </c>
      <c r="G18" s="248" t="s">
        <v>218</v>
      </c>
      <c r="H18" s="13" t="s">
        <v>215</v>
      </c>
      <c r="J18" s="70">
        <f t="shared" si="1"/>
        <v>5.9251424501424503E-2</v>
      </c>
      <c r="K18" s="70" t="str">
        <f t="shared" si="2"/>
        <v/>
      </c>
      <c r="L18" s="57">
        <f t="shared" si="4"/>
        <v>15</v>
      </c>
      <c r="M18" s="98" t="str">
        <f t="shared" si="3"/>
        <v>PASS</v>
      </c>
      <c r="N18" s="323"/>
    </row>
    <row r="19" spans="2:19" ht="15" customHeight="1" x14ac:dyDescent="0.2">
      <c r="B19" s="2" t="s">
        <v>12</v>
      </c>
      <c r="C19" s="51">
        <v>0.82899999999999996</v>
      </c>
      <c r="D19" s="52" t="s">
        <v>217</v>
      </c>
      <c r="E19" s="16">
        <v>13.11</v>
      </c>
      <c r="F19" s="9">
        <f t="shared" si="0"/>
        <v>1.1176026916900843</v>
      </c>
      <c r="G19" s="11">
        <v>20</v>
      </c>
      <c r="H19" s="47" t="s">
        <v>217</v>
      </c>
      <c r="J19" s="70">
        <f t="shared" si="1"/>
        <v>6.3234172387490462E-2</v>
      </c>
      <c r="K19" s="70" t="str">
        <f t="shared" si="2"/>
        <v/>
      </c>
      <c r="L19" s="57">
        <f t="shared" si="4"/>
        <v>16</v>
      </c>
      <c r="M19" s="98" t="str">
        <f t="shared" si="3"/>
        <v>PASS</v>
      </c>
      <c r="N19" s="323"/>
      <c r="R19" s="111"/>
    </row>
    <row r="20" spans="2:19" ht="15" customHeight="1" x14ac:dyDescent="0.2">
      <c r="B20" s="2" t="s">
        <v>330</v>
      </c>
      <c r="C20" s="51">
        <v>1.155</v>
      </c>
      <c r="D20" s="52" t="s">
        <v>335</v>
      </c>
      <c r="E20" s="11">
        <v>17.399999999999999</v>
      </c>
      <c r="F20" s="9">
        <f t="shared" si="0"/>
        <v>1.2405492482825997</v>
      </c>
      <c r="G20" s="11">
        <v>20</v>
      </c>
      <c r="H20" s="10" t="s">
        <v>335</v>
      </c>
      <c r="J20" s="70">
        <f>(C20/E20)</f>
        <v>6.6379310344827594E-2</v>
      </c>
      <c r="K20" s="70" t="str">
        <f t="shared" si="2"/>
        <v/>
      </c>
      <c r="L20" s="57">
        <f t="shared" si="4"/>
        <v>17</v>
      </c>
      <c r="M20" s="98" t="str">
        <f t="shared" si="3"/>
        <v>PASS</v>
      </c>
      <c r="N20" s="323"/>
      <c r="O20" s="41"/>
      <c r="P20" s="327"/>
      <c r="Q20" s="327"/>
      <c r="R20" s="327"/>
      <c r="S20" s="327"/>
    </row>
    <row r="21" spans="2:19" ht="15" customHeight="1" x14ac:dyDescent="0.2">
      <c r="B21" s="6" t="s">
        <v>54</v>
      </c>
      <c r="C21" s="53">
        <v>1.1100000000000001</v>
      </c>
      <c r="D21" s="54" t="s">
        <v>215</v>
      </c>
      <c r="E21" s="14">
        <v>16.100000000000001</v>
      </c>
      <c r="F21" s="9">
        <f t="shared" si="0"/>
        <v>1.2068258760318498</v>
      </c>
      <c r="G21" s="14">
        <v>25</v>
      </c>
      <c r="H21" s="13" t="s">
        <v>216</v>
      </c>
      <c r="J21" s="70">
        <f t="shared" si="1"/>
        <v>6.894409937888199E-2</v>
      </c>
      <c r="K21" s="70" t="str">
        <f t="shared" si="2"/>
        <v/>
      </c>
      <c r="L21" s="57">
        <f t="shared" si="4"/>
        <v>18</v>
      </c>
      <c r="M21" s="98" t="str">
        <f t="shared" si="3"/>
        <v>PASS</v>
      </c>
      <c r="N21" s="323"/>
      <c r="O21" s="41"/>
      <c r="P21" s="327"/>
      <c r="Q21" s="327"/>
      <c r="R21" s="327"/>
      <c r="S21" s="327"/>
    </row>
    <row r="22" spans="2:19" ht="15" customHeight="1" x14ac:dyDescent="0.2">
      <c r="B22" s="6" t="s">
        <v>130</v>
      </c>
      <c r="C22" s="51">
        <v>1.19</v>
      </c>
      <c r="D22" s="52" t="s">
        <v>217</v>
      </c>
      <c r="E22" s="11">
        <v>17.2</v>
      </c>
      <c r="F22" s="9">
        <f t="shared" si="0"/>
        <v>1.2355284469075489</v>
      </c>
      <c r="G22" s="11">
        <v>25</v>
      </c>
      <c r="H22" s="10" t="s">
        <v>216</v>
      </c>
      <c r="J22" s="70">
        <f t="shared" si="1"/>
        <v>6.9186046511627908E-2</v>
      </c>
      <c r="K22" s="70" t="str">
        <f t="shared" si="2"/>
        <v/>
      </c>
      <c r="L22" s="57">
        <f t="shared" si="4"/>
        <v>19</v>
      </c>
      <c r="M22" s="98" t="str">
        <f t="shared" si="3"/>
        <v>PASS</v>
      </c>
      <c r="N22" s="323"/>
      <c r="O22" s="327"/>
      <c r="P22" s="327"/>
      <c r="Q22" s="327"/>
      <c r="R22" s="327"/>
      <c r="S22" s="327"/>
    </row>
    <row r="23" spans="2:19" ht="15" customHeight="1" x14ac:dyDescent="0.2">
      <c r="B23" s="6" t="s">
        <v>61</v>
      </c>
      <c r="C23" s="51">
        <v>1.034</v>
      </c>
      <c r="D23" s="52" t="s">
        <v>217</v>
      </c>
      <c r="E23" s="11">
        <v>12.9</v>
      </c>
      <c r="F23" s="9">
        <f t="shared" si="0"/>
        <v>1.110589710299249</v>
      </c>
      <c r="G23" s="11">
        <v>25</v>
      </c>
      <c r="H23" s="10" t="s">
        <v>216</v>
      </c>
      <c r="J23" s="70">
        <f t="shared" si="1"/>
        <v>8.015503875968992E-2</v>
      </c>
      <c r="K23" s="70" t="str">
        <f t="shared" si="2"/>
        <v/>
      </c>
      <c r="L23" s="57">
        <f t="shared" si="4"/>
        <v>20</v>
      </c>
      <c r="M23" s="98" t="str">
        <f t="shared" si="3"/>
        <v>PASS</v>
      </c>
      <c r="N23" s="323"/>
    </row>
    <row r="24" spans="2:19" ht="15" customHeight="1" x14ac:dyDescent="0.2">
      <c r="B24" s="2" t="s">
        <v>66</v>
      </c>
      <c r="C24" s="51">
        <v>1.1200000000000001</v>
      </c>
      <c r="D24" s="52" t="s">
        <v>217</v>
      </c>
      <c r="E24" s="11">
        <v>13.3</v>
      </c>
      <c r="F24" s="9">
        <f t="shared" si="0"/>
        <v>1.1238516409670858</v>
      </c>
      <c r="G24" s="11">
        <v>25</v>
      </c>
      <c r="H24" s="10" t="s">
        <v>216</v>
      </c>
      <c r="J24" s="70">
        <f t="shared" si="1"/>
        <v>8.4210526315789472E-2</v>
      </c>
      <c r="K24" s="70" t="str">
        <f t="shared" si="2"/>
        <v/>
      </c>
      <c r="L24" s="57">
        <f t="shared" si="4"/>
        <v>21</v>
      </c>
      <c r="M24" s="98" t="str">
        <f t="shared" si="3"/>
        <v>PASS</v>
      </c>
      <c r="N24" s="323"/>
    </row>
    <row r="25" spans="2:19" ht="15" customHeight="1" x14ac:dyDescent="0.2">
      <c r="B25" s="2" t="s">
        <v>19</v>
      </c>
      <c r="C25" s="51">
        <v>0.83440000000000003</v>
      </c>
      <c r="D25" s="56" t="s">
        <v>216</v>
      </c>
      <c r="E25" s="11">
        <v>9.8000000000000007</v>
      </c>
      <c r="F25" s="9">
        <f t="shared" si="0"/>
        <v>0.99122607569249488</v>
      </c>
      <c r="G25" s="11">
        <v>20</v>
      </c>
      <c r="H25" s="10" t="s">
        <v>216</v>
      </c>
      <c r="J25" s="70">
        <f t="shared" si="1"/>
        <v>8.5142857142857145E-2</v>
      </c>
      <c r="K25" s="70" t="str">
        <f t="shared" si="2"/>
        <v/>
      </c>
      <c r="L25" s="57">
        <f t="shared" si="4"/>
        <v>22</v>
      </c>
      <c r="M25" s="98" t="str">
        <f t="shared" si="3"/>
        <v>PASS</v>
      </c>
      <c r="N25" s="323"/>
    </row>
    <row r="26" spans="2:19" ht="15" customHeight="1" x14ac:dyDescent="0.2">
      <c r="B26" s="2" t="s">
        <v>30</v>
      </c>
      <c r="C26" s="55">
        <v>1.2150000000000001</v>
      </c>
      <c r="D26" s="56" t="s">
        <v>274</v>
      </c>
      <c r="E26" s="11">
        <v>14.2</v>
      </c>
      <c r="F26" s="9">
        <f t="shared" si="0"/>
        <v>1.1522883443830565</v>
      </c>
      <c r="G26" s="11">
        <v>25</v>
      </c>
      <c r="H26" s="10" t="s">
        <v>274</v>
      </c>
      <c r="J26" s="70">
        <f t="shared" si="1"/>
        <v>8.5563380281690152E-2</v>
      </c>
      <c r="K26" s="70" t="str">
        <f t="shared" si="2"/>
        <v/>
      </c>
      <c r="L26" s="57">
        <f t="shared" si="4"/>
        <v>23</v>
      </c>
      <c r="M26" s="98" t="str">
        <f t="shared" si="3"/>
        <v>PASS</v>
      </c>
      <c r="N26" s="323"/>
    </row>
    <row r="27" spans="2:19" ht="15" customHeight="1" x14ac:dyDescent="0.2">
      <c r="B27" s="6" t="s">
        <v>128</v>
      </c>
      <c r="C27" s="51">
        <v>1.1200000000000001</v>
      </c>
      <c r="D27" s="52" t="s">
        <v>217</v>
      </c>
      <c r="E27" s="11">
        <v>12.9</v>
      </c>
      <c r="F27" s="9">
        <f>LOG(E27)</f>
        <v>1.110589710299249</v>
      </c>
      <c r="G27" s="11">
        <v>20</v>
      </c>
      <c r="H27" s="47" t="s">
        <v>344</v>
      </c>
      <c r="J27" s="70">
        <f t="shared" si="1"/>
        <v>8.6821705426356602E-2</v>
      </c>
      <c r="K27" s="70" t="str">
        <f t="shared" si="2"/>
        <v/>
      </c>
      <c r="L27" s="57">
        <f t="shared" si="4"/>
        <v>24</v>
      </c>
      <c r="M27" s="98" t="str">
        <f t="shared" si="3"/>
        <v>PASS</v>
      </c>
      <c r="N27" s="323"/>
    </row>
    <row r="28" spans="2:19" ht="15" customHeight="1" x14ac:dyDescent="0.2">
      <c r="B28" s="2" t="s">
        <v>46</v>
      </c>
      <c r="C28" s="55">
        <v>1.0660000000000001</v>
      </c>
      <c r="D28" s="56" t="s">
        <v>274</v>
      </c>
      <c r="E28" s="11">
        <v>11</v>
      </c>
      <c r="F28" s="9">
        <f t="shared" si="0"/>
        <v>1.0413926851582251</v>
      </c>
      <c r="G28" s="11">
        <v>25</v>
      </c>
      <c r="H28" s="10" t="s">
        <v>274</v>
      </c>
      <c r="J28" s="70">
        <f t="shared" si="1"/>
        <v>9.6909090909090917E-2</v>
      </c>
      <c r="K28" s="70" t="str">
        <f t="shared" si="2"/>
        <v/>
      </c>
      <c r="L28" s="57">
        <f t="shared" si="4"/>
        <v>25</v>
      </c>
      <c r="M28" s="98" t="str">
        <f t="shared" si="3"/>
        <v>PASS</v>
      </c>
      <c r="N28" s="323"/>
    </row>
    <row r="29" spans="2:19" ht="15" customHeight="1" x14ac:dyDescent="0.2">
      <c r="B29" s="3" t="s">
        <v>13</v>
      </c>
      <c r="C29" s="53">
        <v>0.82</v>
      </c>
      <c r="D29" s="54" t="s">
        <v>215</v>
      </c>
      <c r="E29" s="14">
        <v>7.4</v>
      </c>
      <c r="F29" s="9">
        <f t="shared" si="0"/>
        <v>0.86923171973097624</v>
      </c>
      <c r="G29" s="14">
        <v>20</v>
      </c>
      <c r="H29" s="13" t="s">
        <v>216</v>
      </c>
      <c r="J29" s="70">
        <f t="shared" si="1"/>
        <v>0.1108108108108108</v>
      </c>
      <c r="K29" s="70" t="str">
        <f t="shared" si="2"/>
        <v/>
      </c>
      <c r="L29" s="57">
        <f t="shared" si="4"/>
        <v>26</v>
      </c>
      <c r="M29" s="98" t="str">
        <f t="shared" si="3"/>
        <v>PASS</v>
      </c>
      <c r="N29" s="323"/>
    </row>
    <row r="30" spans="2:19" ht="15" customHeight="1" x14ac:dyDescent="0.2">
      <c r="B30" s="5" t="s">
        <v>15</v>
      </c>
      <c r="C30" s="53">
        <v>0.82157000000000002</v>
      </c>
      <c r="D30" s="54" t="s">
        <v>215</v>
      </c>
      <c r="E30" s="14">
        <v>7.3630000000000004</v>
      </c>
      <c r="F30" s="9">
        <f t="shared" si="0"/>
        <v>0.86705480047670169</v>
      </c>
      <c r="G30" s="248" t="s">
        <v>218</v>
      </c>
      <c r="H30" s="13" t="s">
        <v>215</v>
      </c>
      <c r="J30" s="70">
        <f t="shared" si="1"/>
        <v>0.11158087735977183</v>
      </c>
      <c r="K30" s="70" t="str">
        <f t="shared" si="2"/>
        <v/>
      </c>
      <c r="L30" s="57">
        <f t="shared" si="4"/>
        <v>27</v>
      </c>
      <c r="M30" s="98" t="str">
        <f t="shared" si="3"/>
        <v>PASS</v>
      </c>
      <c r="N30" s="323"/>
    </row>
    <row r="31" spans="2:19" ht="15" customHeight="1" x14ac:dyDescent="0.2">
      <c r="B31" s="5" t="s">
        <v>227</v>
      </c>
      <c r="C31" s="51">
        <v>1.25</v>
      </c>
      <c r="D31" s="56" t="s">
        <v>267</v>
      </c>
      <c r="E31" s="11">
        <v>11.03</v>
      </c>
      <c r="F31" s="9">
        <f>LOG(E31)</f>
        <v>1.0425755124401905</v>
      </c>
      <c r="G31" s="11">
        <v>20</v>
      </c>
      <c r="H31" s="10" t="s">
        <v>463</v>
      </c>
      <c r="J31" s="70">
        <f t="shared" si="1"/>
        <v>0.11332728921124208</v>
      </c>
      <c r="K31" s="70" t="str">
        <f>IF(J31&gt;$Q$17,"too high","")</f>
        <v/>
      </c>
      <c r="L31" s="57">
        <f t="shared" si="4"/>
        <v>28</v>
      </c>
      <c r="M31" s="98" t="str">
        <f t="shared" si="3"/>
        <v>PASS</v>
      </c>
      <c r="N31" s="323"/>
    </row>
    <row r="32" spans="2:19" ht="15" customHeight="1" x14ac:dyDescent="0.2">
      <c r="B32" s="5" t="s">
        <v>5</v>
      </c>
      <c r="C32" s="53">
        <v>0.8679</v>
      </c>
      <c r="D32" s="54" t="s">
        <v>216</v>
      </c>
      <c r="E32" s="14">
        <v>7.3</v>
      </c>
      <c r="F32" s="9">
        <f t="shared" si="0"/>
        <v>0.86332286012045589</v>
      </c>
      <c r="G32" s="32">
        <v>50</v>
      </c>
      <c r="H32" s="13" t="s">
        <v>216</v>
      </c>
      <c r="J32" s="70">
        <f t="shared" si="1"/>
        <v>0.11889041095890411</v>
      </c>
      <c r="K32" s="70" t="str">
        <f t="shared" si="2"/>
        <v/>
      </c>
      <c r="L32" s="57">
        <f t="shared" si="4"/>
        <v>29</v>
      </c>
      <c r="M32" s="98" t="str">
        <f t="shared" si="3"/>
        <v>PASS</v>
      </c>
      <c r="N32" s="323"/>
    </row>
    <row r="33" spans="1:18" ht="15" customHeight="1" x14ac:dyDescent="0.2">
      <c r="B33" s="2" t="s">
        <v>133</v>
      </c>
      <c r="C33" s="51">
        <v>1.0429999999999999</v>
      </c>
      <c r="D33" s="52" t="s">
        <v>217</v>
      </c>
      <c r="E33" s="11">
        <v>8.7189999999999994</v>
      </c>
      <c r="F33" s="9">
        <f t="shared" si="0"/>
        <v>0.94046667766352887</v>
      </c>
      <c r="G33" s="248" t="s">
        <v>218</v>
      </c>
      <c r="H33" s="10" t="s">
        <v>216</v>
      </c>
      <c r="J33" s="70">
        <f t="shared" si="1"/>
        <v>0.11962381006996216</v>
      </c>
      <c r="K33" s="70" t="str">
        <f t="shared" si="2"/>
        <v/>
      </c>
      <c r="L33" s="57">
        <f t="shared" si="4"/>
        <v>30</v>
      </c>
      <c r="M33" s="98" t="str">
        <f t="shared" si="3"/>
        <v>PASS</v>
      </c>
      <c r="N33" s="323"/>
    </row>
    <row r="34" spans="1:18" ht="15" customHeight="1" x14ac:dyDescent="0.2">
      <c r="B34" s="2" t="s">
        <v>209</v>
      </c>
      <c r="C34" s="53">
        <v>1.2604</v>
      </c>
      <c r="D34" s="54" t="s">
        <v>215</v>
      </c>
      <c r="E34" s="14">
        <v>10.29</v>
      </c>
      <c r="F34" s="9">
        <f t="shared" si="0"/>
        <v>1.0124153747624329</v>
      </c>
      <c r="G34" s="248" t="s">
        <v>218</v>
      </c>
      <c r="H34" s="13" t="s">
        <v>215</v>
      </c>
      <c r="J34" s="70">
        <f t="shared" si="1"/>
        <v>0.12248785228377065</v>
      </c>
      <c r="K34" s="70" t="str">
        <f t="shared" si="2"/>
        <v/>
      </c>
      <c r="L34" s="57">
        <f t="shared" si="4"/>
        <v>31</v>
      </c>
      <c r="M34" s="98" t="str">
        <f t="shared" si="3"/>
        <v>PASS</v>
      </c>
      <c r="N34" s="323"/>
    </row>
    <row r="35" spans="1:18" ht="15" customHeight="1" x14ac:dyDescent="0.2">
      <c r="B35" s="7" t="s">
        <v>21</v>
      </c>
      <c r="C35" s="53">
        <v>0.81710000000000005</v>
      </c>
      <c r="D35" s="54" t="s">
        <v>215</v>
      </c>
      <c r="E35" s="14">
        <v>6.49</v>
      </c>
      <c r="F35" s="9">
        <f t="shared" si="0"/>
        <v>0.81224469680036926</v>
      </c>
      <c r="G35" s="248" t="s">
        <v>218</v>
      </c>
      <c r="H35" s="13" t="s">
        <v>215</v>
      </c>
      <c r="J35" s="70">
        <f t="shared" si="1"/>
        <v>0.12590138674884438</v>
      </c>
      <c r="K35" s="70" t="str">
        <f t="shared" si="2"/>
        <v/>
      </c>
      <c r="L35" s="57">
        <f t="shared" si="4"/>
        <v>32</v>
      </c>
      <c r="M35" s="98" t="str">
        <f t="shared" si="3"/>
        <v>PASS</v>
      </c>
      <c r="N35" s="323"/>
    </row>
    <row r="36" spans="1:18" ht="15" customHeight="1" x14ac:dyDescent="0.2">
      <c r="B36" s="2" t="s">
        <v>112</v>
      </c>
      <c r="C36" s="51">
        <v>1.1180000000000001</v>
      </c>
      <c r="D36" s="52" t="s">
        <v>217</v>
      </c>
      <c r="E36" s="11">
        <v>8.2919999999999998</v>
      </c>
      <c r="F36" s="9">
        <f t="shared" si="0"/>
        <v>0.91865929342182318</v>
      </c>
      <c r="G36" s="11">
        <v>25</v>
      </c>
      <c r="H36" s="10" t="s">
        <v>216</v>
      </c>
      <c r="J36" s="70">
        <f t="shared" si="1"/>
        <v>0.13482875060299085</v>
      </c>
      <c r="K36" s="70" t="str">
        <f t="shared" ref="K36:K67" si="5">IF(J36&gt;$Q$17,"too high","")</f>
        <v/>
      </c>
      <c r="L36" s="57">
        <f t="shared" si="4"/>
        <v>33</v>
      </c>
      <c r="M36" s="98" t="str">
        <f t="shared" si="3"/>
        <v>PASS</v>
      </c>
      <c r="N36" s="323"/>
    </row>
    <row r="37" spans="1:18" ht="15" customHeight="1" x14ac:dyDescent="0.2">
      <c r="B37" s="2" t="s">
        <v>59</v>
      </c>
      <c r="C37" s="51">
        <v>1.0669999999999999</v>
      </c>
      <c r="D37" s="52" t="s">
        <v>217</v>
      </c>
      <c r="E37" s="11">
        <v>7.8170000000000002</v>
      </c>
      <c r="F37" s="9">
        <f t="shared" ref="F37:F68" si="6">LOG(E37)</f>
        <v>0.89304011195711797</v>
      </c>
      <c r="G37" s="11">
        <v>20</v>
      </c>
      <c r="H37" s="10" t="s">
        <v>216</v>
      </c>
      <c r="J37" s="70">
        <f t="shared" si="1"/>
        <v>0.13649737751055391</v>
      </c>
      <c r="K37" s="70" t="str">
        <f t="shared" si="5"/>
        <v/>
      </c>
      <c r="L37" s="57">
        <f t="shared" si="4"/>
        <v>34</v>
      </c>
      <c r="M37" s="98" t="str">
        <f t="shared" si="3"/>
        <v>PASS</v>
      </c>
      <c r="N37" s="323"/>
    </row>
    <row r="38" spans="1:18" ht="15" customHeight="1" x14ac:dyDescent="0.2">
      <c r="B38" s="3" t="s">
        <v>60</v>
      </c>
      <c r="C38" s="51">
        <v>1.0840000000000001</v>
      </c>
      <c r="D38" s="52" t="s">
        <v>217</v>
      </c>
      <c r="E38" s="11">
        <v>7.476</v>
      </c>
      <c r="F38" s="9">
        <f t="shared" si="6"/>
        <v>0.87366929270679439</v>
      </c>
      <c r="G38" s="11">
        <v>20</v>
      </c>
      <c r="H38" s="10" t="s">
        <v>216</v>
      </c>
      <c r="J38" s="70">
        <f t="shared" si="1"/>
        <v>0.14499732477260568</v>
      </c>
      <c r="K38" s="70" t="str">
        <f t="shared" si="5"/>
        <v/>
      </c>
      <c r="L38" s="57">
        <f t="shared" si="4"/>
        <v>35</v>
      </c>
      <c r="M38" s="98" t="str">
        <f t="shared" si="3"/>
        <v>PASS</v>
      </c>
      <c r="N38" s="323"/>
    </row>
    <row r="39" spans="1:18" ht="15" customHeight="1" x14ac:dyDescent="0.2">
      <c r="B39" s="5" t="s">
        <v>6</v>
      </c>
      <c r="C39" s="53">
        <v>0.91</v>
      </c>
      <c r="D39" s="52" t="s">
        <v>217</v>
      </c>
      <c r="E39" s="14">
        <v>5.74</v>
      </c>
      <c r="F39" s="9">
        <f t="shared" si="6"/>
        <v>0.75891189239797352</v>
      </c>
      <c r="G39" s="32" t="s">
        <v>218</v>
      </c>
      <c r="H39" s="13" t="s">
        <v>216</v>
      </c>
      <c r="J39" s="70">
        <f t="shared" si="1"/>
        <v>0.15853658536585366</v>
      </c>
      <c r="K39" s="70" t="str">
        <f t="shared" si="5"/>
        <v/>
      </c>
      <c r="L39" s="57">
        <f t="shared" si="4"/>
        <v>36</v>
      </c>
      <c r="M39" s="98" t="str">
        <f t="shared" si="3"/>
        <v>PASS</v>
      </c>
      <c r="N39" s="323"/>
      <c r="P39" s="383"/>
      <c r="R39" s="413"/>
    </row>
    <row r="40" spans="1:18" ht="15" customHeight="1" x14ac:dyDescent="0.2">
      <c r="B40" s="2" t="s">
        <v>47</v>
      </c>
      <c r="C40" s="53">
        <v>1.0483</v>
      </c>
      <c r="D40" s="54" t="s">
        <v>215</v>
      </c>
      <c r="E40" s="14">
        <v>6.24</v>
      </c>
      <c r="F40" s="9">
        <f t="shared" si="6"/>
        <v>0.795184589682424</v>
      </c>
      <c r="G40" s="32" t="s">
        <v>218</v>
      </c>
      <c r="H40" s="13" t="s">
        <v>215</v>
      </c>
      <c r="J40" s="70">
        <f t="shared" si="1"/>
        <v>0.16799679487179486</v>
      </c>
      <c r="K40" s="70" t="str">
        <f t="shared" si="5"/>
        <v/>
      </c>
      <c r="L40" s="57">
        <f t="shared" si="4"/>
        <v>37</v>
      </c>
      <c r="M40" s="98" t="str">
        <f t="shared" si="3"/>
        <v>PASS</v>
      </c>
      <c r="N40" s="323"/>
      <c r="R40" s="413"/>
    </row>
    <row r="41" spans="1:18" ht="15" customHeight="1" x14ac:dyDescent="0.2">
      <c r="B41" s="4" t="s">
        <v>45</v>
      </c>
      <c r="C41" s="53">
        <v>0.97099999999999997</v>
      </c>
      <c r="D41" s="52" t="s">
        <v>221</v>
      </c>
      <c r="E41" s="14">
        <v>5.77</v>
      </c>
      <c r="F41" s="9">
        <f t="shared" si="6"/>
        <v>0.76117581315573135</v>
      </c>
      <c r="G41" s="14">
        <v>25</v>
      </c>
      <c r="H41" s="13" t="s">
        <v>221</v>
      </c>
      <c r="J41" s="70">
        <f t="shared" si="1"/>
        <v>0.16828422876949742</v>
      </c>
      <c r="K41" s="70" t="str">
        <f t="shared" si="5"/>
        <v/>
      </c>
      <c r="L41" s="57">
        <f t="shared" si="4"/>
        <v>38</v>
      </c>
      <c r="M41" s="98" t="str">
        <f t="shared" si="3"/>
        <v>PASS</v>
      </c>
      <c r="N41" s="323"/>
    </row>
    <row r="42" spans="1:18" ht="15" customHeight="1" x14ac:dyDescent="0.2">
      <c r="B42" s="3" t="s">
        <v>27</v>
      </c>
      <c r="C42" s="53">
        <v>0.79779999999999995</v>
      </c>
      <c r="D42" s="54" t="s">
        <v>215</v>
      </c>
      <c r="E42" s="14">
        <v>4.7030000000000003</v>
      </c>
      <c r="F42" s="9">
        <f t="shared" si="6"/>
        <v>0.67237497874607954</v>
      </c>
      <c r="G42" s="14">
        <v>15</v>
      </c>
      <c r="H42" s="13" t="s">
        <v>216</v>
      </c>
      <c r="J42" s="70">
        <f t="shared" si="1"/>
        <v>0.16963640229640653</v>
      </c>
      <c r="K42" s="70" t="str">
        <f t="shared" si="5"/>
        <v/>
      </c>
      <c r="L42" s="57">
        <f t="shared" si="4"/>
        <v>39</v>
      </c>
      <c r="M42" s="98" t="str">
        <f t="shared" si="3"/>
        <v>PASS</v>
      </c>
      <c r="N42" s="323"/>
    </row>
    <row r="43" spans="1:18" ht="15" customHeight="1" x14ac:dyDescent="0.2">
      <c r="B43" s="2" t="s">
        <v>124</v>
      </c>
      <c r="C43" s="51">
        <v>0.874</v>
      </c>
      <c r="D43" s="52" t="s">
        <v>217</v>
      </c>
      <c r="E43" s="11">
        <v>4.88</v>
      </c>
      <c r="F43" s="9">
        <f t="shared" si="6"/>
        <v>0.68841982200271057</v>
      </c>
      <c r="G43" s="11">
        <v>30</v>
      </c>
      <c r="H43" s="10" t="s">
        <v>216</v>
      </c>
      <c r="J43" s="70">
        <f t="shared" si="1"/>
        <v>0.1790983606557377</v>
      </c>
      <c r="K43" s="70" t="str">
        <f t="shared" si="5"/>
        <v/>
      </c>
      <c r="L43" s="57">
        <f t="shared" si="4"/>
        <v>40</v>
      </c>
      <c r="M43" s="98" t="str">
        <f t="shared" si="3"/>
        <v>PASS</v>
      </c>
      <c r="N43" s="323"/>
    </row>
    <row r="44" spans="1:18" ht="15" customHeight="1" x14ac:dyDescent="0.2">
      <c r="B44" s="6" t="s">
        <v>23</v>
      </c>
      <c r="C44" s="51">
        <v>1.0449999999999999</v>
      </c>
      <c r="D44" s="52" t="s">
        <v>217</v>
      </c>
      <c r="E44" s="11">
        <v>5.4740000000000002</v>
      </c>
      <c r="F44" s="9">
        <f t="shared" si="6"/>
        <v>0.7383047930741049</v>
      </c>
      <c r="G44" s="11">
        <v>25</v>
      </c>
      <c r="H44" s="10" t="s">
        <v>216</v>
      </c>
      <c r="J44" s="70">
        <f t="shared" si="1"/>
        <v>0.190902447935696</v>
      </c>
      <c r="K44" s="70" t="str">
        <f t="shared" si="5"/>
        <v/>
      </c>
      <c r="L44" s="57">
        <f t="shared" si="4"/>
        <v>41</v>
      </c>
      <c r="M44" s="98" t="str">
        <f t="shared" si="3"/>
        <v>PASS</v>
      </c>
      <c r="N44" s="323"/>
    </row>
    <row r="45" spans="1:18" ht="15" customHeight="1" x14ac:dyDescent="0.2">
      <c r="B45" s="6" t="s">
        <v>26</v>
      </c>
      <c r="C45" s="51">
        <v>0.80900000000000005</v>
      </c>
      <c r="D45" s="52" t="s">
        <v>217</v>
      </c>
      <c r="E45" s="11">
        <v>4.2</v>
      </c>
      <c r="F45" s="9">
        <f t="shared" si="6"/>
        <v>0.62324929039790045</v>
      </c>
      <c r="G45" s="11">
        <v>25</v>
      </c>
      <c r="H45" s="10" t="s">
        <v>219</v>
      </c>
      <c r="J45" s="70">
        <f t="shared" si="1"/>
        <v>0.19261904761904763</v>
      </c>
      <c r="K45" s="70" t="str">
        <f t="shared" si="5"/>
        <v/>
      </c>
      <c r="L45" s="57">
        <f t="shared" si="4"/>
        <v>42</v>
      </c>
      <c r="M45" s="98" t="str">
        <f t="shared" si="3"/>
        <v>PASS</v>
      </c>
      <c r="N45" s="323"/>
    </row>
    <row r="46" spans="1:18" ht="15" customHeight="1" x14ac:dyDescent="0.2">
      <c r="B46" s="2" t="s">
        <v>37</v>
      </c>
      <c r="C46" s="51">
        <v>0.95299999999999996</v>
      </c>
      <c r="D46" s="52" t="s">
        <v>217</v>
      </c>
      <c r="E46" s="11">
        <v>4.9000000000000004</v>
      </c>
      <c r="F46" s="9">
        <f t="shared" si="6"/>
        <v>0.69019608002851374</v>
      </c>
      <c r="G46" s="11">
        <v>20</v>
      </c>
      <c r="H46" s="47" t="s">
        <v>216</v>
      </c>
      <c r="J46" s="70">
        <f t="shared" si="1"/>
        <v>0.19448979591836732</v>
      </c>
      <c r="K46" s="70" t="str">
        <f t="shared" si="5"/>
        <v/>
      </c>
      <c r="L46" s="57">
        <f t="shared" si="4"/>
        <v>43</v>
      </c>
      <c r="M46" s="98" t="str">
        <f t="shared" si="3"/>
        <v>PASS</v>
      </c>
      <c r="N46" s="323"/>
    </row>
    <row r="47" spans="1:18" ht="15" customHeight="1" x14ac:dyDescent="0.2">
      <c r="A47" s="45"/>
      <c r="B47" s="5" t="s">
        <v>24</v>
      </c>
      <c r="C47" s="53">
        <v>0.96840000000000004</v>
      </c>
      <c r="D47" s="54" t="s">
        <v>215</v>
      </c>
      <c r="E47" s="14">
        <v>4.5999999999999996</v>
      </c>
      <c r="F47" s="9">
        <f t="shared" si="6"/>
        <v>0.66275783168157409</v>
      </c>
      <c r="G47" s="14">
        <v>25</v>
      </c>
      <c r="H47" s="13" t="s">
        <v>216</v>
      </c>
      <c r="J47" s="70">
        <f t="shared" si="1"/>
        <v>0.21052173913043482</v>
      </c>
      <c r="K47" s="70" t="str">
        <f t="shared" si="5"/>
        <v/>
      </c>
      <c r="L47" s="57">
        <f t="shared" si="4"/>
        <v>44</v>
      </c>
      <c r="M47" s="98" t="str">
        <f t="shared" si="3"/>
        <v>PASS</v>
      </c>
      <c r="N47" s="323"/>
    </row>
    <row r="48" spans="1:18" ht="15" customHeight="1" x14ac:dyDescent="0.2">
      <c r="B48" s="2" t="s">
        <v>20</v>
      </c>
      <c r="C48" s="51">
        <v>0.80959999999999999</v>
      </c>
      <c r="D48" s="56" t="s">
        <v>216</v>
      </c>
      <c r="E48" s="11">
        <v>3.79</v>
      </c>
      <c r="F48" s="9">
        <f t="shared" si="6"/>
        <v>0.57863920996807239</v>
      </c>
      <c r="G48" s="11">
        <v>25</v>
      </c>
      <c r="H48" s="10" t="s">
        <v>216</v>
      </c>
      <c r="J48" s="70">
        <f t="shared" si="1"/>
        <v>0.21361477572559368</v>
      </c>
      <c r="K48" s="70" t="str">
        <f t="shared" si="5"/>
        <v/>
      </c>
      <c r="L48" s="57">
        <f t="shared" si="4"/>
        <v>45</v>
      </c>
      <c r="M48" s="98" t="str">
        <f t="shared" si="3"/>
        <v>PASS</v>
      </c>
      <c r="N48" s="323"/>
    </row>
    <row r="49" spans="1:15" ht="15" customHeight="1" x14ac:dyDescent="0.2">
      <c r="B49" s="2" t="s">
        <v>139</v>
      </c>
      <c r="C49" s="51">
        <v>0.96599999999999997</v>
      </c>
      <c r="D49" s="52" t="s">
        <v>217</v>
      </c>
      <c r="E49" s="11">
        <v>4.24</v>
      </c>
      <c r="F49" s="9">
        <f t="shared" si="6"/>
        <v>0.6273658565927327</v>
      </c>
      <c r="G49" s="33">
        <v>-30</v>
      </c>
      <c r="H49" s="10" t="s">
        <v>216</v>
      </c>
      <c r="J49" s="70">
        <f t="shared" ref="J49:J68" si="7">(C49/E49)</f>
        <v>0.22783018867924526</v>
      </c>
      <c r="K49" s="70" t="str">
        <f t="shared" si="5"/>
        <v/>
      </c>
      <c r="L49" s="57">
        <f t="shared" si="4"/>
        <v>46</v>
      </c>
      <c r="M49" s="98" t="str">
        <f t="shared" si="3"/>
        <v>PASS</v>
      </c>
      <c r="N49" s="323"/>
    </row>
    <row r="50" spans="1:15" ht="15" customHeight="1" x14ac:dyDescent="0.2">
      <c r="B50" s="31" t="s">
        <v>331</v>
      </c>
      <c r="C50" s="53">
        <v>1.1499999999999999</v>
      </c>
      <c r="D50" s="52" t="s">
        <v>217</v>
      </c>
      <c r="E50" s="14">
        <v>5</v>
      </c>
      <c r="F50" s="12">
        <f>LOG(E50)</f>
        <v>0.69897000433601886</v>
      </c>
      <c r="G50" s="14">
        <v>25</v>
      </c>
      <c r="H50" s="14" t="s">
        <v>341</v>
      </c>
      <c r="I50" s="42"/>
      <c r="J50" s="71">
        <f>(C50/E50)</f>
        <v>0.22999999999999998</v>
      </c>
      <c r="K50" s="70" t="str">
        <f t="shared" si="5"/>
        <v/>
      </c>
      <c r="L50" s="57">
        <f t="shared" si="4"/>
        <v>47</v>
      </c>
      <c r="M50" s="98" t="str">
        <f t="shared" si="3"/>
        <v>PASS</v>
      </c>
      <c r="N50" s="323"/>
    </row>
    <row r="51" spans="1:15" ht="15" customHeight="1" x14ac:dyDescent="0.2">
      <c r="B51" s="5" t="s">
        <v>16</v>
      </c>
      <c r="C51" s="53">
        <v>0.81079999999999997</v>
      </c>
      <c r="D51" s="54" t="s">
        <v>215</v>
      </c>
      <c r="E51" s="14">
        <v>3.512</v>
      </c>
      <c r="F51" s="9">
        <f t="shared" si="6"/>
        <v>0.54555450723406496</v>
      </c>
      <c r="G51" s="248" t="s">
        <v>218</v>
      </c>
      <c r="H51" s="13" t="s">
        <v>215</v>
      </c>
      <c r="J51" s="70">
        <f t="shared" si="7"/>
        <v>0.23086560364464692</v>
      </c>
      <c r="K51" s="70" t="str">
        <f t="shared" si="5"/>
        <v/>
      </c>
      <c r="L51" s="57">
        <f t="shared" si="4"/>
        <v>48</v>
      </c>
      <c r="M51" s="98" t="str">
        <f t="shared" si="3"/>
        <v>PASS</v>
      </c>
      <c r="N51" s="323"/>
      <c r="O51" s="180"/>
    </row>
    <row r="52" spans="1:15" ht="15" customHeight="1" x14ac:dyDescent="0.2">
      <c r="B52" s="6" t="s">
        <v>73</v>
      </c>
      <c r="C52" s="51">
        <v>1.022</v>
      </c>
      <c r="D52" s="52" t="s">
        <v>217</v>
      </c>
      <c r="E52" s="11">
        <v>4.4000000000000004</v>
      </c>
      <c r="F52" s="9">
        <f t="shared" si="6"/>
        <v>0.64345267648618742</v>
      </c>
      <c r="G52" s="11">
        <v>25</v>
      </c>
      <c r="H52" s="10" t="s">
        <v>219</v>
      </c>
      <c r="J52" s="70">
        <f t="shared" si="7"/>
        <v>0.23227272727272727</v>
      </c>
      <c r="K52" s="70" t="str">
        <f t="shared" si="5"/>
        <v/>
      </c>
      <c r="L52" s="57">
        <f t="shared" si="4"/>
        <v>49</v>
      </c>
      <c r="M52" s="98" t="str">
        <f t="shared" si="3"/>
        <v>PASS</v>
      </c>
      <c r="N52" s="323"/>
    </row>
    <row r="53" spans="1:15" ht="15" customHeight="1" x14ac:dyDescent="0.2">
      <c r="B53" s="6" t="s">
        <v>42</v>
      </c>
      <c r="C53" s="53">
        <v>1.1285000000000001</v>
      </c>
      <c r="D53" s="54" t="s">
        <v>215</v>
      </c>
      <c r="E53" s="14">
        <v>4.62</v>
      </c>
      <c r="F53" s="9">
        <f t="shared" si="6"/>
        <v>0.66464197555612547</v>
      </c>
      <c r="G53" s="14">
        <v>25</v>
      </c>
      <c r="H53" s="13" t="s">
        <v>216</v>
      </c>
      <c r="J53" s="70">
        <f t="shared" si="7"/>
        <v>0.24426406926406927</v>
      </c>
      <c r="K53" s="70" t="str">
        <f t="shared" si="5"/>
        <v/>
      </c>
      <c r="L53" s="57">
        <f t="shared" si="4"/>
        <v>50</v>
      </c>
      <c r="M53" s="98" t="str">
        <f t="shared" si="3"/>
        <v>PASS</v>
      </c>
      <c r="N53" s="323"/>
    </row>
    <row r="54" spans="1:15" ht="15" customHeight="1" x14ac:dyDescent="0.2">
      <c r="B54" s="2" t="s">
        <v>62</v>
      </c>
      <c r="C54" s="51">
        <v>1.071</v>
      </c>
      <c r="D54" s="52" t="s">
        <v>217</v>
      </c>
      <c r="E54" s="11">
        <v>4.3</v>
      </c>
      <c r="F54" s="9">
        <f t="shared" si="6"/>
        <v>0.63346845557958653</v>
      </c>
      <c r="G54" s="11">
        <v>43</v>
      </c>
      <c r="H54" s="10" t="s">
        <v>219</v>
      </c>
      <c r="J54" s="70">
        <f t="shared" si="7"/>
        <v>0.24906976744186046</v>
      </c>
      <c r="K54" s="70" t="str">
        <f t="shared" si="5"/>
        <v/>
      </c>
      <c r="L54" s="57">
        <f t="shared" si="4"/>
        <v>51</v>
      </c>
      <c r="M54" s="98" t="str">
        <f t="shared" si="3"/>
        <v>PASS</v>
      </c>
      <c r="N54" s="323"/>
    </row>
    <row r="55" spans="1:15" ht="15" customHeight="1" x14ac:dyDescent="0.2">
      <c r="B55" s="4" t="s">
        <v>38</v>
      </c>
      <c r="C55" s="53">
        <v>0.98409999999999997</v>
      </c>
      <c r="D55" s="54" t="s">
        <v>215</v>
      </c>
      <c r="E55" s="14">
        <v>3.85</v>
      </c>
      <c r="F55" s="9">
        <f t="shared" si="6"/>
        <v>0.5854607295085007</v>
      </c>
      <c r="G55" s="14">
        <v>25</v>
      </c>
      <c r="H55" s="13" t="s">
        <v>216</v>
      </c>
      <c r="J55" s="70">
        <f t="shared" si="7"/>
        <v>0.25561038961038962</v>
      </c>
      <c r="K55" s="70" t="str">
        <f t="shared" si="5"/>
        <v/>
      </c>
      <c r="L55" s="57">
        <f t="shared" si="4"/>
        <v>52</v>
      </c>
      <c r="M55" s="98" t="str">
        <f t="shared" si="3"/>
        <v>PASS</v>
      </c>
      <c r="N55" s="323"/>
    </row>
    <row r="56" spans="1:15" ht="15" customHeight="1" x14ac:dyDescent="0.2">
      <c r="B56" s="4" t="s">
        <v>36</v>
      </c>
      <c r="C56" s="53">
        <v>0.98</v>
      </c>
      <c r="D56" s="54" t="s">
        <v>215</v>
      </c>
      <c r="E56" s="14">
        <v>3.8</v>
      </c>
      <c r="F56" s="9">
        <f t="shared" si="6"/>
        <v>0.57978359661681012</v>
      </c>
      <c r="G56" s="248" t="s">
        <v>218</v>
      </c>
      <c r="H56" s="13" t="s">
        <v>215</v>
      </c>
      <c r="J56" s="70">
        <f t="shared" si="7"/>
        <v>0.25789473684210529</v>
      </c>
      <c r="K56" s="70" t="str">
        <f t="shared" si="5"/>
        <v/>
      </c>
      <c r="L56" s="57">
        <f t="shared" si="4"/>
        <v>53</v>
      </c>
      <c r="M56" s="98" t="str">
        <f t="shared" si="3"/>
        <v>PASS</v>
      </c>
      <c r="N56" s="323"/>
    </row>
    <row r="57" spans="1:15" ht="15" customHeight="1" x14ac:dyDescent="0.2">
      <c r="A57" s="45"/>
      <c r="B57" s="6" t="s">
        <v>204</v>
      </c>
      <c r="C57" s="51">
        <v>0.95799999999999996</v>
      </c>
      <c r="D57" s="54" t="s">
        <v>217</v>
      </c>
      <c r="E57" s="11">
        <v>3.7</v>
      </c>
      <c r="F57" s="9">
        <f t="shared" si="6"/>
        <v>0.56820172406699498</v>
      </c>
      <c r="G57" s="11">
        <v>25</v>
      </c>
      <c r="H57" s="10" t="s">
        <v>223</v>
      </c>
      <c r="J57" s="70">
        <f t="shared" si="7"/>
        <v>0.25891891891891888</v>
      </c>
      <c r="K57" s="70" t="str">
        <f t="shared" si="5"/>
        <v/>
      </c>
      <c r="L57" s="57">
        <f t="shared" si="4"/>
        <v>54</v>
      </c>
      <c r="M57" s="98" t="str">
        <f t="shared" si="3"/>
        <v>PASS</v>
      </c>
      <c r="N57" s="323"/>
    </row>
    <row r="58" spans="1:15" ht="15" customHeight="1" x14ac:dyDescent="0.2">
      <c r="B58" s="7" t="s">
        <v>154</v>
      </c>
      <c r="C58" s="53">
        <v>0.99</v>
      </c>
      <c r="D58" s="54" t="s">
        <v>215</v>
      </c>
      <c r="E58" s="14">
        <v>3.8</v>
      </c>
      <c r="F58" s="9">
        <f t="shared" si="6"/>
        <v>0.57978359661681012</v>
      </c>
      <c r="G58" s="248" t="s">
        <v>218</v>
      </c>
      <c r="H58" s="13" t="s">
        <v>215</v>
      </c>
      <c r="J58" s="70">
        <f t="shared" si="7"/>
        <v>0.26052631578947372</v>
      </c>
      <c r="K58" s="70" t="str">
        <f t="shared" si="5"/>
        <v/>
      </c>
      <c r="L58" s="57">
        <f t="shared" si="4"/>
        <v>55</v>
      </c>
      <c r="M58" s="98" t="str">
        <f t="shared" si="3"/>
        <v>PASS</v>
      </c>
      <c r="N58" s="323"/>
    </row>
    <row r="59" spans="1:15" ht="15" customHeight="1" x14ac:dyDescent="0.2">
      <c r="B59" s="2" t="s">
        <v>72</v>
      </c>
      <c r="C59" s="51">
        <v>0.95699999999999996</v>
      </c>
      <c r="D59" s="52" t="s">
        <v>217</v>
      </c>
      <c r="E59" s="11">
        <v>3.65</v>
      </c>
      <c r="F59" s="9">
        <f t="shared" si="6"/>
        <v>0.56229286445647475</v>
      </c>
      <c r="G59" s="11">
        <v>30</v>
      </c>
      <c r="H59" s="10" t="s">
        <v>216</v>
      </c>
      <c r="J59" s="70">
        <f t="shared" si="7"/>
        <v>0.2621917808219178</v>
      </c>
      <c r="K59" s="70" t="str">
        <f t="shared" si="5"/>
        <v/>
      </c>
      <c r="L59" s="57">
        <f t="shared" si="4"/>
        <v>56</v>
      </c>
      <c r="M59" s="98" t="str">
        <f t="shared" si="3"/>
        <v>PASS</v>
      </c>
      <c r="N59" s="323"/>
    </row>
    <row r="60" spans="1:15" ht="15" customHeight="1" x14ac:dyDescent="0.2">
      <c r="B60" s="6" t="s">
        <v>18</v>
      </c>
      <c r="C60" s="53">
        <v>0.80240999999999996</v>
      </c>
      <c r="D60" s="54" t="s">
        <v>215</v>
      </c>
      <c r="E60" s="14">
        <v>2.9980000000000002</v>
      </c>
      <c r="F60" s="9">
        <f t="shared" si="6"/>
        <v>0.47683162851226069</v>
      </c>
      <c r="G60" s="248" t="s">
        <v>218</v>
      </c>
      <c r="H60" s="13" t="s">
        <v>215</v>
      </c>
      <c r="J60" s="70">
        <f t="shared" si="7"/>
        <v>0.26764843228819207</v>
      </c>
      <c r="K60" s="70" t="str">
        <f t="shared" si="5"/>
        <v/>
      </c>
      <c r="L60" s="57">
        <f t="shared" si="4"/>
        <v>57</v>
      </c>
      <c r="M60" s="98" t="str">
        <f t="shared" si="3"/>
        <v>PASS</v>
      </c>
      <c r="N60" s="323"/>
    </row>
    <row r="61" spans="1:15" ht="15" customHeight="1" x14ac:dyDescent="0.2">
      <c r="B61" s="3" t="s">
        <v>4</v>
      </c>
      <c r="C61" s="51">
        <v>0.91800000000000004</v>
      </c>
      <c r="D61" s="52" t="s">
        <v>217</v>
      </c>
      <c r="E61" s="11">
        <v>3.4</v>
      </c>
      <c r="F61" s="9">
        <f t="shared" si="6"/>
        <v>0.53147891704225514</v>
      </c>
      <c r="G61" s="11">
        <v>30</v>
      </c>
      <c r="H61" s="10" t="s">
        <v>216</v>
      </c>
      <c r="J61" s="70">
        <f t="shared" si="7"/>
        <v>0.27</v>
      </c>
      <c r="K61" s="70" t="str">
        <f t="shared" si="5"/>
        <v/>
      </c>
      <c r="L61" s="57">
        <f t="shared" si="4"/>
        <v>58</v>
      </c>
      <c r="M61" s="98" t="str">
        <f t="shared" si="3"/>
        <v>PASS</v>
      </c>
      <c r="N61" s="323"/>
    </row>
    <row r="62" spans="1:15" ht="15" customHeight="1" x14ac:dyDescent="0.2">
      <c r="B62" s="4" t="s">
        <v>40</v>
      </c>
      <c r="C62" s="53">
        <v>0.95</v>
      </c>
      <c r="D62" s="54" t="s">
        <v>215</v>
      </c>
      <c r="E62" s="14">
        <v>3.5</v>
      </c>
      <c r="F62" s="9">
        <f t="shared" si="6"/>
        <v>0.54406804435027567</v>
      </c>
      <c r="G62" s="14">
        <v>25</v>
      </c>
      <c r="H62" s="13" t="s">
        <v>216</v>
      </c>
      <c r="J62" s="70">
        <f t="shared" si="7"/>
        <v>0.27142857142857141</v>
      </c>
      <c r="K62" s="70" t="str">
        <f t="shared" si="5"/>
        <v/>
      </c>
      <c r="L62" s="57">
        <f t="shared" si="4"/>
        <v>59</v>
      </c>
      <c r="M62" s="98" t="str">
        <f t="shared" si="3"/>
        <v>PASS</v>
      </c>
      <c r="N62" s="323"/>
    </row>
    <row r="63" spans="1:15" ht="15" customHeight="1" x14ac:dyDescent="0.2">
      <c r="B63" s="3" t="s">
        <v>33</v>
      </c>
      <c r="C63" s="53">
        <v>0.89624999999999999</v>
      </c>
      <c r="D63" s="54" t="s">
        <v>215</v>
      </c>
      <c r="E63" s="14">
        <v>3.15</v>
      </c>
      <c r="F63" s="9">
        <f t="shared" si="6"/>
        <v>0.49831055378960049</v>
      </c>
      <c r="G63" s="14">
        <v>25</v>
      </c>
      <c r="H63" s="13" t="s">
        <v>216</v>
      </c>
      <c r="J63" s="70">
        <f t="shared" si="7"/>
        <v>0.28452380952380951</v>
      </c>
      <c r="K63" s="70" t="str">
        <f t="shared" si="5"/>
        <v/>
      </c>
      <c r="L63" s="57">
        <f t="shared" si="4"/>
        <v>60</v>
      </c>
      <c r="M63" s="98" t="str">
        <f t="shared" si="3"/>
        <v>PASS</v>
      </c>
      <c r="N63" s="323"/>
    </row>
    <row r="64" spans="1:15" ht="15" customHeight="1" x14ac:dyDescent="0.2">
      <c r="B64" s="6" t="s">
        <v>202</v>
      </c>
      <c r="C64" s="51">
        <v>0.97899999999999998</v>
      </c>
      <c r="D64" s="54" t="s">
        <v>217</v>
      </c>
      <c r="E64" s="11">
        <v>3.39</v>
      </c>
      <c r="F64" s="9">
        <f t="shared" si="6"/>
        <v>0.53019969820308221</v>
      </c>
      <c r="G64" s="11">
        <v>25</v>
      </c>
      <c r="H64" s="10" t="s">
        <v>216</v>
      </c>
      <c r="J64" s="70">
        <f t="shared" si="7"/>
        <v>0.28879056047197638</v>
      </c>
      <c r="K64" s="70" t="str">
        <f t="shared" si="5"/>
        <v/>
      </c>
      <c r="L64" s="57">
        <f t="shared" si="4"/>
        <v>61</v>
      </c>
      <c r="M64" s="98" t="str">
        <f t="shared" si="3"/>
        <v>PASS</v>
      </c>
      <c r="N64" s="323"/>
    </row>
    <row r="65" spans="2:14" ht="15" customHeight="1" x14ac:dyDescent="0.2">
      <c r="B65" s="4" t="s">
        <v>39</v>
      </c>
      <c r="C65" s="53">
        <v>1.0166999999999999</v>
      </c>
      <c r="D65" s="54" t="s">
        <v>215</v>
      </c>
      <c r="E65" s="14">
        <v>3.48</v>
      </c>
      <c r="F65" s="9">
        <f t="shared" si="6"/>
        <v>0.54157924394658097</v>
      </c>
      <c r="G65" s="14">
        <v>25</v>
      </c>
      <c r="H65" s="13" t="s">
        <v>216</v>
      </c>
      <c r="J65" s="70">
        <f t="shared" si="7"/>
        <v>0.29215517241379307</v>
      </c>
      <c r="K65" s="70" t="str">
        <f t="shared" si="5"/>
        <v/>
      </c>
      <c r="L65" s="57">
        <f t="shared" si="4"/>
        <v>62</v>
      </c>
      <c r="M65" s="98" t="str">
        <f t="shared" si="3"/>
        <v>PASS</v>
      </c>
      <c r="N65" s="323"/>
    </row>
    <row r="66" spans="2:14" ht="15" customHeight="1" x14ac:dyDescent="0.2">
      <c r="B66" s="3" t="s">
        <v>156</v>
      </c>
      <c r="C66" s="51">
        <v>0.89700000000000002</v>
      </c>
      <c r="D66" s="52" t="s">
        <v>217</v>
      </c>
      <c r="E66" s="11">
        <v>2.99</v>
      </c>
      <c r="F66" s="9">
        <f t="shared" si="6"/>
        <v>0.47567118832442967</v>
      </c>
      <c r="G66" s="11">
        <v>25</v>
      </c>
      <c r="H66" s="10" t="s">
        <v>216</v>
      </c>
      <c r="J66" s="70">
        <f t="shared" si="7"/>
        <v>0.3</v>
      </c>
      <c r="K66" s="70" t="str">
        <f t="shared" si="5"/>
        <v/>
      </c>
      <c r="L66" s="57">
        <f t="shared" si="4"/>
        <v>63</v>
      </c>
      <c r="M66" s="98" t="str">
        <f t="shared" si="3"/>
        <v>PASS</v>
      </c>
      <c r="N66" s="323"/>
    </row>
    <row r="67" spans="2:14" ht="15" customHeight="1" x14ac:dyDescent="0.2">
      <c r="B67" s="2" t="s">
        <v>138</v>
      </c>
      <c r="C67" s="53">
        <v>1.0661099999999999</v>
      </c>
      <c r="D67" s="54" t="s">
        <v>215</v>
      </c>
      <c r="E67" s="14">
        <v>3.4908999999999999</v>
      </c>
      <c r="F67" s="9">
        <f t="shared" si="6"/>
        <v>0.54293740823261982</v>
      </c>
      <c r="G67" s="14">
        <v>27</v>
      </c>
      <c r="H67" s="13" t="s">
        <v>216</v>
      </c>
      <c r="J67" s="70">
        <f t="shared" si="7"/>
        <v>0.30539688905439855</v>
      </c>
      <c r="K67" s="70" t="str">
        <f t="shared" si="5"/>
        <v/>
      </c>
      <c r="L67" s="57">
        <f t="shared" si="4"/>
        <v>64</v>
      </c>
      <c r="M67" s="98" t="str">
        <f t="shared" si="3"/>
        <v>PASS</v>
      </c>
      <c r="N67" s="323"/>
    </row>
    <row r="68" spans="2:14" ht="15" customHeight="1" x14ac:dyDescent="0.2">
      <c r="B68" s="2" t="s">
        <v>11</v>
      </c>
      <c r="C68" s="53">
        <v>0.80574999999999997</v>
      </c>
      <c r="D68" s="54" t="s">
        <v>215</v>
      </c>
      <c r="E68" s="14">
        <v>2.544</v>
      </c>
      <c r="F68" s="9">
        <f t="shared" si="6"/>
        <v>0.40551710697637627</v>
      </c>
      <c r="G68" s="14">
        <v>25</v>
      </c>
      <c r="H68" s="13" t="s">
        <v>216</v>
      </c>
      <c r="J68" s="70">
        <f t="shared" si="7"/>
        <v>0.31672562893081757</v>
      </c>
      <c r="K68" s="70" t="str">
        <f t="shared" ref="K68:K99" si="8">IF(J68&gt;$Q$17,"too high","")</f>
        <v/>
      </c>
      <c r="L68" s="57">
        <f t="shared" si="4"/>
        <v>65</v>
      </c>
      <c r="M68" s="98" t="str">
        <f t="shared" ref="M68:M131" si="9">IF(K68="","PASS","FAIL")</f>
        <v>PASS</v>
      </c>
      <c r="N68" s="323"/>
    </row>
    <row r="69" spans="2:14" ht="15" customHeight="1" x14ac:dyDescent="0.2">
      <c r="B69" s="2" t="s">
        <v>182</v>
      </c>
      <c r="C69" s="51">
        <v>0.80500000000000005</v>
      </c>
      <c r="D69" s="52" t="s">
        <v>217</v>
      </c>
      <c r="E69" s="11">
        <v>2.4700000000000002</v>
      </c>
      <c r="F69" s="9">
        <f t="shared" ref="F69:F101" si="10">LOG(E69)</f>
        <v>0.39269695325966575</v>
      </c>
      <c r="G69" s="33">
        <v>-53</v>
      </c>
      <c r="H69" s="10" t="s">
        <v>216</v>
      </c>
      <c r="J69" s="70">
        <f t="shared" ref="J69:J101" si="11">(C69/E69)</f>
        <v>0.32591093117408904</v>
      </c>
      <c r="K69" s="70" t="str">
        <f t="shared" si="8"/>
        <v/>
      </c>
      <c r="L69" s="57">
        <f t="shared" si="4"/>
        <v>66</v>
      </c>
      <c r="M69" s="98" t="str">
        <f t="shared" si="9"/>
        <v>PASS</v>
      </c>
      <c r="N69" s="323"/>
    </row>
    <row r="70" spans="2:14" ht="15" customHeight="1" x14ac:dyDescent="0.2">
      <c r="B70" s="3" t="s">
        <v>17</v>
      </c>
      <c r="C70" s="53">
        <v>0.79959999999999998</v>
      </c>
      <c r="D70" s="54" t="s">
        <v>215</v>
      </c>
      <c r="E70" s="14">
        <v>2.2559999999999998</v>
      </c>
      <c r="F70" s="9">
        <f t="shared" si="10"/>
        <v>0.35333909531130464</v>
      </c>
      <c r="G70" s="14">
        <v>20</v>
      </c>
      <c r="H70" s="13" t="s">
        <v>216</v>
      </c>
      <c r="J70" s="70">
        <f t="shared" si="11"/>
        <v>0.3544326241134752</v>
      </c>
      <c r="K70" s="70" t="str">
        <f t="shared" si="8"/>
        <v/>
      </c>
      <c r="L70" s="57">
        <f t="shared" ref="L70:L133" si="12">1+L69</f>
        <v>67</v>
      </c>
      <c r="M70" s="98" t="str">
        <f t="shared" si="9"/>
        <v>PASS</v>
      </c>
      <c r="N70" s="323"/>
    </row>
    <row r="71" spans="2:14" ht="15" customHeight="1" x14ac:dyDescent="0.2">
      <c r="B71" s="6" t="s">
        <v>193</v>
      </c>
      <c r="C71" s="51">
        <v>1.093</v>
      </c>
      <c r="D71" s="54" t="s">
        <v>217</v>
      </c>
      <c r="E71" s="11">
        <v>2.9969999999999999</v>
      </c>
      <c r="F71" s="9">
        <f t="shared" si="10"/>
        <v>0.47668674294564473</v>
      </c>
      <c r="G71" s="11">
        <v>30</v>
      </c>
      <c r="H71" s="10" t="s">
        <v>216</v>
      </c>
      <c r="J71" s="70">
        <f t="shared" si="11"/>
        <v>0.36469803136469803</v>
      </c>
      <c r="K71" s="70" t="str">
        <f t="shared" si="8"/>
        <v/>
      </c>
      <c r="L71" s="57">
        <f t="shared" si="12"/>
        <v>68</v>
      </c>
      <c r="M71" s="98" t="str">
        <f t="shared" si="9"/>
        <v>PASS</v>
      </c>
      <c r="N71" s="323"/>
    </row>
    <row r="72" spans="2:14" ht="15" customHeight="1" x14ac:dyDescent="0.2">
      <c r="B72" s="4" t="s">
        <v>148</v>
      </c>
      <c r="C72" s="53">
        <v>0.89</v>
      </c>
      <c r="D72" s="54" t="s">
        <v>215</v>
      </c>
      <c r="E72" s="14">
        <v>2.39</v>
      </c>
      <c r="F72" s="9">
        <f t="shared" si="10"/>
        <v>0.37839790094813769</v>
      </c>
      <c r="G72" s="248" t="s">
        <v>218</v>
      </c>
      <c r="H72" s="13" t="s">
        <v>215</v>
      </c>
      <c r="J72" s="70">
        <f t="shared" si="11"/>
        <v>0.3723849372384937</v>
      </c>
      <c r="K72" s="70" t="str">
        <f t="shared" si="8"/>
        <v/>
      </c>
      <c r="L72" s="57">
        <f t="shared" si="12"/>
        <v>69</v>
      </c>
      <c r="M72" s="98" t="str">
        <f t="shared" si="9"/>
        <v>PASS</v>
      </c>
      <c r="N72" s="323"/>
    </row>
    <row r="73" spans="2:14" ht="15" customHeight="1" x14ac:dyDescent="0.2">
      <c r="B73" s="4" t="s">
        <v>44</v>
      </c>
      <c r="C73" s="53">
        <v>1.0900000000000001</v>
      </c>
      <c r="D73" s="54" t="s">
        <v>215</v>
      </c>
      <c r="E73" s="14">
        <v>2.9</v>
      </c>
      <c r="F73" s="9">
        <f t="shared" si="10"/>
        <v>0.46239799789895608</v>
      </c>
      <c r="G73" s="248" t="s">
        <v>218</v>
      </c>
      <c r="H73" s="13" t="s">
        <v>215</v>
      </c>
      <c r="J73" s="70">
        <f t="shared" si="11"/>
        <v>0.37586206896551727</v>
      </c>
      <c r="K73" s="70" t="str">
        <f t="shared" si="8"/>
        <v/>
      </c>
      <c r="L73" s="57">
        <f t="shared" si="12"/>
        <v>70</v>
      </c>
      <c r="M73" s="98" t="str">
        <f t="shared" si="9"/>
        <v>PASS</v>
      </c>
      <c r="N73" s="323"/>
    </row>
    <row r="74" spans="2:14" ht="15" customHeight="1" x14ac:dyDescent="0.2">
      <c r="B74" s="6" t="s">
        <v>41</v>
      </c>
      <c r="C74" s="53">
        <v>1.03</v>
      </c>
      <c r="D74" s="54" t="s">
        <v>215</v>
      </c>
      <c r="E74" s="14">
        <v>2.7</v>
      </c>
      <c r="F74" s="9">
        <f t="shared" si="10"/>
        <v>0.43136376415898736</v>
      </c>
      <c r="G74" s="248" t="s">
        <v>218</v>
      </c>
      <c r="H74" s="13" t="s">
        <v>215</v>
      </c>
      <c r="J74" s="70">
        <f t="shared" si="11"/>
        <v>0.38148148148148148</v>
      </c>
      <c r="K74" s="70" t="str">
        <f t="shared" si="8"/>
        <v/>
      </c>
      <c r="L74" s="57">
        <f t="shared" si="12"/>
        <v>71</v>
      </c>
      <c r="M74" s="98" t="str">
        <f t="shared" si="9"/>
        <v>PASS</v>
      </c>
      <c r="N74" s="323"/>
    </row>
    <row r="75" spans="2:14" ht="15" customHeight="1" x14ac:dyDescent="0.2">
      <c r="B75" s="3" t="s">
        <v>22</v>
      </c>
      <c r="C75" s="53">
        <v>0.79</v>
      </c>
      <c r="D75" s="54" t="s">
        <v>215</v>
      </c>
      <c r="E75" s="14">
        <v>2.0379999999999998</v>
      </c>
      <c r="F75" s="9">
        <f t="shared" si="10"/>
        <v>0.30920417967040753</v>
      </c>
      <c r="G75" s="14">
        <v>25</v>
      </c>
      <c r="H75" s="13" t="s">
        <v>216</v>
      </c>
      <c r="J75" s="70">
        <f t="shared" si="11"/>
        <v>0.38763493621197259</v>
      </c>
      <c r="K75" s="70" t="str">
        <f t="shared" si="8"/>
        <v/>
      </c>
      <c r="L75" s="57">
        <f t="shared" si="12"/>
        <v>72</v>
      </c>
      <c r="M75" s="98" t="str">
        <f t="shared" si="9"/>
        <v>PASS</v>
      </c>
      <c r="N75" s="323"/>
    </row>
    <row r="76" spans="2:14" ht="15" customHeight="1" x14ac:dyDescent="0.2">
      <c r="B76" s="2" t="s">
        <v>129</v>
      </c>
      <c r="C76" s="51">
        <v>1.0900000000000001</v>
      </c>
      <c r="D76" s="52" t="s">
        <v>217</v>
      </c>
      <c r="E76" s="11">
        <f>2.53*C76</f>
        <v>2.7576999999999998</v>
      </c>
      <c r="F76" s="9">
        <f t="shared" si="10"/>
        <v>0.44054701911644151</v>
      </c>
      <c r="G76" s="11">
        <v>20</v>
      </c>
      <c r="H76" s="47" t="s">
        <v>217</v>
      </c>
      <c r="J76" s="70">
        <f t="shared" si="11"/>
        <v>0.39525691699604748</v>
      </c>
      <c r="K76" s="70" t="str">
        <f t="shared" si="8"/>
        <v/>
      </c>
      <c r="L76" s="57">
        <f t="shared" si="12"/>
        <v>73</v>
      </c>
      <c r="M76" s="98" t="str">
        <f t="shared" si="9"/>
        <v>PASS</v>
      </c>
      <c r="N76" s="323"/>
    </row>
    <row r="77" spans="2:14" ht="15" customHeight="1" x14ac:dyDescent="0.2">
      <c r="B77" s="5" t="s">
        <v>189</v>
      </c>
      <c r="C77" s="53">
        <v>0.94520000000000004</v>
      </c>
      <c r="D77" s="54" t="s">
        <v>215</v>
      </c>
      <c r="E77" s="14">
        <v>2.2000000000000002</v>
      </c>
      <c r="F77" s="9">
        <f t="shared" si="10"/>
        <v>0.34242268082220628</v>
      </c>
      <c r="G77" s="14">
        <v>25</v>
      </c>
      <c r="H77" s="13" t="s">
        <v>216</v>
      </c>
      <c r="J77" s="70">
        <f t="shared" si="11"/>
        <v>0.42963636363636359</v>
      </c>
      <c r="K77" s="70" t="str">
        <f t="shared" si="8"/>
        <v/>
      </c>
      <c r="L77" s="57">
        <f t="shared" si="12"/>
        <v>74</v>
      </c>
      <c r="M77" s="98" t="str">
        <f t="shared" si="9"/>
        <v>PASS</v>
      </c>
      <c r="N77" s="323"/>
    </row>
    <row r="78" spans="2:14" ht="15" customHeight="1" x14ac:dyDescent="0.2">
      <c r="B78" s="6" t="s">
        <v>206</v>
      </c>
      <c r="C78" s="51">
        <v>0.95599999999999996</v>
      </c>
      <c r="D78" s="54" t="s">
        <v>217</v>
      </c>
      <c r="E78" s="11">
        <v>2.19</v>
      </c>
      <c r="F78" s="9">
        <f t="shared" si="10"/>
        <v>0.34044411484011833</v>
      </c>
      <c r="G78" s="11">
        <v>25</v>
      </c>
      <c r="H78" s="10" t="s">
        <v>223</v>
      </c>
      <c r="J78" s="70">
        <f t="shared" si="11"/>
        <v>0.43652968036529682</v>
      </c>
      <c r="K78" s="70" t="str">
        <f t="shared" si="8"/>
        <v/>
      </c>
      <c r="L78" s="57">
        <f t="shared" si="12"/>
        <v>75</v>
      </c>
      <c r="M78" s="98" t="str">
        <f t="shared" si="9"/>
        <v>PASS</v>
      </c>
      <c r="N78" s="323"/>
    </row>
    <row r="79" spans="2:14" ht="15" customHeight="1" x14ac:dyDescent="0.2">
      <c r="B79" s="2" t="s">
        <v>78</v>
      </c>
      <c r="C79" s="51">
        <v>0.996</v>
      </c>
      <c r="D79" s="52" t="s">
        <v>217</v>
      </c>
      <c r="E79" s="11">
        <v>2.2000000000000002</v>
      </c>
      <c r="F79" s="9">
        <f t="shared" si="10"/>
        <v>0.34242268082220628</v>
      </c>
      <c r="G79" s="11">
        <v>25</v>
      </c>
      <c r="H79" s="10" t="s">
        <v>219</v>
      </c>
      <c r="J79" s="70">
        <f t="shared" si="11"/>
        <v>0.4527272727272727</v>
      </c>
      <c r="K79" s="70" t="str">
        <f t="shared" si="8"/>
        <v/>
      </c>
      <c r="L79" s="57">
        <f t="shared" si="12"/>
        <v>76</v>
      </c>
      <c r="M79" s="98" t="str">
        <f t="shared" si="9"/>
        <v>PASS</v>
      </c>
      <c r="N79" s="323"/>
    </row>
    <row r="80" spans="2:14" ht="15" customHeight="1" x14ac:dyDescent="0.2">
      <c r="B80" s="6" t="s">
        <v>91</v>
      </c>
      <c r="C80" s="53">
        <v>1.1951000000000001</v>
      </c>
      <c r="D80" s="54" t="s">
        <v>215</v>
      </c>
      <c r="E80" s="14">
        <v>2.5299999999999998</v>
      </c>
      <c r="F80" s="9">
        <f t="shared" si="10"/>
        <v>0.40312052117581787</v>
      </c>
      <c r="G80" s="248" t="s">
        <v>218</v>
      </c>
      <c r="H80" s="13" t="s">
        <v>215</v>
      </c>
      <c r="J80" s="70">
        <f t="shared" si="11"/>
        <v>0.47237154150197636</v>
      </c>
      <c r="K80" s="70" t="str">
        <f t="shared" si="8"/>
        <v/>
      </c>
      <c r="L80" s="57">
        <f t="shared" si="12"/>
        <v>77</v>
      </c>
      <c r="M80" s="98" t="str">
        <f t="shared" si="9"/>
        <v>PASS</v>
      </c>
      <c r="N80" s="323"/>
    </row>
    <row r="81" spans="2:15" ht="15" customHeight="1" x14ac:dyDescent="0.2">
      <c r="B81" s="6" t="s">
        <v>340</v>
      </c>
      <c r="C81" s="53">
        <v>1.05</v>
      </c>
      <c r="D81" s="52" t="s">
        <v>217</v>
      </c>
      <c r="E81" s="14">
        <v>2.1800000000000002</v>
      </c>
      <c r="F81" s="12">
        <f>LOG(E81)</f>
        <v>0.33845649360460484</v>
      </c>
      <c r="G81" s="14">
        <v>25</v>
      </c>
      <c r="H81" s="13" t="s">
        <v>339</v>
      </c>
      <c r="I81" s="42"/>
      <c r="J81" s="71">
        <f>(C81/E81)</f>
        <v>0.48165137614678899</v>
      </c>
      <c r="K81" s="70" t="str">
        <f t="shared" si="8"/>
        <v/>
      </c>
      <c r="L81" s="57">
        <f t="shared" si="12"/>
        <v>78</v>
      </c>
      <c r="M81" s="98" t="str">
        <f t="shared" si="9"/>
        <v>PASS</v>
      </c>
      <c r="N81" s="323"/>
    </row>
    <row r="82" spans="2:15" ht="15" customHeight="1" x14ac:dyDescent="0.2">
      <c r="B82" s="2" t="s">
        <v>31</v>
      </c>
      <c r="C82" s="55">
        <v>0.92400000000000004</v>
      </c>
      <c r="D82" s="56" t="s">
        <v>219</v>
      </c>
      <c r="E82" s="11">
        <v>1.9</v>
      </c>
      <c r="F82" s="9">
        <f t="shared" si="10"/>
        <v>0.27875360095282892</v>
      </c>
      <c r="G82" s="11">
        <v>25</v>
      </c>
      <c r="H82" s="10" t="s">
        <v>219</v>
      </c>
      <c r="J82" s="70">
        <f t="shared" si="11"/>
        <v>0.48631578947368426</v>
      </c>
      <c r="K82" s="70" t="str">
        <f t="shared" si="8"/>
        <v/>
      </c>
      <c r="L82" s="57">
        <f t="shared" si="12"/>
        <v>79</v>
      </c>
      <c r="M82" s="98" t="str">
        <f t="shared" si="9"/>
        <v>PASS</v>
      </c>
      <c r="N82" s="323"/>
    </row>
    <row r="83" spans="2:15" ht="15" customHeight="1" x14ac:dyDescent="0.2">
      <c r="B83" s="7" t="s">
        <v>34</v>
      </c>
      <c r="C83" s="53">
        <v>0.92520000000000002</v>
      </c>
      <c r="D83" s="54" t="s">
        <v>215</v>
      </c>
      <c r="E83" s="14">
        <v>1.84</v>
      </c>
      <c r="F83" s="9">
        <f t="shared" si="10"/>
        <v>0.26481782300953649</v>
      </c>
      <c r="G83" s="14">
        <v>25</v>
      </c>
      <c r="H83" s="13" t="s">
        <v>216</v>
      </c>
      <c r="J83" s="70">
        <f t="shared" si="11"/>
        <v>0.50282608695652176</v>
      </c>
      <c r="K83" s="70" t="str">
        <f t="shared" si="8"/>
        <v/>
      </c>
      <c r="L83" s="57">
        <f t="shared" si="12"/>
        <v>80</v>
      </c>
      <c r="M83" s="98" t="str">
        <f t="shared" si="9"/>
        <v>PASS</v>
      </c>
      <c r="N83" s="323"/>
    </row>
    <row r="84" spans="2:15" ht="15" customHeight="1" x14ac:dyDescent="0.2">
      <c r="B84" s="2" t="s">
        <v>79</v>
      </c>
      <c r="C84" s="51">
        <v>0.95599999999999996</v>
      </c>
      <c r="D84" s="52" t="s">
        <v>217</v>
      </c>
      <c r="E84" s="11">
        <v>1.89</v>
      </c>
      <c r="F84" s="9">
        <f t="shared" si="10"/>
        <v>0.27646180417324412</v>
      </c>
      <c r="G84" s="11">
        <v>2.5</v>
      </c>
      <c r="H84" s="10" t="s">
        <v>216</v>
      </c>
      <c r="J84" s="70">
        <f t="shared" si="11"/>
        <v>0.50582010582010584</v>
      </c>
      <c r="K84" s="70" t="str">
        <f t="shared" si="8"/>
        <v/>
      </c>
      <c r="L84" s="57">
        <f t="shared" si="12"/>
        <v>81</v>
      </c>
      <c r="M84" s="98" t="str">
        <f t="shared" si="9"/>
        <v>PASS</v>
      </c>
      <c r="N84" s="323"/>
    </row>
    <row r="85" spans="2:15" ht="15" customHeight="1" x14ac:dyDescent="0.2">
      <c r="B85" s="2" t="s">
        <v>70</v>
      </c>
      <c r="C85" s="51">
        <v>1.056</v>
      </c>
      <c r="D85" s="52" t="s">
        <v>217</v>
      </c>
      <c r="E85" s="11">
        <f>1.95*C85</f>
        <v>2.0592000000000001</v>
      </c>
      <c r="F85" s="9">
        <f t="shared" si="10"/>
        <v>0.31369852956031147</v>
      </c>
      <c r="G85" s="11">
        <v>20</v>
      </c>
      <c r="H85" s="47" t="s">
        <v>217</v>
      </c>
      <c r="J85" s="70">
        <f t="shared" si="11"/>
        <v>0.51282051282051277</v>
      </c>
      <c r="K85" s="70" t="str">
        <f t="shared" si="8"/>
        <v/>
      </c>
      <c r="L85" s="57">
        <f t="shared" si="12"/>
        <v>82</v>
      </c>
      <c r="M85" s="98" t="str">
        <f t="shared" si="9"/>
        <v>PASS</v>
      </c>
      <c r="N85" s="323"/>
    </row>
    <row r="86" spans="2:15" ht="15" customHeight="1" x14ac:dyDescent="0.2">
      <c r="B86" s="6" t="s">
        <v>208</v>
      </c>
      <c r="C86" s="53">
        <v>1.09537</v>
      </c>
      <c r="D86" s="54" t="s">
        <v>215</v>
      </c>
      <c r="E86" s="14">
        <v>1.9910000000000001</v>
      </c>
      <c r="F86" s="9">
        <f t="shared" si="10"/>
        <v>0.29907126002740958</v>
      </c>
      <c r="G86" s="248" t="s">
        <v>218</v>
      </c>
      <c r="H86" s="13" t="s">
        <v>215</v>
      </c>
      <c r="J86" s="70">
        <f t="shared" si="11"/>
        <v>0.55016072325464582</v>
      </c>
      <c r="K86" s="70" t="str">
        <f t="shared" si="8"/>
        <v/>
      </c>
      <c r="L86" s="57">
        <f t="shared" si="12"/>
        <v>83</v>
      </c>
      <c r="M86" s="98" t="str">
        <f t="shared" si="9"/>
        <v>PASS</v>
      </c>
      <c r="N86" s="323"/>
    </row>
    <row r="87" spans="2:15" ht="15" customHeight="1" x14ac:dyDescent="0.2">
      <c r="B87" s="5" t="s">
        <v>100</v>
      </c>
      <c r="C87" s="51">
        <v>1.387</v>
      </c>
      <c r="D87" s="52" t="s">
        <v>217</v>
      </c>
      <c r="E87" s="11">
        <v>2.5049999999999999</v>
      </c>
      <c r="F87" s="9">
        <f t="shared" si="10"/>
        <v>0.39880773020326449</v>
      </c>
      <c r="G87" s="11">
        <v>20</v>
      </c>
      <c r="H87" s="10" t="s">
        <v>216</v>
      </c>
      <c r="J87" s="70">
        <f t="shared" si="11"/>
        <v>0.55369261477045906</v>
      </c>
      <c r="K87" s="70" t="str">
        <f t="shared" si="8"/>
        <v/>
      </c>
      <c r="L87" s="57">
        <f t="shared" si="12"/>
        <v>84</v>
      </c>
      <c r="M87" s="98" t="str">
        <f t="shared" si="9"/>
        <v>PASS</v>
      </c>
      <c r="N87" s="323"/>
    </row>
    <row r="88" spans="2:15" ht="15" customHeight="1" x14ac:dyDescent="0.2">
      <c r="B88" s="2" t="s">
        <v>177</v>
      </c>
      <c r="C88" s="51">
        <v>0.86</v>
      </c>
      <c r="D88" s="56" t="s">
        <v>216</v>
      </c>
      <c r="E88" s="11">
        <v>1.522</v>
      </c>
      <c r="F88" s="9">
        <f t="shared" si="10"/>
        <v>0.18241465243455401</v>
      </c>
      <c r="G88" s="11">
        <v>25</v>
      </c>
      <c r="H88" s="10" t="s">
        <v>216</v>
      </c>
      <c r="J88" s="70">
        <f t="shared" si="11"/>
        <v>0.56504599211563733</v>
      </c>
      <c r="K88" s="70" t="str">
        <f t="shared" si="8"/>
        <v/>
      </c>
      <c r="L88" s="57">
        <f t="shared" si="12"/>
        <v>85</v>
      </c>
      <c r="M88" s="98" t="str">
        <f t="shared" si="9"/>
        <v>PASS</v>
      </c>
      <c r="N88" s="323"/>
    </row>
    <row r="89" spans="2:15" ht="15" customHeight="1" x14ac:dyDescent="0.2">
      <c r="B89" s="2" t="s">
        <v>82</v>
      </c>
      <c r="C89" s="51">
        <v>0.77800000000000002</v>
      </c>
      <c r="D89" s="52" t="s">
        <v>217</v>
      </c>
      <c r="E89" s="11">
        <v>1.35</v>
      </c>
      <c r="F89" s="9">
        <f t="shared" si="10"/>
        <v>0.13033376849500614</v>
      </c>
      <c r="G89" s="11">
        <v>25</v>
      </c>
      <c r="H89" s="10" t="s">
        <v>216</v>
      </c>
      <c r="J89" s="70">
        <f t="shared" si="11"/>
        <v>0.57629629629629631</v>
      </c>
      <c r="K89" s="70" t="str">
        <f t="shared" si="8"/>
        <v/>
      </c>
      <c r="L89" s="57">
        <f t="shared" si="12"/>
        <v>86</v>
      </c>
      <c r="M89" s="98" t="str">
        <f t="shared" si="9"/>
        <v>PASS</v>
      </c>
      <c r="N89" s="323"/>
    </row>
    <row r="90" spans="2:15" s="45" customFormat="1" ht="15" customHeight="1" x14ac:dyDescent="0.2">
      <c r="B90" s="2" t="s">
        <v>187</v>
      </c>
      <c r="C90" s="51">
        <v>1.03</v>
      </c>
      <c r="D90" s="54" t="s">
        <v>217</v>
      </c>
      <c r="E90" s="11">
        <v>1.74</v>
      </c>
      <c r="F90" s="9">
        <f t="shared" si="10"/>
        <v>0.24054924828259971</v>
      </c>
      <c r="G90" s="11">
        <v>25</v>
      </c>
      <c r="H90" s="10" t="s">
        <v>219</v>
      </c>
      <c r="I90" s="39"/>
      <c r="J90" s="70">
        <f t="shared" si="11"/>
        <v>0.59195402298850575</v>
      </c>
      <c r="K90" s="70" t="str">
        <f t="shared" si="8"/>
        <v/>
      </c>
      <c r="L90" s="57">
        <f t="shared" si="12"/>
        <v>87</v>
      </c>
      <c r="M90" s="98" t="str">
        <f t="shared" si="9"/>
        <v>PASS</v>
      </c>
      <c r="N90" s="323"/>
      <c r="O90" s="39"/>
    </row>
    <row r="91" spans="2:15" ht="15" customHeight="1" x14ac:dyDescent="0.2">
      <c r="B91" s="2" t="s">
        <v>77</v>
      </c>
      <c r="C91" s="51">
        <v>0.89900000000000002</v>
      </c>
      <c r="D91" s="52" t="s">
        <v>217</v>
      </c>
      <c r="E91" s="11">
        <v>1.5</v>
      </c>
      <c r="F91" s="9">
        <f t="shared" si="10"/>
        <v>0.17609125905568124</v>
      </c>
      <c r="G91" s="11">
        <v>25</v>
      </c>
      <c r="H91" s="10" t="s">
        <v>216</v>
      </c>
      <c r="J91" s="70">
        <f t="shared" si="11"/>
        <v>0.59933333333333338</v>
      </c>
      <c r="K91" s="70" t="str">
        <f t="shared" si="8"/>
        <v/>
      </c>
      <c r="L91" s="57">
        <f t="shared" si="12"/>
        <v>88</v>
      </c>
      <c r="M91" s="98" t="str">
        <f t="shared" si="9"/>
        <v>PASS</v>
      </c>
      <c r="N91" s="323"/>
    </row>
    <row r="92" spans="2:15" ht="15" customHeight="1" x14ac:dyDescent="0.2">
      <c r="B92" s="4" t="s">
        <v>3</v>
      </c>
      <c r="C92" s="53">
        <v>1.2140500000000001</v>
      </c>
      <c r="D92" s="54" t="s">
        <v>215</v>
      </c>
      <c r="E92" s="14">
        <v>1.966</v>
      </c>
      <c r="F92" s="9">
        <f t="shared" si="10"/>
        <v>0.29358351349611683</v>
      </c>
      <c r="G92" s="249" t="s">
        <v>218</v>
      </c>
      <c r="H92" s="13" t="s">
        <v>215</v>
      </c>
      <c r="J92" s="70">
        <f t="shared" si="11"/>
        <v>0.61752288911495423</v>
      </c>
      <c r="K92" s="70" t="str">
        <f t="shared" si="8"/>
        <v/>
      </c>
      <c r="L92" s="57">
        <f t="shared" si="12"/>
        <v>89</v>
      </c>
      <c r="M92" s="98" t="str">
        <f t="shared" si="9"/>
        <v>PASS</v>
      </c>
      <c r="N92" s="323"/>
    </row>
    <row r="93" spans="2:15" ht="15" customHeight="1" x14ac:dyDescent="0.2">
      <c r="B93" s="2" t="s">
        <v>35</v>
      </c>
      <c r="C93" s="53">
        <v>0.97</v>
      </c>
      <c r="D93" s="54" t="s">
        <v>215</v>
      </c>
      <c r="E93" s="14">
        <v>1.57</v>
      </c>
      <c r="F93" s="9">
        <f t="shared" si="10"/>
        <v>0.19589965240923377</v>
      </c>
      <c r="G93" s="249" t="s">
        <v>218</v>
      </c>
      <c r="H93" s="13" t="s">
        <v>215</v>
      </c>
      <c r="J93" s="70">
        <f t="shared" si="11"/>
        <v>0.61783439490445857</v>
      </c>
      <c r="K93" s="70" t="str">
        <f t="shared" si="8"/>
        <v/>
      </c>
      <c r="L93" s="57">
        <f t="shared" si="12"/>
        <v>90</v>
      </c>
      <c r="M93" s="98" t="str">
        <f t="shared" si="9"/>
        <v>PASS</v>
      </c>
      <c r="N93" s="323"/>
    </row>
    <row r="94" spans="2:15" ht="15" customHeight="1" x14ac:dyDescent="0.2">
      <c r="B94" s="5" t="s">
        <v>226</v>
      </c>
      <c r="C94" s="51">
        <v>1.0329999999999999</v>
      </c>
      <c r="D94" s="52" t="s">
        <v>215</v>
      </c>
      <c r="E94" s="14">
        <v>1.6659999999999999</v>
      </c>
      <c r="F94" s="9">
        <f>LOG(E94)</f>
        <v>0.22167499707076876</v>
      </c>
      <c r="G94" s="249" t="s">
        <v>218</v>
      </c>
      <c r="H94" s="13" t="s">
        <v>215</v>
      </c>
      <c r="J94" s="70">
        <f>(C94/E94)</f>
        <v>0.62004801920768304</v>
      </c>
      <c r="K94" s="70" t="str">
        <f t="shared" si="8"/>
        <v/>
      </c>
      <c r="L94" s="57">
        <f t="shared" si="12"/>
        <v>91</v>
      </c>
      <c r="M94" s="98" t="str">
        <f t="shared" si="9"/>
        <v>PASS</v>
      </c>
      <c r="N94" s="323"/>
    </row>
    <row r="95" spans="2:15" ht="15" customHeight="1" x14ac:dyDescent="0.2">
      <c r="B95" s="3" t="s">
        <v>149</v>
      </c>
      <c r="C95" s="53">
        <v>0.90629999999999999</v>
      </c>
      <c r="D95" s="54" t="s">
        <v>215</v>
      </c>
      <c r="E95" s="14">
        <v>1.4</v>
      </c>
      <c r="F95" s="9">
        <f t="shared" si="10"/>
        <v>0.14612803567823801</v>
      </c>
      <c r="G95" s="249" t="s">
        <v>218</v>
      </c>
      <c r="H95" s="13" t="s">
        <v>215</v>
      </c>
      <c r="J95" s="70">
        <f t="shared" si="11"/>
        <v>0.64735714285714285</v>
      </c>
      <c r="K95" s="70" t="str">
        <f t="shared" si="8"/>
        <v/>
      </c>
      <c r="L95" s="57">
        <f t="shared" si="12"/>
        <v>92</v>
      </c>
      <c r="M95" s="98" t="str">
        <f t="shared" si="9"/>
        <v>PASS</v>
      </c>
      <c r="N95" s="323"/>
    </row>
    <row r="96" spans="2:15" s="45" customFormat="1" ht="15" customHeight="1" x14ac:dyDescent="0.2">
      <c r="B96" s="6" t="s">
        <v>176</v>
      </c>
      <c r="C96" s="51">
        <v>0.85799999999999998</v>
      </c>
      <c r="D96" s="52" t="s">
        <v>217</v>
      </c>
      <c r="E96" s="11">
        <v>1.3029999999999999</v>
      </c>
      <c r="F96" s="9">
        <f t="shared" si="10"/>
        <v>0.11494441571258467</v>
      </c>
      <c r="G96" s="11">
        <v>25</v>
      </c>
      <c r="H96" s="10" t="s">
        <v>216</v>
      </c>
      <c r="I96" s="39"/>
      <c r="J96" s="70">
        <f t="shared" si="11"/>
        <v>0.6584804297774367</v>
      </c>
      <c r="K96" s="70" t="str">
        <f t="shared" si="8"/>
        <v/>
      </c>
      <c r="L96" s="57">
        <f t="shared" si="12"/>
        <v>93</v>
      </c>
      <c r="M96" s="98" t="str">
        <f t="shared" si="9"/>
        <v>PASS</v>
      </c>
      <c r="N96" s="323"/>
      <c r="O96" s="39"/>
    </row>
    <row r="97" spans="2:15" s="45" customFormat="1" ht="15" customHeight="1" x14ac:dyDescent="0.2">
      <c r="B97" s="7" t="s">
        <v>261</v>
      </c>
      <c r="C97" s="53">
        <v>1.1254</v>
      </c>
      <c r="D97" s="54" t="s">
        <v>215</v>
      </c>
      <c r="E97" s="14">
        <v>1.7</v>
      </c>
      <c r="F97" s="9">
        <f t="shared" si="10"/>
        <v>0.23044892137827391</v>
      </c>
      <c r="G97" s="249" t="s">
        <v>218</v>
      </c>
      <c r="H97" s="13" t="s">
        <v>215</v>
      </c>
      <c r="I97" s="39"/>
      <c r="J97" s="70">
        <f t="shared" si="11"/>
        <v>0.66200000000000003</v>
      </c>
      <c r="K97" s="70" t="str">
        <f t="shared" si="8"/>
        <v/>
      </c>
      <c r="L97" s="57">
        <f t="shared" si="12"/>
        <v>94</v>
      </c>
      <c r="M97" s="98" t="str">
        <f t="shared" si="9"/>
        <v>PASS</v>
      </c>
      <c r="N97" s="323"/>
      <c r="O97" s="39"/>
    </row>
    <row r="98" spans="2:15" ht="15" customHeight="1" x14ac:dyDescent="0.2">
      <c r="B98" s="3" t="s">
        <v>199</v>
      </c>
      <c r="C98" s="51">
        <v>1.196</v>
      </c>
      <c r="D98" s="54" t="s">
        <v>217</v>
      </c>
      <c r="E98" s="11">
        <v>1.8</v>
      </c>
      <c r="F98" s="9">
        <f t="shared" si="10"/>
        <v>0.25527250510330607</v>
      </c>
      <c r="G98" s="11">
        <v>25</v>
      </c>
      <c r="H98" s="10" t="s">
        <v>219</v>
      </c>
      <c r="J98" s="70">
        <f t="shared" si="11"/>
        <v>0.66444444444444439</v>
      </c>
      <c r="K98" s="70" t="str">
        <f t="shared" si="8"/>
        <v/>
      </c>
      <c r="L98" s="57">
        <f t="shared" si="12"/>
        <v>95</v>
      </c>
      <c r="M98" s="98" t="str">
        <f t="shared" si="9"/>
        <v>PASS</v>
      </c>
      <c r="N98" s="323"/>
    </row>
    <row r="99" spans="2:15" ht="15" customHeight="1" x14ac:dyDescent="0.2">
      <c r="B99" s="3" t="s">
        <v>2</v>
      </c>
      <c r="C99" s="51">
        <v>0.95799999999999996</v>
      </c>
      <c r="D99" s="52" t="s">
        <v>217</v>
      </c>
      <c r="E99" s="11">
        <v>1.4259999999999999</v>
      </c>
      <c r="F99" s="9">
        <f t="shared" si="10"/>
        <v>0.15411952551584673</v>
      </c>
      <c r="G99" s="11">
        <v>25</v>
      </c>
      <c r="H99" s="10" t="s">
        <v>216</v>
      </c>
      <c r="J99" s="70">
        <f t="shared" si="11"/>
        <v>0.67180925666199154</v>
      </c>
      <c r="K99" s="70" t="str">
        <f t="shared" si="8"/>
        <v/>
      </c>
      <c r="L99" s="57">
        <f t="shared" si="12"/>
        <v>96</v>
      </c>
      <c r="M99" s="98" t="str">
        <f t="shared" si="9"/>
        <v>PASS</v>
      </c>
      <c r="N99" s="323"/>
    </row>
    <row r="100" spans="2:15" s="45" customFormat="1" ht="15" customHeight="1" x14ac:dyDescent="0.2">
      <c r="B100" s="2" t="s">
        <v>65</v>
      </c>
      <c r="C100" s="53">
        <v>1.1545000000000001</v>
      </c>
      <c r="D100" s="54" t="s">
        <v>215</v>
      </c>
      <c r="E100" s="17">
        <v>1.587</v>
      </c>
      <c r="F100" s="9">
        <f t="shared" si="10"/>
        <v>0.20057692675484817</v>
      </c>
      <c r="G100" s="14">
        <v>25</v>
      </c>
      <c r="H100" s="13" t="s">
        <v>216</v>
      </c>
      <c r="I100" s="39"/>
      <c r="J100" s="70">
        <f t="shared" si="11"/>
        <v>0.72747321991178326</v>
      </c>
      <c r="K100" s="70" t="str">
        <f t="shared" ref="K100:K131" si="13">IF(J100&gt;$Q$17,"too high","")</f>
        <v/>
      </c>
      <c r="L100" s="57">
        <f t="shared" si="12"/>
        <v>97</v>
      </c>
      <c r="M100" s="98" t="str">
        <f t="shared" si="9"/>
        <v>PASS</v>
      </c>
      <c r="N100" s="323"/>
      <c r="O100" s="39"/>
    </row>
    <row r="101" spans="2:15" ht="15" customHeight="1" x14ac:dyDescent="0.2">
      <c r="B101" s="3" t="s">
        <v>9</v>
      </c>
      <c r="C101" s="51">
        <v>1.58</v>
      </c>
      <c r="D101" s="56" t="s">
        <v>262</v>
      </c>
      <c r="E101" s="11">
        <v>2.16</v>
      </c>
      <c r="F101" s="9">
        <f t="shared" si="10"/>
        <v>0.3344537511509309</v>
      </c>
      <c r="G101" s="33">
        <v>70</v>
      </c>
      <c r="H101" s="10" t="s">
        <v>216</v>
      </c>
      <c r="J101" s="70">
        <f t="shared" si="11"/>
        <v>0.73148148148148151</v>
      </c>
      <c r="K101" s="70" t="str">
        <f t="shared" si="13"/>
        <v/>
      </c>
      <c r="L101" s="57">
        <f t="shared" si="12"/>
        <v>98</v>
      </c>
      <c r="M101" s="98" t="str">
        <f t="shared" si="9"/>
        <v>PASS</v>
      </c>
      <c r="N101" s="323"/>
    </row>
    <row r="102" spans="2:15" ht="15" customHeight="1" x14ac:dyDescent="0.2">
      <c r="B102" s="4" t="s">
        <v>110</v>
      </c>
      <c r="C102" s="53">
        <v>0.96760999999999997</v>
      </c>
      <c r="D102" s="54" t="s">
        <v>215</v>
      </c>
      <c r="E102" s="14">
        <v>1.32</v>
      </c>
      <c r="F102" s="9">
        <f t="shared" ref="F102:F134" si="14">LOG(E102)</f>
        <v>0.12057393120584989</v>
      </c>
      <c r="G102" s="14">
        <v>20</v>
      </c>
      <c r="H102" s="13" t="s">
        <v>216</v>
      </c>
      <c r="J102" s="70">
        <f t="shared" ref="J102:J134" si="15">(C102/E102)</f>
        <v>0.73303787878787874</v>
      </c>
      <c r="K102" s="70" t="str">
        <f t="shared" si="13"/>
        <v/>
      </c>
      <c r="L102" s="57">
        <f t="shared" si="12"/>
        <v>99</v>
      </c>
      <c r="M102" s="98" t="str">
        <f t="shared" si="9"/>
        <v>PASS</v>
      </c>
      <c r="N102" s="323"/>
    </row>
    <row r="103" spans="2:15" s="45" customFormat="1" ht="15" customHeight="1" x14ac:dyDescent="0.2">
      <c r="B103" s="2" t="s">
        <v>25</v>
      </c>
      <c r="C103" s="53">
        <v>0.79369999999999996</v>
      </c>
      <c r="D103" s="54" t="s">
        <v>215</v>
      </c>
      <c r="E103" s="14">
        <v>1.08</v>
      </c>
      <c r="F103" s="9">
        <f t="shared" si="14"/>
        <v>3.342375548694973E-2</v>
      </c>
      <c r="G103" s="14">
        <v>25</v>
      </c>
      <c r="H103" s="13" t="s">
        <v>219</v>
      </c>
      <c r="I103" s="39"/>
      <c r="J103" s="70">
        <f t="shared" si="15"/>
        <v>0.73490740740740734</v>
      </c>
      <c r="K103" s="70" t="str">
        <f t="shared" si="13"/>
        <v/>
      </c>
      <c r="L103" s="57">
        <f t="shared" si="12"/>
        <v>100</v>
      </c>
      <c r="M103" s="98" t="str">
        <f t="shared" si="9"/>
        <v>PASS</v>
      </c>
      <c r="N103" s="323"/>
      <c r="O103" s="39"/>
    </row>
    <row r="104" spans="2:15" s="45" customFormat="1" ht="15" customHeight="1" x14ac:dyDescent="0.2">
      <c r="B104" s="5" t="s">
        <v>190</v>
      </c>
      <c r="C104" s="51">
        <v>0.95099999999999996</v>
      </c>
      <c r="D104" s="54" t="s">
        <v>217</v>
      </c>
      <c r="E104" s="11">
        <v>1.29</v>
      </c>
      <c r="F104" s="9">
        <f t="shared" ref="F104" si="16">LOG(E104)</f>
        <v>0.11058971029924898</v>
      </c>
      <c r="G104" s="249" t="s">
        <v>218</v>
      </c>
      <c r="H104" s="14" t="s">
        <v>263</v>
      </c>
      <c r="I104" s="39"/>
      <c r="J104" s="70">
        <f>(C104/E104)</f>
        <v>0.73720930232558135</v>
      </c>
      <c r="K104" s="70" t="str">
        <f t="shared" si="13"/>
        <v/>
      </c>
      <c r="L104" s="57">
        <f t="shared" si="12"/>
        <v>101</v>
      </c>
      <c r="M104" s="98" t="str">
        <f t="shared" si="9"/>
        <v>PASS</v>
      </c>
      <c r="N104" s="323"/>
      <c r="O104" s="39"/>
    </row>
    <row r="105" spans="2:15" s="45" customFormat="1" ht="15" customHeight="1" x14ac:dyDescent="0.2">
      <c r="B105" s="6" t="s">
        <v>64</v>
      </c>
      <c r="C105" s="51">
        <v>1.0449999999999999</v>
      </c>
      <c r="D105" s="52" t="s">
        <v>217</v>
      </c>
      <c r="E105" s="11">
        <v>1.321</v>
      </c>
      <c r="F105" s="9">
        <f t="shared" si="14"/>
        <v>0.12090281761452719</v>
      </c>
      <c r="G105" s="11">
        <v>25</v>
      </c>
      <c r="H105" s="10" t="s">
        <v>216</v>
      </c>
      <c r="I105" s="39"/>
      <c r="J105" s="70">
        <f t="shared" si="15"/>
        <v>0.79106737320211962</v>
      </c>
      <c r="K105" s="70" t="str">
        <f t="shared" si="13"/>
        <v/>
      </c>
      <c r="L105" s="57">
        <f t="shared" si="12"/>
        <v>102</v>
      </c>
      <c r="M105" s="98" t="str">
        <f t="shared" si="9"/>
        <v>PASS</v>
      </c>
      <c r="N105" s="323"/>
      <c r="O105" s="39"/>
    </row>
    <row r="106" spans="2:15" s="45" customFormat="1" ht="15" customHeight="1" x14ac:dyDescent="0.2">
      <c r="B106" s="2" t="s">
        <v>158</v>
      </c>
      <c r="C106" s="51">
        <v>0.77900000000000003</v>
      </c>
      <c r="D106" s="52" t="s">
        <v>217</v>
      </c>
      <c r="E106" s="11">
        <v>0.98</v>
      </c>
      <c r="F106" s="9">
        <f t="shared" si="14"/>
        <v>-8.7739243075051505E-3</v>
      </c>
      <c r="G106" s="11">
        <v>25</v>
      </c>
      <c r="H106" s="10" t="s">
        <v>219</v>
      </c>
      <c r="I106" s="39"/>
      <c r="J106" s="70">
        <f t="shared" si="15"/>
        <v>0.79489795918367356</v>
      </c>
      <c r="K106" s="70" t="str">
        <f t="shared" si="13"/>
        <v/>
      </c>
      <c r="L106" s="57">
        <f t="shared" si="12"/>
        <v>103</v>
      </c>
      <c r="M106" s="98" t="str">
        <f t="shared" si="9"/>
        <v>PASS</v>
      </c>
      <c r="N106" s="323"/>
      <c r="O106" s="39"/>
    </row>
    <row r="107" spans="2:15" s="45" customFormat="1" ht="15" customHeight="1" x14ac:dyDescent="0.2">
      <c r="B107" s="7" t="s">
        <v>125</v>
      </c>
      <c r="C107" s="53">
        <v>0.86809999999999998</v>
      </c>
      <c r="D107" s="54" t="s">
        <v>215</v>
      </c>
      <c r="E107" s="14">
        <v>1.075</v>
      </c>
      <c r="F107" s="9">
        <f t="shared" si="14"/>
        <v>3.1408464251624121E-2</v>
      </c>
      <c r="G107" s="249" t="s">
        <v>218</v>
      </c>
      <c r="H107" s="13" t="s">
        <v>215</v>
      </c>
      <c r="I107" s="39"/>
      <c r="J107" s="70">
        <f t="shared" si="15"/>
        <v>0.8075348837209303</v>
      </c>
      <c r="K107" s="70" t="str">
        <f t="shared" si="13"/>
        <v/>
      </c>
      <c r="L107" s="57">
        <f t="shared" si="12"/>
        <v>104</v>
      </c>
      <c r="M107" s="98" t="str">
        <f t="shared" si="9"/>
        <v>PASS</v>
      </c>
      <c r="N107" s="323"/>
      <c r="O107" s="39"/>
    </row>
    <row r="108" spans="2:15" s="45" customFormat="1" ht="15" customHeight="1" x14ac:dyDescent="0.2">
      <c r="B108" s="6" t="s">
        <v>195</v>
      </c>
      <c r="C108" s="51">
        <v>1.01</v>
      </c>
      <c r="D108" s="54" t="s">
        <v>216</v>
      </c>
      <c r="E108" s="15">
        <v>1.25</v>
      </c>
      <c r="F108" s="9">
        <f t="shared" si="14"/>
        <v>9.691001300805642E-2</v>
      </c>
      <c r="G108" s="11">
        <v>25</v>
      </c>
      <c r="H108" s="10" t="s">
        <v>216</v>
      </c>
      <c r="I108" s="39"/>
      <c r="J108" s="70">
        <f t="shared" si="15"/>
        <v>0.80800000000000005</v>
      </c>
      <c r="K108" s="70" t="str">
        <f t="shared" si="13"/>
        <v/>
      </c>
      <c r="L108" s="57">
        <f t="shared" si="12"/>
        <v>105</v>
      </c>
      <c r="M108" s="98" t="str">
        <f t="shared" si="9"/>
        <v>PASS</v>
      </c>
      <c r="N108" s="323"/>
      <c r="O108" s="39"/>
    </row>
    <row r="109" spans="2:15" s="45" customFormat="1" ht="15" customHeight="1" x14ac:dyDescent="0.2">
      <c r="B109" s="3" t="s">
        <v>76</v>
      </c>
      <c r="C109" s="51">
        <v>0.91</v>
      </c>
      <c r="D109" s="52" t="s">
        <v>217</v>
      </c>
      <c r="E109" s="11">
        <v>1.08</v>
      </c>
      <c r="F109" s="9">
        <f t="shared" si="14"/>
        <v>3.342375548694973E-2</v>
      </c>
      <c r="G109" s="11">
        <v>20</v>
      </c>
      <c r="H109" s="10" t="s">
        <v>216</v>
      </c>
      <c r="I109" s="39"/>
      <c r="J109" s="70">
        <f t="shared" si="15"/>
        <v>0.84259259259259256</v>
      </c>
      <c r="K109" s="70" t="str">
        <f t="shared" si="13"/>
        <v/>
      </c>
      <c r="L109" s="57">
        <f t="shared" si="12"/>
        <v>106</v>
      </c>
      <c r="M109" s="98" t="str">
        <f t="shared" si="9"/>
        <v>PASS</v>
      </c>
      <c r="N109" s="323"/>
      <c r="O109" s="39"/>
    </row>
    <row r="110" spans="2:15" s="45" customFormat="1" ht="15" customHeight="1" x14ac:dyDescent="0.2">
      <c r="B110" s="2" t="s">
        <v>167</v>
      </c>
      <c r="C110" s="51">
        <v>0.73</v>
      </c>
      <c r="D110" s="52" t="s">
        <v>217</v>
      </c>
      <c r="E110" s="11">
        <v>0.83799999999999997</v>
      </c>
      <c r="F110" s="9">
        <f t="shared" si="14"/>
        <v>-7.6755981369723517E-2</v>
      </c>
      <c r="G110" s="11">
        <v>25</v>
      </c>
      <c r="H110" s="47" t="s">
        <v>216</v>
      </c>
      <c r="I110" s="39"/>
      <c r="J110" s="70">
        <f t="shared" si="15"/>
        <v>0.87112171837708829</v>
      </c>
      <c r="K110" s="70" t="str">
        <f t="shared" si="13"/>
        <v/>
      </c>
      <c r="L110" s="57">
        <f t="shared" si="12"/>
        <v>107</v>
      </c>
      <c r="M110" s="98" t="str">
        <f t="shared" si="9"/>
        <v>PASS</v>
      </c>
      <c r="N110" s="323"/>
      <c r="O110" s="39"/>
    </row>
    <row r="111" spans="2:15" s="45" customFormat="1" ht="15" customHeight="1" x14ac:dyDescent="0.2">
      <c r="B111" s="2" t="s">
        <v>97</v>
      </c>
      <c r="C111" s="51">
        <v>1.5860000000000001</v>
      </c>
      <c r="D111" s="52" t="s">
        <v>217</v>
      </c>
      <c r="E111" s="11">
        <v>1.77</v>
      </c>
      <c r="F111" s="9">
        <f t="shared" si="14"/>
        <v>0.24797326636180664</v>
      </c>
      <c r="G111" s="11">
        <v>20</v>
      </c>
      <c r="H111" s="10" t="s">
        <v>216</v>
      </c>
      <c r="I111" s="39"/>
      <c r="J111" s="70">
        <f t="shared" si="15"/>
        <v>0.89604519774011304</v>
      </c>
      <c r="K111" s="70" t="str">
        <f t="shared" si="13"/>
        <v/>
      </c>
      <c r="L111" s="57">
        <f t="shared" si="12"/>
        <v>108</v>
      </c>
      <c r="M111" s="98" t="str">
        <f t="shared" si="9"/>
        <v>PASS</v>
      </c>
      <c r="N111" s="323"/>
      <c r="O111" s="39"/>
    </row>
    <row r="112" spans="2:15" ht="15" customHeight="1" x14ac:dyDescent="0.2">
      <c r="B112" s="6" t="s">
        <v>178</v>
      </c>
      <c r="C112" s="51">
        <v>0.80800000000000005</v>
      </c>
      <c r="D112" s="52" t="s">
        <v>217</v>
      </c>
      <c r="E112" s="11">
        <v>0.89600000000000002</v>
      </c>
      <c r="F112" s="9">
        <f t="shared" si="14"/>
        <v>-4.7691990337874794E-2</v>
      </c>
      <c r="G112" s="11">
        <v>21</v>
      </c>
      <c r="H112" s="10" t="s">
        <v>216</v>
      </c>
      <c r="J112" s="70">
        <f t="shared" si="15"/>
        <v>0.9017857142857143</v>
      </c>
      <c r="K112" s="70" t="str">
        <f t="shared" si="13"/>
        <v/>
      </c>
      <c r="L112" s="57">
        <f t="shared" si="12"/>
        <v>109</v>
      </c>
      <c r="M112" s="98" t="str">
        <f t="shared" si="9"/>
        <v>PASS</v>
      </c>
      <c r="N112" s="323"/>
    </row>
    <row r="113" spans="2:14" ht="15" customHeight="1" x14ac:dyDescent="0.2">
      <c r="B113" s="6" t="s">
        <v>161</v>
      </c>
      <c r="C113" s="53">
        <v>0.83830000000000005</v>
      </c>
      <c r="D113" s="54" t="s">
        <v>215</v>
      </c>
      <c r="E113" s="14">
        <v>0.92300000000000004</v>
      </c>
      <c r="F113" s="9">
        <f t="shared" si="14"/>
        <v>-3.4798298974087927E-2</v>
      </c>
      <c r="G113" s="249" t="s">
        <v>218</v>
      </c>
      <c r="H113" s="13" t="s">
        <v>215</v>
      </c>
      <c r="J113" s="70">
        <f t="shared" si="15"/>
        <v>0.90823401950162519</v>
      </c>
      <c r="K113" s="70" t="str">
        <f t="shared" si="13"/>
        <v/>
      </c>
      <c r="L113" s="57">
        <f t="shared" si="12"/>
        <v>110</v>
      </c>
      <c r="M113" s="98" t="str">
        <f t="shared" si="9"/>
        <v>PASS</v>
      </c>
      <c r="N113" s="323"/>
    </row>
    <row r="114" spans="2:14" ht="15" customHeight="1" x14ac:dyDescent="0.2">
      <c r="B114" s="3" t="s">
        <v>146</v>
      </c>
      <c r="C114" s="51">
        <v>0.83499999999999996</v>
      </c>
      <c r="D114" s="52" t="s">
        <v>217</v>
      </c>
      <c r="E114" s="11">
        <f>1.083*C114</f>
        <v>0.90430499999999991</v>
      </c>
      <c r="F114" s="9">
        <f t="shared" si="14"/>
        <v>-4.3685067891077595E-2</v>
      </c>
      <c r="G114" s="11">
        <v>25</v>
      </c>
      <c r="H114" s="47" t="s">
        <v>217</v>
      </c>
      <c r="J114" s="70">
        <f t="shared" si="15"/>
        <v>0.92336103416435833</v>
      </c>
      <c r="K114" s="70" t="str">
        <f t="shared" si="13"/>
        <v/>
      </c>
      <c r="L114" s="57">
        <f t="shared" si="12"/>
        <v>111</v>
      </c>
      <c r="M114" s="98" t="str">
        <f t="shared" si="9"/>
        <v>PASS</v>
      </c>
      <c r="N114" s="323"/>
    </row>
    <row r="115" spans="2:14" ht="15" customHeight="1" x14ac:dyDescent="0.2">
      <c r="B115" s="6" t="s">
        <v>145</v>
      </c>
      <c r="C115" s="53">
        <v>1.0279700000000001</v>
      </c>
      <c r="D115" s="54" t="s">
        <v>215</v>
      </c>
      <c r="E115" s="14">
        <v>1.087</v>
      </c>
      <c r="F115" s="9">
        <f t="shared" si="14"/>
        <v>3.6229544086294529E-2</v>
      </c>
      <c r="G115" s="249" t="s">
        <v>218</v>
      </c>
      <c r="H115" s="13" t="s">
        <v>215</v>
      </c>
      <c r="J115" s="70">
        <f t="shared" si="15"/>
        <v>0.9456945722171114</v>
      </c>
      <c r="K115" s="70" t="str">
        <f t="shared" si="13"/>
        <v/>
      </c>
      <c r="L115" s="57">
        <f t="shared" si="12"/>
        <v>112</v>
      </c>
      <c r="M115" s="98" t="str">
        <f t="shared" si="9"/>
        <v>PASS</v>
      </c>
      <c r="N115" s="323"/>
    </row>
    <row r="116" spans="2:14" ht="15" customHeight="1" x14ac:dyDescent="0.2">
      <c r="B116" s="4" t="s">
        <v>150</v>
      </c>
      <c r="C116" s="53">
        <v>0.93840000000000001</v>
      </c>
      <c r="D116" s="54" t="s">
        <v>215</v>
      </c>
      <c r="E116" s="14">
        <v>0.98899999999999999</v>
      </c>
      <c r="F116" s="9">
        <f t="shared" si="14"/>
        <v>-4.8037084028205992E-3</v>
      </c>
      <c r="G116" s="249" t="s">
        <v>218</v>
      </c>
      <c r="H116" s="13" t="s">
        <v>215</v>
      </c>
      <c r="J116" s="70">
        <f t="shared" si="15"/>
        <v>0.94883720930232562</v>
      </c>
      <c r="K116" s="70" t="str">
        <f t="shared" si="13"/>
        <v/>
      </c>
      <c r="L116" s="57">
        <f t="shared" si="12"/>
        <v>113</v>
      </c>
      <c r="M116" s="98" t="str">
        <f t="shared" si="9"/>
        <v>PASS</v>
      </c>
      <c r="N116" s="323"/>
    </row>
    <row r="117" spans="2:14" ht="15" customHeight="1" x14ac:dyDescent="0.2">
      <c r="B117" s="6" t="s">
        <v>207</v>
      </c>
      <c r="C117" s="51">
        <v>0.82</v>
      </c>
      <c r="D117" s="54" t="s">
        <v>217</v>
      </c>
      <c r="E117" s="11">
        <v>0.85</v>
      </c>
      <c r="F117" s="9">
        <f t="shared" si="14"/>
        <v>-7.0581074285707285E-2</v>
      </c>
      <c r="G117" s="11">
        <v>25</v>
      </c>
      <c r="H117" s="10" t="s">
        <v>223</v>
      </c>
      <c r="J117" s="70">
        <f t="shared" si="15"/>
        <v>0.96470588235294119</v>
      </c>
      <c r="K117" s="70" t="str">
        <f t="shared" si="13"/>
        <v/>
      </c>
      <c r="L117" s="57">
        <f t="shared" si="12"/>
        <v>114</v>
      </c>
      <c r="M117" s="98" t="str">
        <f t="shared" si="9"/>
        <v>PASS</v>
      </c>
      <c r="N117" s="323"/>
    </row>
    <row r="118" spans="2:14" ht="15" customHeight="1" x14ac:dyDescent="0.2">
      <c r="B118" s="6" t="s">
        <v>8</v>
      </c>
      <c r="C118" s="51">
        <v>0.99199999999999999</v>
      </c>
      <c r="D118" s="52" t="s">
        <v>217</v>
      </c>
      <c r="E118" s="15">
        <v>1.02</v>
      </c>
      <c r="F118" s="9">
        <f t="shared" si="14"/>
        <v>8.6001717619175692E-3</v>
      </c>
      <c r="G118" s="11">
        <v>25</v>
      </c>
      <c r="H118" s="10" t="s">
        <v>216</v>
      </c>
      <c r="J118" s="70">
        <f t="shared" si="15"/>
        <v>0.97254901960784312</v>
      </c>
      <c r="K118" s="70" t="str">
        <f t="shared" si="13"/>
        <v/>
      </c>
      <c r="L118" s="57">
        <f t="shared" si="12"/>
        <v>115</v>
      </c>
      <c r="M118" s="98" t="str">
        <f t="shared" si="9"/>
        <v>PASS</v>
      </c>
      <c r="N118" s="323"/>
    </row>
    <row r="119" spans="2:14" ht="15" customHeight="1" x14ac:dyDescent="0.2">
      <c r="B119" s="2" t="s">
        <v>101</v>
      </c>
      <c r="C119" s="51">
        <v>1.306</v>
      </c>
      <c r="D119" s="52" t="s">
        <v>217</v>
      </c>
      <c r="E119" s="11">
        <v>1.3240000000000001</v>
      </c>
      <c r="F119" s="9">
        <f t="shared" si="14"/>
        <v>0.12188798510368115</v>
      </c>
      <c r="G119" s="11">
        <v>25</v>
      </c>
      <c r="H119" s="10" t="s">
        <v>216</v>
      </c>
      <c r="J119" s="70">
        <f t="shared" si="15"/>
        <v>0.98640483383685795</v>
      </c>
      <c r="K119" s="70" t="str">
        <f t="shared" si="13"/>
        <v/>
      </c>
      <c r="L119" s="57">
        <f t="shared" si="12"/>
        <v>116</v>
      </c>
      <c r="M119" s="98" t="str">
        <f t="shared" si="9"/>
        <v>PASS</v>
      </c>
      <c r="N119" s="323"/>
    </row>
    <row r="120" spans="2:14" ht="15" customHeight="1" x14ac:dyDescent="0.2">
      <c r="B120" s="2" t="s">
        <v>1</v>
      </c>
      <c r="C120" s="53">
        <v>1.04392</v>
      </c>
      <c r="D120" s="54" t="s">
        <v>215</v>
      </c>
      <c r="E120" s="14">
        <v>1.056</v>
      </c>
      <c r="F120" s="9">
        <f t="shared" si="14"/>
        <v>2.3663918197793475E-2</v>
      </c>
      <c r="G120" s="14">
        <v>25</v>
      </c>
      <c r="H120" s="13" t="s">
        <v>216</v>
      </c>
      <c r="J120" s="70">
        <f t="shared" si="15"/>
        <v>0.98856060606060603</v>
      </c>
      <c r="K120" s="70" t="str">
        <f t="shared" si="13"/>
        <v/>
      </c>
      <c r="L120" s="57">
        <f t="shared" si="12"/>
        <v>117</v>
      </c>
      <c r="M120" s="98" t="str">
        <f t="shared" si="9"/>
        <v>PASS</v>
      </c>
      <c r="N120" s="323"/>
    </row>
    <row r="121" spans="2:14" ht="15" customHeight="1" x14ac:dyDescent="0.2">
      <c r="B121" s="4" t="s">
        <v>179</v>
      </c>
      <c r="C121" s="53">
        <v>0.81123000000000001</v>
      </c>
      <c r="D121" s="54" t="s">
        <v>215</v>
      </c>
      <c r="E121" s="14">
        <v>0.81499999999999995</v>
      </c>
      <c r="F121" s="9">
        <f t="shared" si="14"/>
        <v>-8.8842391260023412E-2</v>
      </c>
      <c r="G121" s="249" t="s">
        <v>218</v>
      </c>
      <c r="H121" s="13" t="s">
        <v>215</v>
      </c>
      <c r="J121" s="70">
        <f t="shared" si="15"/>
        <v>0.99537423312883444</v>
      </c>
      <c r="K121" s="70" t="str">
        <f t="shared" si="13"/>
        <v/>
      </c>
      <c r="L121" s="57">
        <f t="shared" si="12"/>
        <v>118</v>
      </c>
      <c r="M121" s="98" t="str">
        <f t="shared" si="9"/>
        <v>PASS</v>
      </c>
      <c r="N121" s="323"/>
    </row>
    <row r="122" spans="2:14" ht="15" customHeight="1" x14ac:dyDescent="0.2">
      <c r="B122" s="6" t="s">
        <v>118</v>
      </c>
      <c r="C122" s="51">
        <v>0.876</v>
      </c>
      <c r="D122" s="52" t="s">
        <v>217</v>
      </c>
      <c r="E122" s="11">
        <v>0.872</v>
      </c>
      <c r="F122" s="9">
        <f t="shared" si="14"/>
        <v>-5.9483515067432782E-2</v>
      </c>
      <c r="G122" s="11">
        <v>20</v>
      </c>
      <c r="H122" s="10" t="s">
        <v>216</v>
      </c>
      <c r="J122" s="70">
        <f t="shared" si="15"/>
        <v>1.0045871559633028</v>
      </c>
      <c r="K122" s="70" t="str">
        <f t="shared" si="13"/>
        <v/>
      </c>
      <c r="L122" s="57">
        <f t="shared" si="12"/>
        <v>119</v>
      </c>
      <c r="M122" s="98" t="str">
        <f t="shared" si="9"/>
        <v>PASS</v>
      </c>
      <c r="N122" s="323"/>
    </row>
    <row r="123" spans="2:14" ht="15" customHeight="1" x14ac:dyDescent="0.2">
      <c r="B123" s="2" t="s">
        <v>68</v>
      </c>
      <c r="C123" s="53">
        <v>0.93600000000000005</v>
      </c>
      <c r="D123" s="54" t="s">
        <v>215</v>
      </c>
      <c r="E123" s="14">
        <v>0.92700000000000005</v>
      </c>
      <c r="F123" s="9">
        <f t="shared" si="14"/>
        <v>-3.2920265855502902E-2</v>
      </c>
      <c r="G123" s="249" t="s">
        <v>218</v>
      </c>
      <c r="H123" s="13" t="s">
        <v>215</v>
      </c>
      <c r="J123" s="70">
        <f t="shared" si="15"/>
        <v>1.0097087378640777</v>
      </c>
      <c r="K123" s="70" t="str">
        <f t="shared" si="13"/>
        <v/>
      </c>
      <c r="L123" s="57">
        <f t="shared" si="12"/>
        <v>120</v>
      </c>
      <c r="M123" s="98" t="str">
        <f t="shared" si="9"/>
        <v>PASS</v>
      </c>
      <c r="N123" s="323"/>
    </row>
    <row r="124" spans="2:14" ht="15" customHeight="1" x14ac:dyDescent="0.2">
      <c r="B124" s="5" t="s">
        <v>111</v>
      </c>
      <c r="C124" s="53">
        <v>0.87190000000000001</v>
      </c>
      <c r="D124" s="54" t="s">
        <v>215</v>
      </c>
      <c r="E124" s="14">
        <v>0.86199999999999999</v>
      </c>
      <c r="F124" s="9">
        <f t="shared" si="14"/>
        <v>-6.4492734175287211E-2</v>
      </c>
      <c r="G124" s="249" t="s">
        <v>218</v>
      </c>
      <c r="H124" s="13" t="s">
        <v>215</v>
      </c>
      <c r="J124" s="70">
        <f t="shared" si="15"/>
        <v>1.0114849187935036</v>
      </c>
      <c r="K124" s="70" t="str">
        <f t="shared" si="13"/>
        <v/>
      </c>
      <c r="L124" s="57">
        <f t="shared" si="12"/>
        <v>121</v>
      </c>
      <c r="M124" s="98" t="str">
        <f t="shared" si="9"/>
        <v>PASS</v>
      </c>
      <c r="N124" s="323"/>
    </row>
    <row r="125" spans="2:14" ht="15" customHeight="1" x14ac:dyDescent="0.2">
      <c r="B125" s="3" t="s">
        <v>192</v>
      </c>
      <c r="C125" s="51">
        <v>0.97799999999999998</v>
      </c>
      <c r="D125" s="54" t="s">
        <v>217</v>
      </c>
      <c r="E125" s="11">
        <v>0.88</v>
      </c>
      <c r="F125" s="9">
        <f t="shared" si="14"/>
        <v>-5.551732784983137E-2</v>
      </c>
      <c r="G125" s="11">
        <v>25</v>
      </c>
      <c r="H125" s="10" t="s">
        <v>219</v>
      </c>
      <c r="J125" s="70">
        <f t="shared" si="15"/>
        <v>1.1113636363636363</v>
      </c>
      <c r="K125" s="70" t="str">
        <f t="shared" si="13"/>
        <v/>
      </c>
      <c r="L125" s="57">
        <f t="shared" si="12"/>
        <v>122</v>
      </c>
      <c r="M125" s="98" t="str">
        <f t="shared" si="9"/>
        <v>PASS</v>
      </c>
      <c r="N125" s="323"/>
    </row>
    <row r="126" spans="2:14" ht="15" customHeight="1" x14ac:dyDescent="0.2">
      <c r="B126" s="6" t="s">
        <v>85</v>
      </c>
      <c r="C126" s="51">
        <v>1</v>
      </c>
      <c r="D126" s="52" t="s">
        <v>217</v>
      </c>
      <c r="E126" s="11">
        <v>0.89</v>
      </c>
      <c r="F126" s="9">
        <f t="shared" si="14"/>
        <v>-5.0609993355087209E-2</v>
      </c>
      <c r="G126" s="11">
        <v>25</v>
      </c>
      <c r="H126" s="10" t="s">
        <v>219</v>
      </c>
      <c r="J126" s="70">
        <f t="shared" si="15"/>
        <v>1.1235955056179776</v>
      </c>
      <c r="K126" s="70" t="str">
        <f t="shared" si="13"/>
        <v/>
      </c>
      <c r="L126" s="57">
        <f t="shared" si="12"/>
        <v>123</v>
      </c>
      <c r="M126" s="98" t="str">
        <f t="shared" si="9"/>
        <v>PASS</v>
      </c>
      <c r="N126" s="323"/>
    </row>
    <row r="127" spans="2:14" ht="15" customHeight="1" x14ac:dyDescent="0.2">
      <c r="B127" s="2" t="s">
        <v>69</v>
      </c>
      <c r="C127" s="51">
        <v>0.94499999999999995</v>
      </c>
      <c r="D127" s="56" t="s">
        <v>219</v>
      </c>
      <c r="E127" s="11">
        <v>0.82</v>
      </c>
      <c r="F127" s="9">
        <f t="shared" si="14"/>
        <v>-8.6186147616283335E-2</v>
      </c>
      <c r="G127" s="11">
        <v>25</v>
      </c>
      <c r="H127" s="10" t="s">
        <v>219</v>
      </c>
      <c r="J127" s="70">
        <f t="shared" si="15"/>
        <v>1.1524390243902438</v>
      </c>
      <c r="K127" s="70" t="str">
        <f t="shared" si="13"/>
        <v/>
      </c>
      <c r="L127" s="57">
        <f t="shared" si="12"/>
        <v>124</v>
      </c>
      <c r="M127" s="98" t="str">
        <f t="shared" si="9"/>
        <v>PASS</v>
      </c>
      <c r="N127" s="323"/>
    </row>
    <row r="128" spans="2:14" ht="15" customHeight="1" x14ac:dyDescent="0.2">
      <c r="B128" s="2" t="s">
        <v>172</v>
      </c>
      <c r="C128" s="53">
        <v>0.87594000000000005</v>
      </c>
      <c r="D128" s="54" t="s">
        <v>215</v>
      </c>
      <c r="E128" s="17">
        <v>0.76</v>
      </c>
      <c r="F128" s="9">
        <f t="shared" si="14"/>
        <v>-0.11918640771920865</v>
      </c>
      <c r="G128" s="14">
        <v>25</v>
      </c>
      <c r="H128" s="13" t="s">
        <v>216</v>
      </c>
      <c r="J128" s="70">
        <f t="shared" si="15"/>
        <v>1.1525526315789474</v>
      </c>
      <c r="K128" s="70" t="str">
        <f t="shared" si="13"/>
        <v/>
      </c>
      <c r="L128" s="57">
        <f t="shared" si="12"/>
        <v>125</v>
      </c>
      <c r="M128" s="98" t="str">
        <f t="shared" si="9"/>
        <v>PASS</v>
      </c>
      <c r="N128" s="323"/>
    </row>
    <row r="129" spans="2:15" ht="15" customHeight="1" x14ac:dyDescent="0.2">
      <c r="B129" s="3" t="s">
        <v>157</v>
      </c>
      <c r="C129" s="53">
        <v>0.86399999999999999</v>
      </c>
      <c r="D129" s="52" t="s">
        <v>217</v>
      </c>
      <c r="E129" s="14">
        <v>0.73699999999999999</v>
      </c>
      <c r="F129" s="12">
        <f t="shared" si="14"/>
        <v>-0.13253251214094852</v>
      </c>
      <c r="G129" s="14">
        <v>25</v>
      </c>
      <c r="H129" s="13" t="s">
        <v>216</v>
      </c>
      <c r="I129" s="42"/>
      <c r="J129" s="71">
        <f t="shared" si="15"/>
        <v>1.1723202170963365</v>
      </c>
      <c r="K129" s="70" t="str">
        <f t="shared" si="13"/>
        <v/>
      </c>
      <c r="L129" s="57">
        <f t="shared" si="12"/>
        <v>126</v>
      </c>
      <c r="M129" s="98" t="str">
        <f t="shared" si="9"/>
        <v>PASS</v>
      </c>
      <c r="N129" s="323"/>
    </row>
    <row r="130" spans="2:15" ht="15" customHeight="1" x14ac:dyDescent="0.2">
      <c r="B130" s="4" t="s">
        <v>153</v>
      </c>
      <c r="C130" s="53">
        <v>0.83509999999999995</v>
      </c>
      <c r="D130" s="54" t="s">
        <v>215</v>
      </c>
      <c r="E130" s="14">
        <v>0.7</v>
      </c>
      <c r="F130" s="12">
        <f t="shared" si="14"/>
        <v>-0.15490195998574319</v>
      </c>
      <c r="G130" s="248" t="s">
        <v>218</v>
      </c>
      <c r="H130" s="13" t="s">
        <v>215</v>
      </c>
      <c r="I130" s="42"/>
      <c r="J130" s="71">
        <f t="shared" si="15"/>
        <v>1.1930000000000001</v>
      </c>
      <c r="K130" s="70" t="str">
        <f t="shared" si="13"/>
        <v/>
      </c>
      <c r="L130" s="57">
        <f t="shared" si="12"/>
        <v>127</v>
      </c>
      <c r="M130" s="98" t="str">
        <f t="shared" si="9"/>
        <v>PASS</v>
      </c>
      <c r="N130" s="323"/>
    </row>
    <row r="131" spans="2:15" ht="15" customHeight="1" x14ac:dyDescent="0.2">
      <c r="B131" s="3" t="s">
        <v>115</v>
      </c>
      <c r="C131" s="53">
        <v>0.875</v>
      </c>
      <c r="D131" s="52" t="s">
        <v>217</v>
      </c>
      <c r="E131" s="14">
        <v>0.71099999999999997</v>
      </c>
      <c r="F131" s="12">
        <f t="shared" si="14"/>
        <v>-0.14813039927023372</v>
      </c>
      <c r="G131" s="14">
        <v>15</v>
      </c>
      <c r="H131" s="13" t="s">
        <v>216</v>
      </c>
      <c r="I131" s="42"/>
      <c r="J131" s="71">
        <f>(C131/E131)</f>
        <v>1.2306610407876231</v>
      </c>
      <c r="K131" s="70" t="str">
        <f t="shared" si="13"/>
        <v>too high</v>
      </c>
      <c r="L131" s="57">
        <f t="shared" si="12"/>
        <v>128</v>
      </c>
      <c r="M131" s="98" t="str">
        <f t="shared" si="9"/>
        <v>FAIL</v>
      </c>
      <c r="N131" s="323"/>
    </row>
    <row r="132" spans="2:15" ht="15" customHeight="1" x14ac:dyDescent="0.2">
      <c r="B132" s="6" t="s">
        <v>106</v>
      </c>
      <c r="C132" s="53">
        <v>1.288</v>
      </c>
      <c r="D132" s="52" t="s">
        <v>217</v>
      </c>
      <c r="E132" s="14">
        <v>1.044</v>
      </c>
      <c r="F132" s="12">
        <f t="shared" si="14"/>
        <v>1.8700498666243369E-2</v>
      </c>
      <c r="G132" s="14">
        <v>25</v>
      </c>
      <c r="H132" s="13" t="s">
        <v>216</v>
      </c>
      <c r="I132" s="42"/>
      <c r="J132" s="71">
        <f t="shared" si="15"/>
        <v>1.2337164750957854</v>
      </c>
      <c r="K132" s="70" t="str">
        <f t="shared" ref="K132:K163" si="17">IF(J132&gt;$Q$17,"too high","")</f>
        <v>too high</v>
      </c>
      <c r="L132" s="57">
        <f t="shared" si="12"/>
        <v>129</v>
      </c>
      <c r="M132" s="98" t="str">
        <f t="shared" ref="M132:M195" si="18">IF(K132="","PASS","FAIL")</f>
        <v>FAIL</v>
      </c>
      <c r="N132" s="323"/>
    </row>
    <row r="133" spans="2:15" ht="15" customHeight="1" x14ac:dyDescent="0.2">
      <c r="B133" s="6" t="s">
        <v>75</v>
      </c>
      <c r="C133" s="53">
        <v>0.70699999999999996</v>
      </c>
      <c r="D133" s="52" t="s">
        <v>217</v>
      </c>
      <c r="E133" s="14">
        <v>0.57099999999999995</v>
      </c>
      <c r="F133" s="12">
        <f t="shared" si="14"/>
        <v>-0.24336389175415199</v>
      </c>
      <c r="G133" s="14">
        <v>25</v>
      </c>
      <c r="H133" s="13" t="s">
        <v>216</v>
      </c>
      <c r="I133" s="42"/>
      <c r="J133" s="71">
        <f t="shared" si="15"/>
        <v>1.2381786339754817</v>
      </c>
      <c r="K133" s="70" t="str">
        <f t="shared" si="17"/>
        <v>too high</v>
      </c>
      <c r="L133" s="57">
        <f t="shared" si="12"/>
        <v>130</v>
      </c>
      <c r="M133" s="98" t="str">
        <f t="shared" si="18"/>
        <v>FAIL</v>
      </c>
      <c r="N133" s="323"/>
      <c r="O133" s="187"/>
    </row>
    <row r="134" spans="2:15" ht="15" customHeight="1" x14ac:dyDescent="0.2">
      <c r="B134" s="3" t="s">
        <v>132</v>
      </c>
      <c r="C134" s="53">
        <v>0.98931999999999998</v>
      </c>
      <c r="D134" s="54" t="s">
        <v>215</v>
      </c>
      <c r="E134" s="14">
        <v>0.78900000000000003</v>
      </c>
      <c r="F134" s="12">
        <f t="shared" si="14"/>
        <v>-0.10292299679057967</v>
      </c>
      <c r="G134" s="248" t="s">
        <v>218</v>
      </c>
      <c r="H134" s="13" t="s">
        <v>215</v>
      </c>
      <c r="I134" s="42"/>
      <c r="J134" s="71">
        <f t="shared" si="15"/>
        <v>1.2538910012674271</v>
      </c>
      <c r="K134" s="70" t="str">
        <f>IF(J134&gt;$Q$17,"too high","")</f>
        <v>too high</v>
      </c>
      <c r="L134" s="57">
        <f t="shared" ref="L134:L197" si="19">1+L133</f>
        <v>131</v>
      </c>
      <c r="M134" s="98" t="str">
        <f t="shared" si="18"/>
        <v>FAIL</v>
      </c>
      <c r="N134" s="323"/>
    </row>
    <row r="135" spans="2:15" ht="15" customHeight="1" x14ac:dyDescent="0.2">
      <c r="B135" s="3" t="s">
        <v>134</v>
      </c>
      <c r="C135" s="53">
        <v>0.7641</v>
      </c>
      <c r="D135" s="54" t="s">
        <v>215</v>
      </c>
      <c r="E135" s="14">
        <v>0.60199999999999998</v>
      </c>
      <c r="F135" s="12">
        <f t="shared" ref="F135:F166" si="20">LOG(E135)</f>
        <v>-0.22040350874217546</v>
      </c>
      <c r="G135" s="248" t="s">
        <v>218</v>
      </c>
      <c r="H135" s="13" t="s">
        <v>215</v>
      </c>
      <c r="I135" s="42"/>
      <c r="J135" s="71">
        <f t="shared" ref="J135:J166" si="21">(C135/E135)</f>
        <v>1.2692691029900334</v>
      </c>
      <c r="K135" s="70" t="str">
        <f t="shared" si="17"/>
        <v>too high</v>
      </c>
      <c r="L135" s="57">
        <f t="shared" si="19"/>
        <v>132</v>
      </c>
      <c r="M135" s="98" t="str">
        <f t="shared" si="18"/>
        <v>FAIL</v>
      </c>
      <c r="N135" s="323"/>
    </row>
    <row r="136" spans="2:15" ht="15" customHeight="1" x14ac:dyDescent="0.2">
      <c r="B136" s="3" t="s">
        <v>84</v>
      </c>
      <c r="C136" s="53">
        <v>1.08</v>
      </c>
      <c r="D136" s="52" t="s">
        <v>217</v>
      </c>
      <c r="E136" s="14">
        <v>0.84299999999999997</v>
      </c>
      <c r="F136" s="12">
        <f t="shared" si="20"/>
        <v>-7.4172425375257686E-2</v>
      </c>
      <c r="G136" s="14">
        <v>25</v>
      </c>
      <c r="H136" s="13" t="s">
        <v>216</v>
      </c>
      <c r="I136" s="42"/>
      <c r="J136" s="71">
        <f t="shared" si="21"/>
        <v>1.2811387900355873</v>
      </c>
      <c r="K136" s="70" t="str">
        <f t="shared" si="17"/>
        <v>too high</v>
      </c>
      <c r="L136" s="57">
        <f t="shared" si="19"/>
        <v>133</v>
      </c>
      <c r="M136" s="98" t="str">
        <f t="shared" si="18"/>
        <v>FAIL</v>
      </c>
      <c r="N136" s="323"/>
    </row>
    <row r="137" spans="2:15" ht="15" customHeight="1" x14ac:dyDescent="0.2">
      <c r="B137" s="6" t="s">
        <v>119</v>
      </c>
      <c r="C137" s="51">
        <v>0.86699999999999999</v>
      </c>
      <c r="D137" s="52" t="s">
        <v>217</v>
      </c>
      <c r="E137" s="11">
        <v>0.67600000000000005</v>
      </c>
      <c r="F137" s="9">
        <f t="shared" si="20"/>
        <v>-0.17005330405836405</v>
      </c>
      <c r="G137" s="11">
        <v>25</v>
      </c>
      <c r="H137" s="10" t="s">
        <v>216</v>
      </c>
      <c r="J137" s="70">
        <f t="shared" si="21"/>
        <v>1.2825443786982247</v>
      </c>
      <c r="K137" s="70" t="str">
        <f t="shared" si="17"/>
        <v>too high</v>
      </c>
      <c r="L137" s="57">
        <f t="shared" si="19"/>
        <v>134</v>
      </c>
      <c r="M137" s="98" t="str">
        <f t="shared" si="18"/>
        <v>FAIL</v>
      </c>
      <c r="N137" s="323"/>
    </row>
    <row r="138" spans="2:15" ht="15" customHeight="1" x14ac:dyDescent="0.2">
      <c r="B138" s="5" t="s">
        <v>74</v>
      </c>
      <c r="C138" s="53">
        <v>0.73682999999999998</v>
      </c>
      <c r="D138" s="54" t="s">
        <v>215</v>
      </c>
      <c r="E138" s="14">
        <v>0.57399999999999995</v>
      </c>
      <c r="F138" s="9">
        <f t="shared" si="20"/>
        <v>-0.24108810760202651</v>
      </c>
      <c r="G138" s="14">
        <v>25</v>
      </c>
      <c r="H138" s="13" t="s">
        <v>216</v>
      </c>
      <c r="J138" s="70">
        <f t="shared" si="21"/>
        <v>1.2836759581881534</v>
      </c>
      <c r="K138" s="70" t="str">
        <f t="shared" si="17"/>
        <v>too high</v>
      </c>
      <c r="L138" s="57">
        <f t="shared" si="19"/>
        <v>135</v>
      </c>
      <c r="M138" s="98" t="str">
        <f t="shared" si="18"/>
        <v>FAIL</v>
      </c>
      <c r="N138" s="323"/>
    </row>
    <row r="139" spans="2:15" ht="15" customHeight="1" x14ac:dyDescent="0.2">
      <c r="B139" s="3" t="s">
        <v>113</v>
      </c>
      <c r="C139" s="53">
        <v>0.88</v>
      </c>
      <c r="D139" s="54" t="s">
        <v>215</v>
      </c>
      <c r="E139" s="14">
        <v>0.68500000000000005</v>
      </c>
      <c r="F139" s="9">
        <f t="shared" si="20"/>
        <v>-0.16430942850757441</v>
      </c>
      <c r="G139" s="14">
        <v>25</v>
      </c>
      <c r="H139" s="13" t="s">
        <v>216</v>
      </c>
      <c r="J139" s="70">
        <f t="shared" si="21"/>
        <v>1.2846715328467153</v>
      </c>
      <c r="K139" s="70" t="str">
        <f t="shared" si="17"/>
        <v>too high</v>
      </c>
      <c r="L139" s="57">
        <f t="shared" si="19"/>
        <v>136</v>
      </c>
      <c r="M139" s="98" t="str">
        <f t="shared" si="18"/>
        <v>FAIL</v>
      </c>
      <c r="N139" s="323"/>
    </row>
    <row r="140" spans="2:15" ht="15" customHeight="1" x14ac:dyDescent="0.2">
      <c r="B140" s="6" t="s">
        <v>159</v>
      </c>
      <c r="C140" s="51">
        <v>0.81100000000000005</v>
      </c>
      <c r="D140" s="52" t="s">
        <v>217</v>
      </c>
      <c r="E140" s="11">
        <v>0.625</v>
      </c>
      <c r="F140" s="9">
        <f t="shared" si="20"/>
        <v>-0.20411998265592479</v>
      </c>
      <c r="G140" s="11">
        <v>25</v>
      </c>
      <c r="H140" s="10" t="s">
        <v>216</v>
      </c>
      <c r="J140" s="70">
        <f t="shared" si="21"/>
        <v>1.2976000000000001</v>
      </c>
      <c r="K140" s="70" t="str">
        <f t="shared" si="17"/>
        <v>too high</v>
      </c>
      <c r="L140" s="57">
        <f t="shared" si="19"/>
        <v>137</v>
      </c>
      <c r="M140" s="98" t="str">
        <f t="shared" si="18"/>
        <v>FAIL</v>
      </c>
      <c r="N140" s="323"/>
    </row>
    <row r="141" spans="2:15" ht="15" customHeight="1" x14ac:dyDescent="0.2">
      <c r="B141" s="2" t="s">
        <v>196</v>
      </c>
      <c r="C141" s="51">
        <v>0.79400000000000004</v>
      </c>
      <c r="D141" s="54" t="s">
        <v>217</v>
      </c>
      <c r="E141" s="11">
        <v>0.6</v>
      </c>
      <c r="F141" s="9">
        <f t="shared" si="20"/>
        <v>-0.22184874961635639</v>
      </c>
      <c r="G141" s="11">
        <v>20</v>
      </c>
      <c r="H141" s="10" t="s">
        <v>216</v>
      </c>
      <c r="J141" s="70">
        <f t="shared" si="21"/>
        <v>1.3233333333333335</v>
      </c>
      <c r="K141" s="70" t="str">
        <f t="shared" si="17"/>
        <v>too high</v>
      </c>
      <c r="L141" s="57">
        <f t="shared" si="19"/>
        <v>138</v>
      </c>
      <c r="M141" s="98" t="str">
        <f t="shared" si="18"/>
        <v>FAIL</v>
      </c>
      <c r="N141" s="323"/>
    </row>
    <row r="142" spans="2:15" ht="15" customHeight="1" x14ac:dyDescent="0.2">
      <c r="B142" s="6" t="s">
        <v>87</v>
      </c>
      <c r="C142" s="51">
        <v>1.49</v>
      </c>
      <c r="D142" s="52" t="s">
        <v>217</v>
      </c>
      <c r="E142" s="11">
        <v>1.1240000000000001</v>
      </c>
      <c r="F142" s="9">
        <f t="shared" si="20"/>
        <v>5.0766311233042323E-2</v>
      </c>
      <c r="G142" s="11">
        <v>20</v>
      </c>
      <c r="H142" s="10" t="s">
        <v>216</v>
      </c>
      <c r="J142" s="70">
        <f t="shared" si="21"/>
        <v>1.3256227758007115</v>
      </c>
      <c r="K142" s="70" t="str">
        <f t="shared" si="17"/>
        <v>too high</v>
      </c>
      <c r="L142" s="57">
        <f t="shared" si="19"/>
        <v>139</v>
      </c>
      <c r="M142" s="98" t="str">
        <f t="shared" si="18"/>
        <v>FAIL</v>
      </c>
      <c r="N142" s="323"/>
    </row>
    <row r="143" spans="2:15" ht="15" customHeight="1" x14ac:dyDescent="0.2">
      <c r="B143" s="3" t="s">
        <v>198</v>
      </c>
      <c r="C143" s="51">
        <v>0.99199999999999999</v>
      </c>
      <c r="D143" s="52" t="s">
        <v>217</v>
      </c>
      <c r="E143" s="11">
        <v>0.74</v>
      </c>
      <c r="F143" s="9">
        <f t="shared" si="20"/>
        <v>-0.13076828026902382</v>
      </c>
      <c r="G143" s="11">
        <v>25</v>
      </c>
      <c r="H143" s="10" t="s">
        <v>219</v>
      </c>
      <c r="J143" s="70">
        <f t="shared" si="21"/>
        <v>1.3405405405405406</v>
      </c>
      <c r="K143" s="70" t="str">
        <f t="shared" si="17"/>
        <v>too high</v>
      </c>
      <c r="L143" s="57">
        <f t="shared" si="19"/>
        <v>140</v>
      </c>
      <c r="M143" s="98" t="str">
        <f t="shared" si="18"/>
        <v>FAIL</v>
      </c>
      <c r="N143" s="323"/>
    </row>
    <row r="144" spans="2:15" ht="15" customHeight="1" x14ac:dyDescent="0.2">
      <c r="B144" s="5" t="s">
        <v>162</v>
      </c>
      <c r="C144" s="53">
        <v>0.86253000000000002</v>
      </c>
      <c r="D144" s="54" t="s">
        <v>215</v>
      </c>
      <c r="E144" s="14">
        <v>0.64</v>
      </c>
      <c r="F144" s="9">
        <f t="shared" si="20"/>
        <v>-0.19382002601611281</v>
      </c>
      <c r="G144" s="14">
        <v>25</v>
      </c>
      <c r="H144" s="13" t="s">
        <v>216</v>
      </c>
      <c r="J144" s="70">
        <f t="shared" si="21"/>
        <v>1.347703125</v>
      </c>
      <c r="K144" s="70" t="str">
        <f t="shared" si="17"/>
        <v>too high</v>
      </c>
      <c r="L144" s="57">
        <f t="shared" si="19"/>
        <v>141</v>
      </c>
      <c r="M144" s="98" t="str">
        <f t="shared" si="18"/>
        <v>FAIL</v>
      </c>
      <c r="N144" s="323"/>
    </row>
    <row r="145" spans="2:14" ht="15" customHeight="1" x14ac:dyDescent="0.2">
      <c r="B145" s="3" t="s">
        <v>14</v>
      </c>
      <c r="C145" s="53">
        <v>0.81533999999999995</v>
      </c>
      <c r="D145" s="54" t="s">
        <v>215</v>
      </c>
      <c r="E145" s="14">
        <v>0.59199999999999997</v>
      </c>
      <c r="F145" s="9">
        <f t="shared" si="20"/>
        <v>-0.22767829327708025</v>
      </c>
      <c r="G145" s="14">
        <v>25</v>
      </c>
      <c r="H145" s="13" t="s">
        <v>216</v>
      </c>
      <c r="J145" s="70">
        <f t="shared" si="21"/>
        <v>1.3772635135135134</v>
      </c>
      <c r="K145" s="70" t="str">
        <f t="shared" si="17"/>
        <v>too high</v>
      </c>
      <c r="L145" s="57">
        <f t="shared" si="19"/>
        <v>142</v>
      </c>
      <c r="M145" s="98" t="str">
        <f t="shared" si="18"/>
        <v>FAIL</v>
      </c>
      <c r="N145" s="323"/>
    </row>
    <row r="146" spans="2:14" ht="15" customHeight="1" x14ac:dyDescent="0.2">
      <c r="B146" s="7" t="s">
        <v>180</v>
      </c>
      <c r="C146" s="53">
        <v>0.80669999999999997</v>
      </c>
      <c r="D146" s="54" t="s">
        <v>215</v>
      </c>
      <c r="E146" s="14">
        <v>0.58399999999999996</v>
      </c>
      <c r="F146" s="9">
        <f t="shared" si="20"/>
        <v>-0.23358715288760054</v>
      </c>
      <c r="G146" s="249" t="s">
        <v>218</v>
      </c>
      <c r="H146" s="13" t="s">
        <v>215</v>
      </c>
      <c r="J146" s="70">
        <f t="shared" si="21"/>
        <v>1.3813356164383561</v>
      </c>
      <c r="K146" s="70" t="str">
        <f t="shared" si="17"/>
        <v>too high</v>
      </c>
      <c r="L146" s="57">
        <f t="shared" si="19"/>
        <v>143</v>
      </c>
      <c r="M146" s="98" t="str">
        <f t="shared" si="18"/>
        <v>FAIL</v>
      </c>
      <c r="N146" s="323"/>
    </row>
    <row r="147" spans="2:14" ht="15" customHeight="1" x14ac:dyDescent="0.2">
      <c r="B147" s="5" t="s">
        <v>95</v>
      </c>
      <c r="C147" s="51">
        <v>1.1060000000000001</v>
      </c>
      <c r="D147" s="52" t="s">
        <v>217</v>
      </c>
      <c r="E147" s="11">
        <v>0.8</v>
      </c>
      <c r="F147" s="9">
        <f t="shared" si="20"/>
        <v>-9.6910013008056392E-2</v>
      </c>
      <c r="G147" s="11">
        <v>25</v>
      </c>
      <c r="H147" s="10" t="s">
        <v>219</v>
      </c>
      <c r="J147" s="70">
        <f t="shared" si="21"/>
        <v>1.3825000000000001</v>
      </c>
      <c r="K147" s="70" t="str">
        <f t="shared" si="17"/>
        <v>too high</v>
      </c>
      <c r="L147" s="57">
        <f t="shared" si="19"/>
        <v>144</v>
      </c>
      <c r="M147" s="98" t="str">
        <f t="shared" si="18"/>
        <v>FAIL</v>
      </c>
      <c r="N147" s="323"/>
    </row>
    <row r="148" spans="2:14" ht="15" customHeight="1" x14ac:dyDescent="0.2">
      <c r="B148" s="6" t="s">
        <v>170</v>
      </c>
      <c r="C148" s="51">
        <v>0.70299999999999996</v>
      </c>
      <c r="D148" s="52" t="s">
        <v>217</v>
      </c>
      <c r="E148" s="11">
        <v>0.5</v>
      </c>
      <c r="F148" s="9">
        <f t="shared" si="20"/>
        <v>-0.3010299956639812</v>
      </c>
      <c r="G148" s="11">
        <v>25</v>
      </c>
      <c r="H148" s="10" t="s">
        <v>219</v>
      </c>
      <c r="J148" s="70">
        <f t="shared" si="21"/>
        <v>1.4059999999999999</v>
      </c>
      <c r="K148" s="70" t="str">
        <f t="shared" si="17"/>
        <v>too high</v>
      </c>
      <c r="L148" s="57">
        <f t="shared" si="19"/>
        <v>145</v>
      </c>
      <c r="M148" s="98" t="str">
        <f t="shared" si="18"/>
        <v>FAIL</v>
      </c>
      <c r="N148" s="323"/>
    </row>
    <row r="149" spans="2:14" ht="15" customHeight="1" x14ac:dyDescent="0.2">
      <c r="B149" s="5" t="s">
        <v>174</v>
      </c>
      <c r="C149" s="53">
        <v>0.85660999999999998</v>
      </c>
      <c r="D149" s="54" t="s">
        <v>215</v>
      </c>
      <c r="E149" s="14">
        <v>0.60299999999999998</v>
      </c>
      <c r="F149" s="9">
        <f t="shared" si="20"/>
        <v>-0.21968268785984871</v>
      </c>
      <c r="G149" s="14">
        <v>25</v>
      </c>
      <c r="H149" s="13" t="s">
        <v>216</v>
      </c>
      <c r="J149" s="70">
        <f t="shared" si="21"/>
        <v>1.4205804311774461</v>
      </c>
      <c r="K149" s="70" t="str">
        <f t="shared" si="17"/>
        <v>too high</v>
      </c>
      <c r="L149" s="57">
        <f t="shared" si="19"/>
        <v>146</v>
      </c>
      <c r="M149" s="98" t="str">
        <f t="shared" si="18"/>
        <v>FAIL</v>
      </c>
      <c r="N149" s="323"/>
    </row>
    <row r="150" spans="2:14" ht="15" customHeight="1" x14ac:dyDescent="0.2">
      <c r="B150" s="6" t="s">
        <v>28</v>
      </c>
      <c r="C150" s="53">
        <v>0.78637000000000001</v>
      </c>
      <c r="D150" s="54" t="s">
        <v>215</v>
      </c>
      <c r="E150" s="14">
        <v>0.54400000000000004</v>
      </c>
      <c r="F150" s="9">
        <f t="shared" si="20"/>
        <v>-0.26440110030182007</v>
      </c>
      <c r="G150" s="14">
        <v>25</v>
      </c>
      <c r="H150" s="13" t="s">
        <v>216</v>
      </c>
      <c r="J150" s="70">
        <f t="shared" si="21"/>
        <v>1.4455330882352941</v>
      </c>
      <c r="K150" s="70" t="str">
        <f t="shared" si="17"/>
        <v>too high</v>
      </c>
      <c r="L150" s="57">
        <f t="shared" si="19"/>
        <v>147</v>
      </c>
      <c r="M150" s="98" t="str">
        <f t="shared" si="18"/>
        <v>FAIL</v>
      </c>
      <c r="N150" s="323"/>
    </row>
    <row r="151" spans="2:14" ht="15" customHeight="1" x14ac:dyDescent="0.2">
      <c r="B151" s="5" t="s">
        <v>155</v>
      </c>
      <c r="C151" s="53">
        <v>0.87360000000000004</v>
      </c>
      <c r="D151" s="54" t="s">
        <v>215</v>
      </c>
      <c r="E151" s="14">
        <v>0.60399999999999998</v>
      </c>
      <c r="F151" s="9">
        <f t="shared" si="20"/>
        <v>-0.21896306137886817</v>
      </c>
      <c r="G151" s="14">
        <v>25</v>
      </c>
      <c r="H151" s="13" t="s">
        <v>216</v>
      </c>
      <c r="J151" s="70">
        <f t="shared" si="21"/>
        <v>1.4463576158940399</v>
      </c>
      <c r="K151" s="70" t="str">
        <f t="shared" si="17"/>
        <v>too high</v>
      </c>
      <c r="L151" s="57">
        <f t="shared" si="19"/>
        <v>148</v>
      </c>
      <c r="M151" s="98" t="str">
        <f t="shared" si="18"/>
        <v>FAIL</v>
      </c>
      <c r="N151" s="323"/>
    </row>
    <row r="152" spans="2:14" ht="15" customHeight="1" x14ac:dyDescent="0.2">
      <c r="B152" s="3" t="s">
        <v>163</v>
      </c>
      <c r="C152" s="51">
        <v>0.69199999999999995</v>
      </c>
      <c r="D152" s="52" t="s">
        <v>217</v>
      </c>
      <c r="E152" s="11">
        <v>0.47699999999999998</v>
      </c>
      <c r="F152" s="9">
        <f t="shared" si="20"/>
        <v>-0.32148162095988608</v>
      </c>
      <c r="G152" s="11">
        <v>25</v>
      </c>
      <c r="H152" s="10" t="s">
        <v>219</v>
      </c>
      <c r="J152" s="70">
        <f t="shared" si="21"/>
        <v>1.450733752620545</v>
      </c>
      <c r="K152" s="70" t="str">
        <f t="shared" si="17"/>
        <v>too high</v>
      </c>
      <c r="L152" s="57">
        <f t="shared" si="19"/>
        <v>149</v>
      </c>
      <c r="M152" s="98" t="str">
        <f t="shared" si="18"/>
        <v>FAIL</v>
      </c>
      <c r="N152" s="323"/>
    </row>
    <row r="153" spans="2:14" ht="15" customHeight="1" x14ac:dyDescent="0.2">
      <c r="B153" s="6" t="s">
        <v>185</v>
      </c>
      <c r="C153" s="53">
        <v>0.79630000000000001</v>
      </c>
      <c r="D153" s="54" t="s">
        <v>215</v>
      </c>
      <c r="E153" s="14">
        <v>0.54630000000000001</v>
      </c>
      <c r="F153" s="9">
        <f t="shared" si="20"/>
        <v>-0.26256879948541756</v>
      </c>
      <c r="G153" s="249" t="s">
        <v>218</v>
      </c>
      <c r="H153" s="13" t="s">
        <v>215</v>
      </c>
      <c r="J153" s="70">
        <f t="shared" si="21"/>
        <v>1.4576240161083653</v>
      </c>
      <c r="K153" s="70" t="str">
        <f t="shared" si="17"/>
        <v>too high</v>
      </c>
      <c r="L153" s="57">
        <f t="shared" si="19"/>
        <v>150</v>
      </c>
      <c r="M153" s="98" t="str">
        <f t="shared" si="18"/>
        <v>FAIL</v>
      </c>
      <c r="N153" s="323"/>
    </row>
    <row r="154" spans="2:14" ht="15" customHeight="1" x14ac:dyDescent="0.2">
      <c r="B154" s="3" t="s">
        <v>103</v>
      </c>
      <c r="C154" s="51">
        <v>1.2410000000000001</v>
      </c>
      <c r="D154" s="52" t="s">
        <v>217</v>
      </c>
      <c r="E154" s="11">
        <v>0.83899999999999997</v>
      </c>
      <c r="F154" s="9">
        <f t="shared" si="20"/>
        <v>-7.6238039171299746E-2</v>
      </c>
      <c r="G154" s="33">
        <v>55</v>
      </c>
      <c r="H154" s="10" t="s">
        <v>216</v>
      </c>
      <c r="J154" s="70">
        <f t="shared" si="21"/>
        <v>1.4791418355184744</v>
      </c>
      <c r="K154" s="70" t="str">
        <f t="shared" si="17"/>
        <v>too high</v>
      </c>
      <c r="L154" s="57">
        <f t="shared" si="19"/>
        <v>151</v>
      </c>
      <c r="M154" s="98" t="str">
        <f t="shared" si="18"/>
        <v>FAIL</v>
      </c>
      <c r="N154" s="323"/>
    </row>
    <row r="155" spans="2:14" ht="15" customHeight="1" x14ac:dyDescent="0.2">
      <c r="B155" s="2" t="s">
        <v>166</v>
      </c>
      <c r="C155" s="53">
        <v>0.86009000000000002</v>
      </c>
      <c r="D155" s="54" t="s">
        <v>215</v>
      </c>
      <c r="E155" s="14">
        <v>0.58099999999999996</v>
      </c>
      <c r="F155" s="9">
        <f t="shared" si="20"/>
        <v>-0.23582386760966931</v>
      </c>
      <c r="G155" s="14">
        <v>25</v>
      </c>
      <c r="H155" s="13" t="s">
        <v>216</v>
      </c>
      <c r="J155" s="70">
        <f t="shared" si="21"/>
        <v>1.4803614457831327</v>
      </c>
      <c r="K155" s="70" t="str">
        <f t="shared" si="17"/>
        <v>too high</v>
      </c>
      <c r="L155" s="57">
        <f t="shared" si="19"/>
        <v>152</v>
      </c>
      <c r="M155" s="98" t="str">
        <f t="shared" si="18"/>
        <v>FAIL</v>
      </c>
      <c r="N155" s="323"/>
    </row>
    <row r="156" spans="2:14" ht="15" customHeight="1" x14ac:dyDescent="0.2">
      <c r="B156" s="2" t="s">
        <v>102</v>
      </c>
      <c r="C156" s="51">
        <v>1.256</v>
      </c>
      <c r="D156" s="52" t="s">
        <v>217</v>
      </c>
      <c r="E156" s="11">
        <v>0.84</v>
      </c>
      <c r="F156" s="9">
        <f t="shared" si="20"/>
        <v>-7.5720713938118356E-2</v>
      </c>
      <c r="G156" s="11">
        <v>20</v>
      </c>
      <c r="H156" s="10" t="s">
        <v>216</v>
      </c>
      <c r="J156" s="70">
        <f t="shared" si="21"/>
        <v>1.4952380952380953</v>
      </c>
      <c r="K156" s="70" t="str">
        <f t="shared" si="17"/>
        <v>too high</v>
      </c>
      <c r="L156" s="57">
        <f t="shared" si="19"/>
        <v>153</v>
      </c>
      <c r="M156" s="98" t="str">
        <f t="shared" si="18"/>
        <v>FAIL</v>
      </c>
      <c r="N156" s="323"/>
    </row>
    <row r="157" spans="2:14" ht="15" customHeight="1" x14ac:dyDescent="0.2">
      <c r="B157" s="2" t="s">
        <v>205</v>
      </c>
      <c r="C157" s="51">
        <v>0.76400000000000001</v>
      </c>
      <c r="D157" s="54" t="s">
        <v>217</v>
      </c>
      <c r="E157" s="11">
        <v>0.5</v>
      </c>
      <c r="F157" s="9">
        <f t="shared" si="20"/>
        <v>-0.3010299956639812</v>
      </c>
      <c r="G157" s="11">
        <v>25</v>
      </c>
      <c r="H157" s="10" t="s">
        <v>223</v>
      </c>
      <c r="J157" s="70">
        <f t="shared" si="21"/>
        <v>1.528</v>
      </c>
      <c r="K157" s="70" t="str">
        <f t="shared" si="17"/>
        <v>too high</v>
      </c>
      <c r="L157" s="57">
        <f t="shared" si="19"/>
        <v>154</v>
      </c>
      <c r="M157" s="98" t="str">
        <f t="shared" si="18"/>
        <v>FAIL</v>
      </c>
      <c r="N157" s="323"/>
    </row>
    <row r="158" spans="2:14" ht="15" customHeight="1" x14ac:dyDescent="0.2">
      <c r="B158" s="2" t="s">
        <v>96</v>
      </c>
      <c r="C158" s="53">
        <v>1.32</v>
      </c>
      <c r="D158" s="54" t="s">
        <v>215</v>
      </c>
      <c r="E158" s="14">
        <v>0.85799999999999998</v>
      </c>
      <c r="F158" s="9">
        <f t="shared" si="20"/>
        <v>-6.6512712151294562E-2</v>
      </c>
      <c r="G158" s="14">
        <v>20</v>
      </c>
      <c r="H158" s="13" t="s">
        <v>216</v>
      </c>
      <c r="J158" s="70">
        <f t="shared" si="21"/>
        <v>1.5384615384615385</v>
      </c>
      <c r="K158" s="70" t="str">
        <f t="shared" si="17"/>
        <v>too high</v>
      </c>
      <c r="L158" s="57">
        <f t="shared" si="19"/>
        <v>155</v>
      </c>
      <c r="M158" s="98" t="str">
        <f t="shared" si="18"/>
        <v>FAIL</v>
      </c>
      <c r="N158" s="323"/>
    </row>
    <row r="159" spans="2:14" ht="15" customHeight="1" x14ac:dyDescent="0.2">
      <c r="B159" s="2" t="s">
        <v>175</v>
      </c>
      <c r="C159" s="53">
        <v>0.86219000000000001</v>
      </c>
      <c r="D159" s="54" t="s">
        <v>215</v>
      </c>
      <c r="E159" s="17">
        <v>0.56000000000000005</v>
      </c>
      <c r="F159" s="9">
        <f t="shared" si="20"/>
        <v>-0.25181197299379954</v>
      </c>
      <c r="G159" s="14">
        <v>25</v>
      </c>
      <c r="H159" s="13" t="s">
        <v>216</v>
      </c>
      <c r="J159" s="70">
        <f t="shared" si="21"/>
        <v>1.5396249999999998</v>
      </c>
      <c r="K159" s="70" t="str">
        <f t="shared" si="17"/>
        <v>too high</v>
      </c>
      <c r="L159" s="57">
        <f t="shared" si="19"/>
        <v>156</v>
      </c>
      <c r="M159" s="98" t="str">
        <f t="shared" si="18"/>
        <v>FAIL</v>
      </c>
      <c r="N159" s="323"/>
    </row>
    <row r="160" spans="2:14" ht="15" customHeight="1" x14ac:dyDescent="0.2">
      <c r="B160" s="2" t="s">
        <v>200</v>
      </c>
      <c r="C160" s="51">
        <v>1.0449999999999999</v>
      </c>
      <c r="D160" s="54" t="s">
        <v>217</v>
      </c>
      <c r="E160" s="11">
        <v>0.66100000000000003</v>
      </c>
      <c r="F160" s="9">
        <f t="shared" si="20"/>
        <v>-0.17979854051435976</v>
      </c>
      <c r="G160" s="11">
        <v>25</v>
      </c>
      <c r="H160" s="10" t="s">
        <v>216</v>
      </c>
      <c r="J160" s="70">
        <f t="shared" si="21"/>
        <v>1.5809379727685324</v>
      </c>
      <c r="K160" s="70" t="str">
        <f t="shared" si="17"/>
        <v>too high</v>
      </c>
      <c r="L160" s="57">
        <f t="shared" si="19"/>
        <v>157</v>
      </c>
      <c r="M160" s="98" t="str">
        <f t="shared" si="18"/>
        <v>FAIL</v>
      </c>
      <c r="N160" s="323"/>
    </row>
    <row r="161" spans="2:14" ht="15" customHeight="1" x14ac:dyDescent="0.2">
      <c r="B161" s="6" t="s">
        <v>90</v>
      </c>
      <c r="C161" s="51">
        <v>1.069</v>
      </c>
      <c r="D161" s="52" t="s">
        <v>217</v>
      </c>
      <c r="E161" s="11">
        <v>0.66400000000000003</v>
      </c>
      <c r="F161" s="9">
        <f t="shared" si="20"/>
        <v>-0.1778319206319825</v>
      </c>
      <c r="G161" s="11">
        <v>20</v>
      </c>
      <c r="H161" s="10" t="s">
        <v>216</v>
      </c>
      <c r="J161" s="70">
        <f t="shared" si="21"/>
        <v>1.6099397590361444</v>
      </c>
      <c r="K161" s="70" t="str">
        <f t="shared" si="17"/>
        <v>too high</v>
      </c>
      <c r="L161" s="57">
        <f t="shared" si="19"/>
        <v>158</v>
      </c>
      <c r="M161" s="98" t="str">
        <f t="shared" si="18"/>
        <v>FAIL</v>
      </c>
      <c r="N161" s="323"/>
    </row>
    <row r="162" spans="2:14" ht="15" customHeight="1" x14ac:dyDescent="0.2">
      <c r="B162" s="2" t="s">
        <v>188</v>
      </c>
      <c r="C162" s="51">
        <v>0.97499999999999998</v>
      </c>
      <c r="D162" s="54" t="s">
        <v>217</v>
      </c>
      <c r="E162" s="11">
        <v>0.6</v>
      </c>
      <c r="F162" s="9">
        <f t="shared" si="20"/>
        <v>-0.22184874961635639</v>
      </c>
      <c r="G162" s="11">
        <v>20</v>
      </c>
      <c r="H162" s="10" t="s">
        <v>216</v>
      </c>
      <c r="J162" s="70">
        <f t="shared" si="21"/>
        <v>1.625</v>
      </c>
      <c r="K162" s="70" t="str">
        <f t="shared" si="17"/>
        <v>too high</v>
      </c>
      <c r="L162" s="57">
        <f t="shared" si="19"/>
        <v>159</v>
      </c>
      <c r="M162" s="98" t="str">
        <f t="shared" si="18"/>
        <v>FAIL</v>
      </c>
      <c r="N162" s="323"/>
    </row>
    <row r="163" spans="2:14" ht="15" customHeight="1" x14ac:dyDescent="0.2">
      <c r="B163" s="6" t="s">
        <v>126</v>
      </c>
      <c r="C163" s="53">
        <v>0.88800000000000001</v>
      </c>
      <c r="D163" s="54" t="s">
        <v>215</v>
      </c>
      <c r="E163" s="14">
        <v>0.54400000000000004</v>
      </c>
      <c r="F163" s="9">
        <f t="shared" si="20"/>
        <v>-0.26440110030182007</v>
      </c>
      <c r="G163" s="14">
        <v>25</v>
      </c>
      <c r="H163" s="13" t="s">
        <v>216</v>
      </c>
      <c r="J163" s="70">
        <f t="shared" si="21"/>
        <v>1.6323529411764706</v>
      </c>
      <c r="K163" s="70" t="str">
        <f t="shared" si="17"/>
        <v>too high</v>
      </c>
      <c r="L163" s="57">
        <f t="shared" si="19"/>
        <v>160</v>
      </c>
      <c r="M163" s="98" t="str">
        <f t="shared" si="18"/>
        <v>FAIL</v>
      </c>
      <c r="N163" s="323"/>
    </row>
    <row r="164" spans="2:14" ht="15" customHeight="1" x14ac:dyDescent="0.2">
      <c r="B164" s="5" t="s">
        <v>104</v>
      </c>
      <c r="C164" s="53">
        <v>1.58436</v>
      </c>
      <c r="D164" s="54" t="s">
        <v>215</v>
      </c>
      <c r="E164" s="14">
        <v>0.97</v>
      </c>
      <c r="F164" s="9">
        <f t="shared" si="20"/>
        <v>-1.322826573375516E-2</v>
      </c>
      <c r="G164" s="14">
        <v>25</v>
      </c>
      <c r="H164" s="13" t="s">
        <v>219</v>
      </c>
      <c r="J164" s="70">
        <f t="shared" si="21"/>
        <v>1.6333608247422682</v>
      </c>
      <c r="K164" s="70" t="str">
        <f t="shared" ref="K164:K195" si="22">IF(J164&gt;$Q$17,"too high","")</f>
        <v>too high</v>
      </c>
      <c r="L164" s="57">
        <f t="shared" si="19"/>
        <v>161</v>
      </c>
      <c r="M164" s="98" t="str">
        <f t="shared" si="18"/>
        <v>FAIL</v>
      </c>
      <c r="N164" s="323"/>
    </row>
    <row r="165" spans="2:14" ht="15" customHeight="1" x14ac:dyDescent="0.2">
      <c r="B165" s="4" t="s">
        <v>122</v>
      </c>
      <c r="C165" s="53">
        <v>0.9</v>
      </c>
      <c r="D165" s="54" t="s">
        <v>215</v>
      </c>
      <c r="E165" s="14">
        <v>0.55000000000000004</v>
      </c>
      <c r="F165" s="9">
        <f t="shared" si="20"/>
        <v>-0.25963731050575611</v>
      </c>
      <c r="G165" s="249" t="s">
        <v>218</v>
      </c>
      <c r="H165" s="13" t="s">
        <v>215</v>
      </c>
      <c r="J165" s="70">
        <f t="shared" si="21"/>
        <v>1.6363636363636362</v>
      </c>
      <c r="K165" s="70" t="str">
        <f t="shared" si="22"/>
        <v>too high</v>
      </c>
      <c r="L165" s="57">
        <f t="shared" si="19"/>
        <v>162</v>
      </c>
      <c r="M165" s="98" t="str">
        <f t="shared" si="18"/>
        <v>FAIL</v>
      </c>
      <c r="N165" s="323"/>
    </row>
    <row r="166" spans="2:14" ht="15" customHeight="1" x14ac:dyDescent="0.2">
      <c r="B166" s="6" t="s">
        <v>143</v>
      </c>
      <c r="C166" s="53">
        <v>0.88919999999999999</v>
      </c>
      <c r="D166" s="54" t="s">
        <v>215</v>
      </c>
      <c r="E166" s="14">
        <v>0.53</v>
      </c>
      <c r="F166" s="9">
        <f t="shared" si="20"/>
        <v>-0.27572413039921095</v>
      </c>
      <c r="G166" s="14">
        <v>20</v>
      </c>
      <c r="H166" s="13" t="s">
        <v>216</v>
      </c>
      <c r="J166" s="70">
        <f t="shared" si="21"/>
        <v>1.6777358490566037</v>
      </c>
      <c r="K166" s="70" t="str">
        <f t="shared" si="22"/>
        <v>too high</v>
      </c>
      <c r="L166" s="57">
        <f t="shared" si="19"/>
        <v>163</v>
      </c>
      <c r="M166" s="98" t="str">
        <f t="shared" si="18"/>
        <v>FAIL</v>
      </c>
      <c r="N166" s="323"/>
    </row>
    <row r="167" spans="2:14" ht="15" customHeight="1" x14ac:dyDescent="0.2">
      <c r="B167" s="6" t="s">
        <v>181</v>
      </c>
      <c r="C167" s="53">
        <v>0.80149999999999999</v>
      </c>
      <c r="D167" s="54" t="s">
        <v>215</v>
      </c>
      <c r="E167" s="14">
        <v>0.47299999999999998</v>
      </c>
      <c r="F167" s="9">
        <f t="shared" ref="F167:F198" si="23">LOG(E167)</f>
        <v>-0.32513885926218844</v>
      </c>
      <c r="G167" s="14">
        <v>25</v>
      </c>
      <c r="H167" s="13" t="s">
        <v>216</v>
      </c>
      <c r="J167" s="70">
        <f t="shared" ref="J167:J202" si="24">(C167/E167)</f>
        <v>1.6945031712473573</v>
      </c>
      <c r="K167" s="70" t="str">
        <f t="shared" si="22"/>
        <v>too high</v>
      </c>
      <c r="L167" s="57">
        <f t="shared" si="19"/>
        <v>164</v>
      </c>
      <c r="M167" s="98" t="str">
        <f t="shared" si="18"/>
        <v>FAIL</v>
      </c>
      <c r="N167" s="323"/>
    </row>
    <row r="168" spans="2:14" ht="15" customHeight="1" x14ac:dyDescent="0.2">
      <c r="B168" s="2" t="s">
        <v>197</v>
      </c>
      <c r="C168" s="51">
        <v>0.77200000000000002</v>
      </c>
      <c r="D168" s="54" t="s">
        <v>217</v>
      </c>
      <c r="E168" s="11">
        <v>0.45400000000000001</v>
      </c>
      <c r="F168" s="9">
        <f t="shared" si="23"/>
        <v>-0.34294414714289606</v>
      </c>
      <c r="G168" s="11">
        <v>15</v>
      </c>
      <c r="H168" s="10" t="s">
        <v>216</v>
      </c>
      <c r="J168" s="70">
        <f t="shared" si="24"/>
        <v>1.7004405286343611</v>
      </c>
      <c r="K168" s="70" t="str">
        <f t="shared" si="22"/>
        <v>too high</v>
      </c>
      <c r="L168" s="57">
        <f t="shared" si="19"/>
        <v>165</v>
      </c>
      <c r="M168" s="98" t="str">
        <f t="shared" si="18"/>
        <v>FAIL</v>
      </c>
      <c r="N168" s="323"/>
    </row>
    <row r="169" spans="2:14" ht="15" customHeight="1" x14ac:dyDescent="0.2">
      <c r="B169" s="2" t="s">
        <v>160</v>
      </c>
      <c r="C169" s="51">
        <v>0.751</v>
      </c>
      <c r="D169" s="52" t="s">
        <v>217</v>
      </c>
      <c r="E169" s="11">
        <v>0.44</v>
      </c>
      <c r="F169" s="9">
        <f t="shared" si="23"/>
        <v>-0.35654732351381258</v>
      </c>
      <c r="G169" s="11">
        <v>20</v>
      </c>
      <c r="H169" s="10" t="s">
        <v>216</v>
      </c>
      <c r="J169" s="70">
        <f t="shared" si="24"/>
        <v>1.7068181818181818</v>
      </c>
      <c r="K169" s="70" t="str">
        <f t="shared" si="22"/>
        <v>too high</v>
      </c>
      <c r="L169" s="57">
        <f t="shared" si="19"/>
        <v>166</v>
      </c>
      <c r="M169" s="98" t="str">
        <f t="shared" si="18"/>
        <v>FAIL</v>
      </c>
      <c r="N169" s="323"/>
    </row>
    <row r="170" spans="2:14" ht="15" customHeight="1" x14ac:dyDescent="0.2">
      <c r="B170" s="2" t="s">
        <v>168</v>
      </c>
      <c r="C170" s="53">
        <v>0.67945999999999995</v>
      </c>
      <c r="D170" s="54" t="s">
        <v>215</v>
      </c>
      <c r="E170" s="14">
        <v>0.39700000000000002</v>
      </c>
      <c r="F170" s="9">
        <f t="shared" si="23"/>
        <v>-0.40120949323688493</v>
      </c>
      <c r="G170" s="249" t="s">
        <v>218</v>
      </c>
      <c r="H170" s="13" t="s">
        <v>215</v>
      </c>
      <c r="J170" s="70">
        <f t="shared" si="24"/>
        <v>1.7114861460957176</v>
      </c>
      <c r="K170" s="70" t="str">
        <f t="shared" si="22"/>
        <v>too high</v>
      </c>
      <c r="L170" s="57">
        <f t="shared" si="19"/>
        <v>167</v>
      </c>
      <c r="M170" s="98" t="str">
        <f t="shared" si="18"/>
        <v>FAIL</v>
      </c>
      <c r="N170" s="323"/>
    </row>
    <row r="171" spans="2:14" ht="15" customHeight="1" x14ac:dyDescent="0.2">
      <c r="B171" s="6" t="s">
        <v>120</v>
      </c>
      <c r="C171" s="53">
        <v>0.87019999999999997</v>
      </c>
      <c r="D171" s="54" t="s">
        <v>215</v>
      </c>
      <c r="E171" s="14">
        <v>0.49</v>
      </c>
      <c r="F171" s="9">
        <f t="shared" si="23"/>
        <v>-0.30980391997148632</v>
      </c>
      <c r="G171" s="14">
        <v>25</v>
      </c>
      <c r="H171" s="13" t="s">
        <v>216</v>
      </c>
      <c r="J171" s="70">
        <f t="shared" si="24"/>
        <v>1.7759183673469388</v>
      </c>
      <c r="K171" s="70" t="str">
        <f t="shared" si="22"/>
        <v>too high</v>
      </c>
      <c r="L171" s="57">
        <f t="shared" si="19"/>
        <v>168</v>
      </c>
      <c r="M171" s="98" t="str">
        <f t="shared" si="18"/>
        <v>FAIL</v>
      </c>
      <c r="N171" s="323"/>
    </row>
    <row r="172" spans="2:14" ht="15" customHeight="1" x14ac:dyDescent="0.2">
      <c r="B172" s="3" t="s">
        <v>184</v>
      </c>
      <c r="C172" s="51">
        <v>0.81299999999999994</v>
      </c>
      <c r="D172" s="52" t="s">
        <v>217</v>
      </c>
      <c r="E172" s="11">
        <v>0.44400000000000001</v>
      </c>
      <c r="F172" s="9">
        <f t="shared" si="23"/>
        <v>-0.35261702988538018</v>
      </c>
      <c r="G172" s="11">
        <v>25</v>
      </c>
      <c r="H172" s="10" t="s">
        <v>216</v>
      </c>
      <c r="J172" s="70">
        <f t="shared" si="24"/>
        <v>1.8310810810810809</v>
      </c>
      <c r="K172" s="70" t="str">
        <f t="shared" si="22"/>
        <v>too high</v>
      </c>
      <c r="L172" s="57">
        <f t="shared" si="19"/>
        <v>169</v>
      </c>
      <c r="M172" s="98" t="str">
        <f t="shared" si="18"/>
        <v>FAIL</v>
      </c>
      <c r="N172" s="323"/>
    </row>
    <row r="173" spans="2:14" ht="15" customHeight="1" x14ac:dyDescent="0.2">
      <c r="B173" s="2" t="s">
        <v>201</v>
      </c>
      <c r="C173" s="51">
        <v>1.127</v>
      </c>
      <c r="D173" s="54" t="s">
        <v>217</v>
      </c>
      <c r="E173" s="11">
        <v>0.61399999999999999</v>
      </c>
      <c r="F173" s="9">
        <f t="shared" si="23"/>
        <v>-0.21183162885883233</v>
      </c>
      <c r="G173" s="11">
        <v>25</v>
      </c>
      <c r="H173" s="10" t="s">
        <v>216</v>
      </c>
      <c r="J173" s="70">
        <f t="shared" si="24"/>
        <v>1.8355048859934853</v>
      </c>
      <c r="K173" s="70" t="str">
        <f t="shared" si="22"/>
        <v>too high</v>
      </c>
      <c r="L173" s="57">
        <f t="shared" si="19"/>
        <v>170</v>
      </c>
      <c r="M173" s="98" t="str">
        <f t="shared" si="18"/>
        <v>FAIL</v>
      </c>
      <c r="N173" s="323"/>
    </row>
    <row r="174" spans="2:14" ht="15" customHeight="1" x14ac:dyDescent="0.2">
      <c r="B174" s="5" t="s">
        <v>131</v>
      </c>
      <c r="C174" s="51">
        <v>0.85299999999999998</v>
      </c>
      <c r="D174" s="52" t="s">
        <v>217</v>
      </c>
      <c r="E174" s="11">
        <v>0.46</v>
      </c>
      <c r="F174" s="9">
        <f t="shared" si="23"/>
        <v>-0.33724216831842591</v>
      </c>
      <c r="G174" s="11">
        <v>25</v>
      </c>
      <c r="H174" s="10" t="s">
        <v>222</v>
      </c>
      <c r="J174" s="70">
        <f t="shared" si="24"/>
        <v>1.8543478260869564</v>
      </c>
      <c r="K174" s="70" t="str">
        <f t="shared" si="22"/>
        <v>too high</v>
      </c>
      <c r="L174" s="57">
        <f t="shared" si="19"/>
        <v>171</v>
      </c>
      <c r="M174" s="98" t="str">
        <f t="shared" si="18"/>
        <v>FAIL</v>
      </c>
      <c r="N174" s="323"/>
    </row>
    <row r="175" spans="2:14" ht="15" customHeight="1" x14ac:dyDescent="0.2">
      <c r="B175" s="3" t="s">
        <v>117</v>
      </c>
      <c r="C175" s="53">
        <v>0.88400000000000001</v>
      </c>
      <c r="D175" s="54" t="s">
        <v>215</v>
      </c>
      <c r="E175" s="14">
        <v>0.47299999999999998</v>
      </c>
      <c r="F175" s="9">
        <f t="shared" si="23"/>
        <v>-0.32513885926218844</v>
      </c>
      <c r="G175" s="249" t="s">
        <v>218</v>
      </c>
      <c r="H175" s="13" t="s">
        <v>215</v>
      </c>
      <c r="J175" s="70">
        <f t="shared" si="24"/>
        <v>1.8689217758985202</v>
      </c>
      <c r="K175" s="70" t="str">
        <f t="shared" si="22"/>
        <v>too high</v>
      </c>
      <c r="L175" s="57">
        <f t="shared" si="19"/>
        <v>172</v>
      </c>
      <c r="M175" s="98" t="str">
        <f t="shared" si="18"/>
        <v>FAIL</v>
      </c>
      <c r="N175" s="323"/>
    </row>
    <row r="176" spans="2:14" ht="15" customHeight="1" x14ac:dyDescent="0.2">
      <c r="B176" s="6" t="s">
        <v>136</v>
      </c>
      <c r="C176" s="53">
        <v>0.71853999999999996</v>
      </c>
      <c r="D176" s="54" t="s">
        <v>215</v>
      </c>
      <c r="E176" s="14">
        <v>0.379</v>
      </c>
      <c r="F176" s="9">
        <f t="shared" si="23"/>
        <v>-0.42136079003192767</v>
      </c>
      <c r="G176" s="249" t="s">
        <v>218</v>
      </c>
      <c r="H176" s="13" t="s">
        <v>215</v>
      </c>
      <c r="J176" s="70">
        <f t="shared" si="24"/>
        <v>1.8958839050131924</v>
      </c>
      <c r="K176" s="70" t="str">
        <f t="shared" si="22"/>
        <v>too high</v>
      </c>
      <c r="L176" s="57">
        <f t="shared" si="19"/>
        <v>173</v>
      </c>
      <c r="M176" s="98" t="str">
        <f t="shared" si="18"/>
        <v>FAIL</v>
      </c>
      <c r="N176" s="323"/>
    </row>
    <row r="177" spans="2:14" ht="15" customHeight="1" x14ac:dyDescent="0.2">
      <c r="B177" s="2" t="s">
        <v>107</v>
      </c>
      <c r="C177" s="53">
        <v>1.623</v>
      </c>
      <c r="D177" s="52" t="s">
        <v>217</v>
      </c>
      <c r="E177" s="14">
        <v>0.83899999999999997</v>
      </c>
      <c r="F177" s="9">
        <f t="shared" si="23"/>
        <v>-7.6238039171299746E-2</v>
      </c>
      <c r="G177" s="14">
        <v>25</v>
      </c>
      <c r="H177" s="13" t="s">
        <v>216</v>
      </c>
      <c r="J177" s="70">
        <f t="shared" si="24"/>
        <v>1.9344457687723482</v>
      </c>
      <c r="K177" s="70" t="str">
        <f t="shared" si="22"/>
        <v>too high</v>
      </c>
      <c r="L177" s="57">
        <f t="shared" si="19"/>
        <v>174</v>
      </c>
      <c r="M177" s="98" t="str">
        <f t="shared" si="18"/>
        <v>FAIL</v>
      </c>
      <c r="N177" s="323"/>
    </row>
    <row r="178" spans="2:14" ht="15" customHeight="1" x14ac:dyDescent="0.2">
      <c r="B178" s="2" t="s">
        <v>92</v>
      </c>
      <c r="C178" s="51">
        <v>0.88600000000000001</v>
      </c>
      <c r="D178" s="52" t="s">
        <v>217</v>
      </c>
      <c r="E178" s="11">
        <v>0.45</v>
      </c>
      <c r="F178" s="9">
        <f t="shared" si="23"/>
        <v>-0.34678748622465633</v>
      </c>
      <c r="G178" s="11">
        <v>20</v>
      </c>
      <c r="H178" s="10" t="s">
        <v>216</v>
      </c>
      <c r="J178" s="70">
        <f t="shared" si="24"/>
        <v>1.9688888888888889</v>
      </c>
      <c r="K178" s="70" t="str">
        <f t="shared" si="22"/>
        <v>too high</v>
      </c>
      <c r="L178" s="57">
        <f t="shared" si="19"/>
        <v>175</v>
      </c>
      <c r="M178" s="98" t="str">
        <f t="shared" si="18"/>
        <v>FAIL</v>
      </c>
      <c r="N178" s="323"/>
    </row>
    <row r="179" spans="2:14" ht="15" customHeight="1" x14ac:dyDescent="0.2">
      <c r="B179" s="6" t="s">
        <v>83</v>
      </c>
      <c r="C179" s="53">
        <v>0.72304999999999997</v>
      </c>
      <c r="D179" s="54" t="s">
        <v>215</v>
      </c>
      <c r="E179" s="14">
        <v>0.36299999999999999</v>
      </c>
      <c r="F179" s="9">
        <f t="shared" si="23"/>
        <v>-0.44009337496388751</v>
      </c>
      <c r="G179" s="249" t="s">
        <v>218</v>
      </c>
      <c r="H179" s="13" t="s">
        <v>215</v>
      </c>
      <c r="J179" s="70">
        <f t="shared" si="24"/>
        <v>1.9918732782369146</v>
      </c>
      <c r="K179" s="70" t="str">
        <f t="shared" si="22"/>
        <v>too high</v>
      </c>
      <c r="L179" s="57">
        <f t="shared" si="19"/>
        <v>176</v>
      </c>
      <c r="M179" s="98" t="str">
        <f t="shared" si="18"/>
        <v>FAIL</v>
      </c>
      <c r="N179" s="323"/>
    </row>
    <row r="180" spans="2:14" ht="15" customHeight="1" x14ac:dyDescent="0.2">
      <c r="B180" s="6" t="s">
        <v>191</v>
      </c>
      <c r="C180" s="53">
        <v>0.79969999999999997</v>
      </c>
      <c r="D180" s="54" t="s">
        <v>215</v>
      </c>
      <c r="E180" s="12">
        <v>0.4</v>
      </c>
      <c r="F180" s="9">
        <f t="shared" si="23"/>
        <v>-0.3979400086720376</v>
      </c>
      <c r="G180" s="14">
        <v>25</v>
      </c>
      <c r="H180" s="13" t="s">
        <v>216</v>
      </c>
      <c r="J180" s="70">
        <f t="shared" si="24"/>
        <v>1.9992499999999997</v>
      </c>
      <c r="K180" s="70" t="str">
        <f t="shared" si="22"/>
        <v>too high</v>
      </c>
      <c r="L180" s="57">
        <f t="shared" si="19"/>
        <v>177</v>
      </c>
      <c r="M180" s="98" t="str">
        <f t="shared" si="18"/>
        <v>FAIL</v>
      </c>
      <c r="N180" s="323"/>
    </row>
    <row r="181" spans="2:14" ht="15" customHeight="1" x14ac:dyDescent="0.2">
      <c r="B181" s="2" t="s">
        <v>144</v>
      </c>
      <c r="C181" s="51">
        <v>0.86699999999999999</v>
      </c>
      <c r="D181" s="52" t="s">
        <v>217</v>
      </c>
      <c r="E181" s="11">
        <f>0.5*C181</f>
        <v>0.4335</v>
      </c>
      <c r="F181" s="9">
        <f t="shared" si="23"/>
        <v>-0.36301089818777088</v>
      </c>
      <c r="G181" s="11">
        <v>20</v>
      </c>
      <c r="H181" s="47" t="s">
        <v>217</v>
      </c>
      <c r="J181" s="70">
        <f t="shared" si="24"/>
        <v>2</v>
      </c>
      <c r="K181" s="70" t="str">
        <f t="shared" si="22"/>
        <v>too high</v>
      </c>
      <c r="L181" s="57">
        <f t="shared" si="19"/>
        <v>178</v>
      </c>
      <c r="M181" s="98" t="str">
        <f t="shared" si="18"/>
        <v>FAIL</v>
      </c>
      <c r="N181" s="323"/>
    </row>
    <row r="182" spans="2:14" ht="15" customHeight="1" x14ac:dyDescent="0.2">
      <c r="B182" s="2" t="s">
        <v>169</v>
      </c>
      <c r="C182" s="53">
        <v>0.65483999999999998</v>
      </c>
      <c r="D182" s="54" t="s">
        <v>215</v>
      </c>
      <c r="E182" s="14">
        <v>0.32600000000000001</v>
      </c>
      <c r="F182" s="9">
        <f t="shared" si="23"/>
        <v>-0.48678239993206096</v>
      </c>
      <c r="G182" s="14">
        <v>20</v>
      </c>
      <c r="H182" s="13" t="s">
        <v>216</v>
      </c>
      <c r="J182" s="70">
        <f t="shared" si="24"/>
        <v>2.0087116564417178</v>
      </c>
      <c r="K182" s="70" t="str">
        <f t="shared" si="22"/>
        <v>too high</v>
      </c>
      <c r="L182" s="57">
        <f t="shared" si="19"/>
        <v>179</v>
      </c>
      <c r="M182" s="98" t="str">
        <f t="shared" si="18"/>
        <v>FAIL</v>
      </c>
      <c r="N182" s="323"/>
    </row>
    <row r="183" spans="2:14" ht="15" customHeight="1" x14ac:dyDescent="0.2">
      <c r="B183" s="6" t="s">
        <v>114</v>
      </c>
      <c r="C183" s="53">
        <v>0.89454999999999996</v>
      </c>
      <c r="D183" s="54" t="s">
        <v>215</v>
      </c>
      <c r="E183" s="14">
        <v>0.44</v>
      </c>
      <c r="F183" s="9">
        <f t="shared" si="23"/>
        <v>-0.35654732351381258</v>
      </c>
      <c r="G183" s="14">
        <v>25</v>
      </c>
      <c r="H183" s="13" t="s">
        <v>216</v>
      </c>
      <c r="J183" s="70">
        <f t="shared" si="24"/>
        <v>2.0330681818181815</v>
      </c>
      <c r="K183" s="70" t="str">
        <f t="shared" si="22"/>
        <v>too high</v>
      </c>
      <c r="L183" s="57">
        <f t="shared" si="19"/>
        <v>180</v>
      </c>
      <c r="M183" s="98" t="str">
        <f t="shared" si="18"/>
        <v>FAIL</v>
      </c>
      <c r="N183" s="323"/>
    </row>
    <row r="184" spans="2:14" ht="15" customHeight="1" x14ac:dyDescent="0.2">
      <c r="B184" s="3" t="s">
        <v>194</v>
      </c>
      <c r="C184" s="51">
        <v>0.78600000000000003</v>
      </c>
      <c r="D184" s="54" t="s">
        <v>217</v>
      </c>
      <c r="E184" s="11">
        <v>0.38</v>
      </c>
      <c r="F184" s="9">
        <f t="shared" si="23"/>
        <v>-0.42021640338318983</v>
      </c>
      <c r="G184" s="11">
        <v>25</v>
      </c>
      <c r="H184" s="10" t="s">
        <v>219</v>
      </c>
      <c r="J184" s="70">
        <f t="shared" si="24"/>
        <v>2.0684210526315789</v>
      </c>
      <c r="K184" s="70" t="str">
        <f t="shared" si="22"/>
        <v>too high</v>
      </c>
      <c r="L184" s="57">
        <f t="shared" si="19"/>
        <v>181</v>
      </c>
      <c r="M184" s="98" t="str">
        <f t="shared" si="18"/>
        <v>FAIL</v>
      </c>
      <c r="N184" s="323"/>
    </row>
    <row r="185" spans="2:14" ht="15" customHeight="1" x14ac:dyDescent="0.2">
      <c r="B185" s="6" t="s">
        <v>86</v>
      </c>
      <c r="C185" s="51">
        <v>1.276</v>
      </c>
      <c r="D185" s="52" t="s">
        <v>217</v>
      </c>
      <c r="E185" s="11">
        <v>0.60599999999999998</v>
      </c>
      <c r="F185" s="9">
        <f t="shared" si="23"/>
        <v>-0.21752737583371382</v>
      </c>
      <c r="G185" s="11">
        <v>25</v>
      </c>
      <c r="H185" s="10" t="s">
        <v>216</v>
      </c>
      <c r="J185" s="70">
        <f t="shared" si="24"/>
        <v>2.1056105610561056</v>
      </c>
      <c r="K185" s="70" t="str">
        <f t="shared" si="22"/>
        <v>too high</v>
      </c>
      <c r="L185" s="57">
        <f t="shared" si="19"/>
        <v>182</v>
      </c>
      <c r="M185" s="98" t="str">
        <f t="shared" si="18"/>
        <v>FAIL</v>
      </c>
      <c r="N185" s="323"/>
    </row>
    <row r="186" spans="2:14" ht="15" customHeight="1" x14ac:dyDescent="0.2">
      <c r="B186" s="2" t="s">
        <v>142</v>
      </c>
      <c r="C186" s="53">
        <v>0.76</v>
      </c>
      <c r="D186" s="54" t="s">
        <v>215</v>
      </c>
      <c r="E186" s="14">
        <v>0.34</v>
      </c>
      <c r="F186" s="9">
        <f t="shared" si="23"/>
        <v>-0.46852108295774486</v>
      </c>
      <c r="G186" s="249" t="s">
        <v>218</v>
      </c>
      <c r="H186" s="13" t="s">
        <v>215</v>
      </c>
      <c r="J186" s="70">
        <f t="shared" si="24"/>
        <v>2.2352941176470589</v>
      </c>
      <c r="K186" s="70" t="str">
        <f t="shared" si="22"/>
        <v>too high</v>
      </c>
      <c r="L186" s="57">
        <f t="shared" si="19"/>
        <v>183</v>
      </c>
      <c r="M186" s="98" t="str">
        <f t="shared" si="18"/>
        <v>FAIL</v>
      </c>
      <c r="N186" s="323"/>
    </row>
    <row r="187" spans="2:14" ht="15" customHeight="1" x14ac:dyDescent="0.2">
      <c r="B187" s="2" t="s">
        <v>121</v>
      </c>
      <c r="C187" s="53">
        <v>0.92789999999999995</v>
      </c>
      <c r="D187" s="54" t="s">
        <v>215</v>
      </c>
      <c r="E187" s="14">
        <v>0.38100000000000001</v>
      </c>
      <c r="F187" s="9">
        <f t="shared" si="23"/>
        <v>-0.41907502432438071</v>
      </c>
      <c r="G187" s="14">
        <v>20</v>
      </c>
      <c r="H187" s="13" t="s">
        <v>216</v>
      </c>
      <c r="J187" s="70">
        <f t="shared" si="24"/>
        <v>2.4354330708661416</v>
      </c>
      <c r="K187" s="70" t="str">
        <f t="shared" si="22"/>
        <v>too high</v>
      </c>
      <c r="L187" s="57">
        <f t="shared" si="19"/>
        <v>184</v>
      </c>
      <c r="M187" s="98" t="str">
        <f t="shared" si="18"/>
        <v>FAIL</v>
      </c>
      <c r="N187" s="323"/>
    </row>
    <row r="188" spans="2:14" ht="15" customHeight="1" x14ac:dyDescent="0.2">
      <c r="B188" s="6" t="s">
        <v>140</v>
      </c>
      <c r="C188" s="51">
        <v>0.93600000000000005</v>
      </c>
      <c r="D188" s="52" t="s">
        <v>217</v>
      </c>
      <c r="E188" s="11">
        <v>0.38</v>
      </c>
      <c r="F188" s="9">
        <f t="shared" si="23"/>
        <v>-0.42021640338318983</v>
      </c>
      <c r="G188" s="11">
        <v>20</v>
      </c>
      <c r="H188" s="10" t="s">
        <v>216</v>
      </c>
      <c r="J188" s="70">
        <f t="shared" si="24"/>
        <v>2.4631578947368422</v>
      </c>
      <c r="K188" s="70" t="str">
        <f t="shared" si="22"/>
        <v>too high</v>
      </c>
      <c r="L188" s="57">
        <f t="shared" si="19"/>
        <v>185</v>
      </c>
      <c r="M188" s="98" t="str">
        <f t="shared" si="18"/>
        <v>FAIL</v>
      </c>
      <c r="N188" s="323"/>
    </row>
    <row r="189" spans="2:14" ht="15" customHeight="1" x14ac:dyDescent="0.2">
      <c r="B189" s="5" t="s">
        <v>186</v>
      </c>
      <c r="C189" s="53">
        <v>0.79100000000000004</v>
      </c>
      <c r="D189" s="54" t="s">
        <v>217</v>
      </c>
      <c r="E189" s="14">
        <v>0.32</v>
      </c>
      <c r="F189" s="9">
        <f t="shared" si="23"/>
        <v>-0.49485002168009401</v>
      </c>
      <c r="G189" s="14">
        <v>20</v>
      </c>
      <c r="H189" s="13" t="s">
        <v>216</v>
      </c>
      <c r="J189" s="70">
        <f t="shared" si="24"/>
        <v>2.4718750000000003</v>
      </c>
      <c r="K189" s="70" t="str">
        <f t="shared" si="22"/>
        <v>too high</v>
      </c>
      <c r="L189" s="57">
        <f t="shared" si="19"/>
        <v>186</v>
      </c>
      <c r="M189" s="98" t="str">
        <f t="shared" si="18"/>
        <v>FAIL</v>
      </c>
      <c r="N189" s="323"/>
    </row>
    <row r="190" spans="2:14" ht="15" customHeight="1" x14ac:dyDescent="0.2">
      <c r="B190" s="2" t="s">
        <v>105</v>
      </c>
      <c r="C190" s="53">
        <v>1.4797</v>
      </c>
      <c r="D190" s="54" t="s">
        <v>215</v>
      </c>
      <c r="E190" s="14">
        <v>0.56299999999999994</v>
      </c>
      <c r="F190" s="9">
        <f t="shared" si="23"/>
        <v>-0.24949160514865382</v>
      </c>
      <c r="G190" s="14">
        <v>20</v>
      </c>
      <c r="H190" s="13" t="s">
        <v>216</v>
      </c>
      <c r="J190" s="70">
        <f t="shared" si="24"/>
        <v>2.6282415630550626</v>
      </c>
      <c r="K190" s="70" t="str">
        <f t="shared" si="22"/>
        <v>too high</v>
      </c>
      <c r="L190" s="57">
        <f t="shared" si="19"/>
        <v>187</v>
      </c>
      <c r="M190" s="98" t="str">
        <f t="shared" si="18"/>
        <v>FAIL</v>
      </c>
      <c r="N190" s="323"/>
    </row>
    <row r="191" spans="2:14" ht="15" customHeight="1" x14ac:dyDescent="0.2">
      <c r="B191" s="6" t="s">
        <v>109</v>
      </c>
      <c r="C191" s="51">
        <v>1.284</v>
      </c>
      <c r="D191" s="52" t="s">
        <v>217</v>
      </c>
      <c r="E191" s="11">
        <v>0.48</v>
      </c>
      <c r="F191" s="9">
        <f t="shared" si="23"/>
        <v>-0.31875876262441277</v>
      </c>
      <c r="G191" s="11">
        <v>20</v>
      </c>
      <c r="H191" s="10" t="s">
        <v>216</v>
      </c>
      <c r="J191" s="70">
        <f t="shared" si="24"/>
        <v>2.6750000000000003</v>
      </c>
      <c r="K191" s="70" t="str">
        <f t="shared" si="22"/>
        <v>too high</v>
      </c>
      <c r="L191" s="57">
        <f t="shared" si="19"/>
        <v>188</v>
      </c>
      <c r="M191" s="98" t="str">
        <f t="shared" si="18"/>
        <v>FAIL</v>
      </c>
      <c r="N191" s="323"/>
    </row>
    <row r="192" spans="2:14" ht="15" customHeight="1" x14ac:dyDescent="0.2">
      <c r="B192" s="6" t="s">
        <v>94</v>
      </c>
      <c r="C192" s="51">
        <v>0.85899999999999999</v>
      </c>
      <c r="D192" s="52" t="s">
        <v>217</v>
      </c>
      <c r="E192" s="11">
        <v>0.32</v>
      </c>
      <c r="F192" s="9">
        <f t="shared" si="23"/>
        <v>-0.49485002168009401</v>
      </c>
      <c r="G192" s="11">
        <v>20</v>
      </c>
      <c r="H192" s="10" t="s">
        <v>216</v>
      </c>
      <c r="J192" s="70">
        <f t="shared" si="24"/>
        <v>2.6843749999999997</v>
      </c>
      <c r="K192" s="70" t="str">
        <f t="shared" si="22"/>
        <v>too high</v>
      </c>
      <c r="L192" s="57">
        <f t="shared" si="19"/>
        <v>189</v>
      </c>
      <c r="M192" s="98" t="str">
        <f t="shared" si="18"/>
        <v>FAIL</v>
      </c>
      <c r="N192" s="323"/>
    </row>
    <row r="193" spans="2:15" ht="15" customHeight="1" x14ac:dyDescent="0.2">
      <c r="B193" s="2" t="s">
        <v>108</v>
      </c>
      <c r="C193" s="53">
        <v>1.5</v>
      </c>
      <c r="D193" s="54" t="s">
        <v>215</v>
      </c>
      <c r="E193" s="14">
        <v>0.55000000000000004</v>
      </c>
      <c r="F193" s="9">
        <f t="shared" si="23"/>
        <v>-0.25963731050575611</v>
      </c>
      <c r="G193" s="14">
        <v>25</v>
      </c>
      <c r="H193" s="13" t="s">
        <v>216</v>
      </c>
      <c r="J193" s="70">
        <f t="shared" si="24"/>
        <v>2.7272727272727271</v>
      </c>
      <c r="K193" s="70" t="str">
        <f t="shared" si="22"/>
        <v>too high</v>
      </c>
      <c r="L193" s="57">
        <f t="shared" si="19"/>
        <v>190</v>
      </c>
      <c r="M193" s="98" t="str">
        <f t="shared" si="18"/>
        <v>FAIL</v>
      </c>
      <c r="N193" s="323"/>
    </row>
    <row r="194" spans="2:15" ht="15" customHeight="1" x14ac:dyDescent="0.2">
      <c r="B194" s="2" t="s">
        <v>171</v>
      </c>
      <c r="C194" s="53">
        <v>0.62139</v>
      </c>
      <c r="D194" s="54" t="s">
        <v>215</v>
      </c>
      <c r="E194" s="14">
        <v>0.22500000000000001</v>
      </c>
      <c r="F194" s="9">
        <f t="shared" si="23"/>
        <v>-0.64781748188863753</v>
      </c>
      <c r="G194" s="248" t="s">
        <v>218</v>
      </c>
      <c r="H194" s="13" t="s">
        <v>215</v>
      </c>
      <c r="J194" s="70">
        <f t="shared" si="24"/>
        <v>2.7617333333333334</v>
      </c>
      <c r="K194" s="70" t="str">
        <f t="shared" si="22"/>
        <v>too high</v>
      </c>
      <c r="L194" s="57">
        <f t="shared" si="19"/>
        <v>191</v>
      </c>
      <c r="M194" s="98" t="str">
        <f t="shared" si="18"/>
        <v>FAIL</v>
      </c>
      <c r="N194" s="323"/>
    </row>
    <row r="195" spans="2:15" ht="15" customHeight="1" x14ac:dyDescent="0.2">
      <c r="B195" s="2" t="s">
        <v>135</v>
      </c>
      <c r="C195" s="53">
        <v>0.70782</v>
      </c>
      <c r="D195" s="54" t="s">
        <v>215</v>
      </c>
      <c r="E195" s="14">
        <v>0.24479999999999999</v>
      </c>
      <c r="F195" s="9">
        <f t="shared" si="23"/>
        <v>-0.61118858652647645</v>
      </c>
      <c r="G195" s="14">
        <v>20</v>
      </c>
      <c r="H195" s="13" t="s">
        <v>216</v>
      </c>
      <c r="J195" s="70">
        <f t="shared" si="24"/>
        <v>2.8914215686274511</v>
      </c>
      <c r="K195" s="70" t="str">
        <f t="shared" si="22"/>
        <v>too high</v>
      </c>
      <c r="L195" s="57">
        <f t="shared" si="19"/>
        <v>192</v>
      </c>
      <c r="M195" s="98" t="str">
        <f t="shared" si="18"/>
        <v>FAIL</v>
      </c>
      <c r="N195" s="323"/>
    </row>
    <row r="196" spans="2:15" ht="15" customHeight="1" x14ac:dyDescent="0.2">
      <c r="B196" s="6" t="s">
        <v>123</v>
      </c>
      <c r="C196" s="51">
        <v>0.97399999999999998</v>
      </c>
      <c r="D196" s="52" t="s">
        <v>217</v>
      </c>
      <c r="E196" s="11">
        <v>0.32500000000000001</v>
      </c>
      <c r="F196" s="9">
        <f t="shared" si="23"/>
        <v>-0.48811663902112562</v>
      </c>
      <c r="G196" s="11">
        <v>25</v>
      </c>
      <c r="H196" s="10" t="s">
        <v>216</v>
      </c>
      <c r="J196" s="70">
        <f t="shared" si="24"/>
        <v>2.9969230769230766</v>
      </c>
      <c r="K196" s="70" t="str">
        <f t="shared" ref="K196:K202" si="25">IF(J196&gt;$Q$17,"too high","")</f>
        <v>too high</v>
      </c>
      <c r="L196" s="57">
        <f t="shared" si="19"/>
        <v>193</v>
      </c>
      <c r="M196" s="98" t="str">
        <f t="shared" ref="M196:M202" si="26">IF(K196="","PASS","FAIL")</f>
        <v>FAIL</v>
      </c>
      <c r="N196" s="323"/>
    </row>
    <row r="197" spans="2:15" ht="15" customHeight="1" x14ac:dyDescent="0.2">
      <c r="B197" s="2" t="s">
        <v>98</v>
      </c>
      <c r="C197" s="51">
        <v>1.17</v>
      </c>
      <c r="D197" s="52" t="s">
        <v>217</v>
      </c>
      <c r="E197" s="11">
        <v>0.38</v>
      </c>
      <c r="F197" s="9">
        <f t="shared" si="23"/>
        <v>-0.42021640338318983</v>
      </c>
      <c r="G197" s="11">
        <v>20</v>
      </c>
      <c r="H197" s="10" t="s">
        <v>216</v>
      </c>
      <c r="J197" s="70">
        <f t="shared" si="24"/>
        <v>3.0789473684210522</v>
      </c>
      <c r="K197" s="70" t="str">
        <f t="shared" si="25"/>
        <v>too high</v>
      </c>
      <c r="L197" s="57">
        <f t="shared" si="19"/>
        <v>194</v>
      </c>
      <c r="M197" s="98" t="str">
        <f t="shared" si="26"/>
        <v>FAIL</v>
      </c>
      <c r="N197" s="323"/>
    </row>
    <row r="198" spans="2:15" ht="15" customHeight="1" x14ac:dyDescent="0.2">
      <c r="B198" s="5" t="s">
        <v>228</v>
      </c>
      <c r="C198" s="53">
        <v>1.325</v>
      </c>
      <c r="D198" s="52" t="s">
        <v>217</v>
      </c>
      <c r="E198" s="14">
        <v>0.43</v>
      </c>
      <c r="F198" s="9">
        <f t="shared" si="23"/>
        <v>-0.36653154442041347</v>
      </c>
      <c r="G198" s="14">
        <v>20</v>
      </c>
      <c r="H198" s="13" t="s">
        <v>216</v>
      </c>
      <c r="J198" s="70">
        <f t="shared" si="24"/>
        <v>3.0813953488372094</v>
      </c>
      <c r="K198" s="70" t="str">
        <f t="shared" si="25"/>
        <v>too high</v>
      </c>
      <c r="L198" s="57">
        <f t="shared" ref="L198:L202" si="27">1+L197</f>
        <v>195</v>
      </c>
      <c r="M198" s="98" t="str">
        <f t="shared" si="26"/>
        <v>FAIL</v>
      </c>
      <c r="N198" s="323"/>
    </row>
    <row r="199" spans="2:15" ht="15" customHeight="1" x14ac:dyDescent="0.2">
      <c r="B199" s="5" t="s">
        <v>63</v>
      </c>
      <c r="C199" s="51">
        <v>0.78500000000000003</v>
      </c>
      <c r="D199" s="52" t="s">
        <v>217</v>
      </c>
      <c r="E199" s="11">
        <v>0.24560000000000001</v>
      </c>
      <c r="F199" s="9">
        <f t="shared" ref="F199:F202" si="28">LOG(E199)</f>
        <v>-0.60977163753086994</v>
      </c>
      <c r="G199" s="11">
        <v>15</v>
      </c>
      <c r="H199" s="10" t="s">
        <v>216</v>
      </c>
      <c r="J199" s="70">
        <f t="shared" si="24"/>
        <v>3.1962540716612375</v>
      </c>
      <c r="K199" s="70" t="str">
        <f t="shared" si="25"/>
        <v>too high</v>
      </c>
      <c r="L199" s="57">
        <f t="shared" si="27"/>
        <v>196</v>
      </c>
      <c r="M199" s="98" t="str">
        <f t="shared" si="26"/>
        <v>FAIL</v>
      </c>
      <c r="N199" s="323"/>
    </row>
    <row r="200" spans="2:15" ht="15" customHeight="1" x14ac:dyDescent="0.2">
      <c r="B200" s="5" t="s">
        <v>89</v>
      </c>
      <c r="C200" s="51">
        <v>1.266</v>
      </c>
      <c r="D200" s="52" t="s">
        <v>217</v>
      </c>
      <c r="E200" s="11">
        <v>0.36</v>
      </c>
      <c r="F200" s="9">
        <f t="shared" si="28"/>
        <v>-0.44369749923271273</v>
      </c>
      <c r="G200" s="11">
        <v>25</v>
      </c>
      <c r="H200" s="10" t="s">
        <v>219</v>
      </c>
      <c r="J200" s="70">
        <f t="shared" si="24"/>
        <v>3.5166666666666671</v>
      </c>
      <c r="K200" s="70" t="str">
        <f t="shared" si="25"/>
        <v>too high</v>
      </c>
      <c r="L200" s="57">
        <f t="shared" si="27"/>
        <v>197</v>
      </c>
      <c r="M200" s="98" t="str">
        <f t="shared" si="26"/>
        <v>FAIL</v>
      </c>
      <c r="N200" s="323"/>
    </row>
    <row r="201" spans="2:15" ht="15" customHeight="1" x14ac:dyDescent="0.2">
      <c r="B201" s="2" t="s">
        <v>99</v>
      </c>
      <c r="C201" s="51">
        <v>1.2130000000000001</v>
      </c>
      <c r="D201" s="52" t="s">
        <v>217</v>
      </c>
      <c r="E201" s="11">
        <v>0.33019999999999999</v>
      </c>
      <c r="F201" s="9">
        <f t="shared" si="28"/>
        <v>-0.48122293107322517</v>
      </c>
      <c r="G201" s="11">
        <v>20</v>
      </c>
      <c r="H201" s="10" t="s">
        <v>216</v>
      </c>
      <c r="J201" s="70">
        <f t="shared" si="24"/>
        <v>3.6735311932162329</v>
      </c>
      <c r="K201" s="70" t="str">
        <f t="shared" si="25"/>
        <v>too high</v>
      </c>
      <c r="L201" s="57">
        <f t="shared" si="27"/>
        <v>198</v>
      </c>
      <c r="M201" s="98" t="str">
        <f t="shared" si="26"/>
        <v>FAIL</v>
      </c>
      <c r="N201" s="323"/>
    </row>
    <row r="202" spans="2:15" ht="15" customHeight="1" x14ac:dyDescent="0.2">
      <c r="B202" s="6" t="s">
        <v>88</v>
      </c>
      <c r="C202" s="53">
        <v>1.46</v>
      </c>
      <c r="D202" s="52" t="s">
        <v>217</v>
      </c>
      <c r="E202" s="14">
        <v>0.379</v>
      </c>
      <c r="F202" s="12">
        <f t="shared" si="28"/>
        <v>-0.42136079003192767</v>
      </c>
      <c r="G202" s="14">
        <v>25</v>
      </c>
      <c r="H202" s="13" t="s">
        <v>216</v>
      </c>
      <c r="I202" s="42"/>
      <c r="J202" s="71">
        <f t="shared" si="24"/>
        <v>3.8522427440633242</v>
      </c>
      <c r="K202" s="70" t="str">
        <f t="shared" si="25"/>
        <v>too high</v>
      </c>
      <c r="L202" s="57">
        <f t="shared" si="27"/>
        <v>199</v>
      </c>
      <c r="M202" s="98" t="str">
        <f t="shared" si="26"/>
        <v>FAIL</v>
      </c>
      <c r="N202" s="323"/>
    </row>
    <row r="203" spans="2:15" ht="15" customHeight="1" x14ac:dyDescent="0.2">
      <c r="C203" s="18"/>
      <c r="D203" s="19"/>
      <c r="I203" s="46"/>
      <c r="J203" s="46"/>
      <c r="K203" s="46"/>
      <c r="L203" s="46"/>
      <c r="M203" s="46"/>
    </row>
    <row r="204" spans="2:15" ht="15" customHeight="1" x14ac:dyDescent="0.2">
      <c r="B204" s="62" t="s">
        <v>225</v>
      </c>
      <c r="C204" s="63">
        <f>AVERAGE(C4:C202)</f>
        <v>0.98120080402010046</v>
      </c>
      <c r="D204" s="62"/>
      <c r="E204" s="63">
        <f>AVERAGE(E4:E202)</f>
        <v>10.990329170854269</v>
      </c>
      <c r="F204" s="64"/>
      <c r="G204" s="64"/>
      <c r="H204" s="62"/>
      <c r="I204" s="65"/>
      <c r="J204" s="65"/>
      <c r="K204" s="65"/>
      <c r="L204" s="65"/>
      <c r="M204" s="65"/>
      <c r="N204" s="65"/>
    </row>
    <row r="205" spans="2:15" ht="15" customHeight="1" x14ac:dyDescent="0.2">
      <c r="B205" s="66" t="s">
        <v>224</v>
      </c>
      <c r="C205" s="67">
        <f>STDEV(C4:C202)</f>
        <v>0.19303503139276162</v>
      </c>
      <c r="D205" s="66"/>
      <c r="E205" s="67">
        <f>STDEV(E4:E202)</f>
        <v>68.955665639370338</v>
      </c>
      <c r="F205" s="68"/>
      <c r="G205" s="68"/>
      <c r="H205" s="66"/>
      <c r="I205" s="69"/>
      <c r="J205" s="69"/>
      <c r="K205" s="69"/>
      <c r="L205" s="69"/>
      <c r="M205" s="69"/>
      <c r="N205" s="69"/>
    </row>
    <row r="206" spans="2:15" ht="15" customHeight="1" x14ac:dyDescent="0.2">
      <c r="C206" s="18"/>
      <c r="D206" s="19"/>
      <c r="I206" s="41"/>
      <c r="J206" s="41"/>
      <c r="K206" s="41"/>
      <c r="L206" s="41"/>
      <c r="M206" s="41"/>
    </row>
    <row r="207" spans="2:15" x14ac:dyDescent="0.2">
      <c r="B207" s="39"/>
      <c r="C207" s="39"/>
      <c r="D207" s="39"/>
      <c r="E207" s="39"/>
      <c r="F207" s="39"/>
      <c r="G207" s="39"/>
      <c r="H207" s="39"/>
    </row>
    <row r="208" spans="2:15" x14ac:dyDescent="0.2">
      <c r="B208" s="225"/>
      <c r="C208" s="226"/>
      <c r="D208" s="227"/>
      <c r="E208" s="228"/>
      <c r="F208" s="229"/>
      <c r="G208" s="229"/>
      <c r="H208" s="19"/>
      <c r="I208" s="41"/>
      <c r="J208" s="41"/>
      <c r="K208" s="41"/>
      <c r="L208" s="41"/>
      <c r="M208" s="41"/>
      <c r="O208" s="41"/>
    </row>
    <row r="209" spans="2:15" x14ac:dyDescent="0.2">
      <c r="B209" s="229"/>
      <c r="C209" s="229"/>
      <c r="D209" s="227"/>
      <c r="E209" s="228"/>
      <c r="F209" s="229"/>
      <c r="G209" s="229"/>
      <c r="H209" s="19"/>
      <c r="I209" s="41"/>
      <c r="J209" s="41"/>
      <c r="K209" s="41"/>
      <c r="L209" s="41"/>
      <c r="M209" s="41"/>
      <c r="O209" s="41"/>
    </row>
    <row r="210" spans="2:15" x14ac:dyDescent="0.2">
      <c r="B210" s="232"/>
      <c r="C210" s="229"/>
      <c r="D210" s="227"/>
      <c r="E210" s="228"/>
      <c r="F210" s="229"/>
      <c r="G210" s="229"/>
      <c r="H210" s="19"/>
      <c r="I210" s="41"/>
      <c r="J210" s="41"/>
      <c r="K210" s="41"/>
      <c r="L210" s="41"/>
      <c r="M210" s="41"/>
      <c r="O210" s="41"/>
    </row>
    <row r="211" spans="2:15" x14ac:dyDescent="0.2">
      <c r="B211" s="233"/>
      <c r="C211" s="226"/>
      <c r="D211" s="227"/>
      <c r="E211" s="228"/>
      <c r="F211" s="229"/>
      <c r="G211" s="229"/>
      <c r="H211" s="19"/>
      <c r="I211" s="41"/>
      <c r="J211" s="41"/>
      <c r="K211" s="41"/>
      <c r="L211" s="41"/>
      <c r="M211" s="41"/>
      <c r="O211" s="41"/>
    </row>
    <row r="212" spans="2:15" x14ac:dyDescent="0.2">
      <c r="B212" s="229"/>
      <c r="C212" s="228"/>
      <c r="D212" s="230"/>
      <c r="E212" s="228"/>
      <c r="F212" s="229"/>
      <c r="G212" s="229"/>
      <c r="H212" s="19"/>
      <c r="I212" s="41"/>
      <c r="J212" s="41"/>
      <c r="K212" s="41"/>
      <c r="L212" s="41"/>
      <c r="M212" s="41"/>
      <c r="O212" s="41"/>
    </row>
    <row r="213" spans="2:15" x14ac:dyDescent="0.2">
      <c r="B213" s="229"/>
      <c r="C213" s="226"/>
      <c r="D213" s="227"/>
      <c r="E213" s="228"/>
      <c r="F213" s="229"/>
      <c r="G213" s="229"/>
      <c r="H213" s="19"/>
      <c r="I213" s="41"/>
      <c r="J213" s="41"/>
      <c r="K213" s="41"/>
      <c r="L213" s="41"/>
      <c r="M213" s="41"/>
      <c r="O213" s="41"/>
    </row>
    <row r="214" spans="2:15" x14ac:dyDescent="0.2">
      <c r="B214" s="229"/>
      <c r="C214" s="226"/>
      <c r="D214" s="227"/>
      <c r="E214" s="231"/>
      <c r="F214" s="231"/>
      <c r="G214" s="229"/>
      <c r="H214" s="19"/>
      <c r="I214" s="41"/>
      <c r="J214" s="41"/>
      <c r="K214" s="41"/>
      <c r="L214" s="41"/>
      <c r="M214" s="41"/>
      <c r="O214" s="41"/>
    </row>
    <row r="215" spans="2:15" x14ac:dyDescent="0.2">
      <c r="B215" s="225"/>
      <c r="C215" s="234"/>
      <c r="D215" s="227"/>
      <c r="E215" s="231"/>
      <c r="F215" s="231"/>
      <c r="G215" s="232"/>
      <c r="H215" s="28"/>
      <c r="I215" s="41"/>
      <c r="J215" s="41"/>
      <c r="K215" s="41"/>
      <c r="L215" s="41"/>
      <c r="M215" s="41"/>
      <c r="O215" s="41"/>
    </row>
    <row r="216" spans="2:15" x14ac:dyDescent="0.2">
      <c r="B216" s="236"/>
      <c r="C216" s="234"/>
      <c r="D216" s="227"/>
      <c r="E216" s="228"/>
      <c r="F216" s="232"/>
      <c r="G216" s="232"/>
      <c r="H216" s="28"/>
      <c r="I216" s="41"/>
      <c r="J216" s="41"/>
      <c r="K216" s="41"/>
      <c r="L216" s="41"/>
      <c r="M216" s="41"/>
      <c r="O216" s="41"/>
    </row>
    <row r="217" spans="2:15" x14ac:dyDescent="0.2">
      <c r="B217" s="232"/>
      <c r="C217" s="228"/>
      <c r="D217" s="230"/>
      <c r="E217" s="228"/>
      <c r="F217" s="229"/>
      <c r="G217" s="229"/>
      <c r="H217" s="19"/>
      <c r="I217" s="41"/>
      <c r="J217" s="41"/>
      <c r="K217" s="41"/>
      <c r="L217" s="41"/>
      <c r="M217" s="41"/>
      <c r="O217" s="41"/>
    </row>
    <row r="218" spans="2:15" x14ac:dyDescent="0.2">
      <c r="B218" s="232"/>
      <c r="C218" s="226"/>
      <c r="D218" s="227"/>
      <c r="E218" s="228"/>
      <c r="F218" s="229"/>
      <c r="G218" s="229"/>
      <c r="H218" s="19"/>
      <c r="I218" s="41"/>
      <c r="J218" s="41"/>
      <c r="K218" s="41"/>
      <c r="L218" s="41"/>
      <c r="M218" s="41"/>
      <c r="O218" s="41"/>
    </row>
    <row r="219" spans="2:15" x14ac:dyDescent="0.2">
      <c r="B219" s="229"/>
      <c r="C219" s="226"/>
      <c r="D219" s="227"/>
      <c r="E219" s="228"/>
      <c r="F219" s="229"/>
      <c r="G219" s="229"/>
      <c r="H219" s="19"/>
      <c r="I219" s="41"/>
      <c r="J219" s="41"/>
      <c r="K219" s="41"/>
      <c r="L219" s="41"/>
      <c r="M219" s="41"/>
      <c r="O219" s="41"/>
    </row>
    <row r="220" spans="2:15" x14ac:dyDescent="0.2">
      <c r="B220" s="232"/>
      <c r="C220" s="226"/>
      <c r="D220" s="227"/>
      <c r="E220" s="228"/>
      <c r="F220" s="229"/>
      <c r="G220" s="229"/>
      <c r="H220" s="19"/>
      <c r="I220" s="41"/>
      <c r="J220" s="41"/>
      <c r="K220" s="41"/>
      <c r="L220" s="41"/>
      <c r="M220" s="41"/>
      <c r="O220" s="41"/>
    </row>
    <row r="221" spans="2:15" x14ac:dyDescent="0.2">
      <c r="B221" s="229"/>
      <c r="C221" s="228"/>
      <c r="D221" s="230"/>
      <c r="E221" s="228"/>
      <c r="F221" s="229"/>
      <c r="G221" s="229"/>
      <c r="H221" s="19"/>
      <c r="I221" s="41"/>
      <c r="J221" s="41"/>
      <c r="K221" s="41"/>
      <c r="L221" s="41"/>
      <c r="M221" s="41"/>
      <c r="O221" s="41"/>
    </row>
    <row r="222" spans="2:15" x14ac:dyDescent="0.2">
      <c r="B222" s="232"/>
      <c r="C222" s="228"/>
      <c r="D222" s="230"/>
      <c r="E222" s="228"/>
      <c r="F222" s="229"/>
      <c r="G222" s="229"/>
      <c r="H222" s="19"/>
      <c r="I222" s="41"/>
      <c r="J222" s="41"/>
      <c r="K222" s="41"/>
      <c r="L222" s="41"/>
      <c r="M222" s="41"/>
      <c r="O222" s="41"/>
    </row>
    <row r="223" spans="2:15" x14ac:dyDescent="0.2">
      <c r="B223" s="235"/>
      <c r="C223" s="228"/>
      <c r="D223" s="235"/>
      <c r="E223" s="228"/>
      <c r="F223" s="232"/>
      <c r="G223" s="232"/>
      <c r="H223" s="28"/>
      <c r="I223" s="41"/>
      <c r="J223" s="41"/>
      <c r="K223" s="41"/>
      <c r="L223" s="41"/>
      <c r="M223" s="41"/>
      <c r="O223" s="41"/>
    </row>
    <row r="224" spans="2:15" x14ac:dyDescent="0.2">
      <c r="B224" s="235"/>
      <c r="C224" s="228"/>
      <c r="D224" s="235"/>
      <c r="E224" s="228"/>
      <c r="F224" s="232"/>
      <c r="G224" s="232"/>
      <c r="H224" s="28"/>
      <c r="I224" s="41"/>
      <c r="J224" s="41"/>
      <c r="K224" s="41"/>
      <c r="L224" s="41"/>
      <c r="M224" s="41"/>
      <c r="O224" s="41"/>
    </row>
    <row r="225" spans="2:15" x14ac:dyDescent="0.2">
      <c r="B225" s="235"/>
      <c r="C225" s="228"/>
      <c r="D225" s="235"/>
      <c r="E225" s="228"/>
      <c r="F225" s="232"/>
      <c r="G225" s="232"/>
      <c r="H225" s="28"/>
      <c r="I225" s="41"/>
      <c r="J225" s="41"/>
      <c r="K225" s="41"/>
      <c r="L225" s="41"/>
      <c r="M225" s="41"/>
      <c r="O225" s="41"/>
    </row>
    <row r="226" spans="2:15" x14ac:dyDescent="0.2">
      <c r="B226" s="235"/>
      <c r="C226" s="228"/>
      <c r="D226" s="235"/>
      <c r="E226" s="228"/>
      <c r="F226" s="232"/>
      <c r="G226" s="232"/>
      <c r="H226" s="28"/>
      <c r="I226" s="41"/>
      <c r="J226" s="41"/>
      <c r="K226" s="41"/>
      <c r="L226" s="41"/>
      <c r="M226" s="41"/>
      <c r="O226" s="41"/>
    </row>
    <row r="227" spans="2:15" x14ac:dyDescent="0.2">
      <c r="B227" s="235"/>
      <c r="C227" s="228"/>
      <c r="D227" s="235"/>
      <c r="E227" s="228"/>
      <c r="F227" s="232"/>
      <c r="G227" s="232"/>
      <c r="H227" s="28"/>
      <c r="I227" s="41"/>
      <c r="J227" s="41"/>
      <c r="K227" s="41"/>
      <c r="L227" s="41"/>
      <c r="M227" s="41"/>
      <c r="O227" s="41"/>
    </row>
    <row r="228" spans="2:15" x14ac:dyDescent="0.2">
      <c r="B228" s="235"/>
      <c r="C228" s="228"/>
      <c r="D228" s="235"/>
      <c r="E228" s="228"/>
      <c r="F228" s="232"/>
      <c r="G228" s="232"/>
      <c r="H228" s="28"/>
      <c r="I228" s="41"/>
      <c r="J228" s="41"/>
      <c r="K228" s="41"/>
      <c r="L228" s="41"/>
      <c r="M228" s="41"/>
      <c r="O228" s="41"/>
    </row>
    <row r="229" spans="2:15" x14ac:dyDescent="0.2">
      <c r="B229" s="235"/>
      <c r="C229" s="228"/>
      <c r="D229" s="235"/>
      <c r="E229" s="228"/>
      <c r="F229" s="232"/>
      <c r="G229" s="232"/>
      <c r="H229" s="28"/>
      <c r="I229" s="41"/>
      <c r="J229" s="41"/>
      <c r="K229" s="41"/>
      <c r="L229" s="41"/>
      <c r="M229" s="41"/>
      <c r="O229" s="41"/>
    </row>
    <row r="230" spans="2:15" x14ac:dyDescent="0.2">
      <c r="B230" s="235" t="s">
        <v>556</v>
      </c>
      <c r="C230" s="228"/>
      <c r="D230" s="235"/>
      <c r="E230" s="228"/>
      <c r="F230" s="232"/>
      <c r="G230" s="232"/>
      <c r="H230" s="28"/>
      <c r="I230" s="41"/>
      <c r="J230" s="41"/>
      <c r="K230" s="41"/>
      <c r="L230" s="41"/>
      <c r="M230" s="41"/>
      <c r="O230" s="41"/>
    </row>
    <row r="231" spans="2:15" x14ac:dyDescent="0.2">
      <c r="B231" s="28"/>
      <c r="C231" s="34"/>
      <c r="D231" s="28"/>
      <c r="E231" s="34"/>
      <c r="F231" s="27"/>
      <c r="G231" s="27"/>
      <c r="H231" s="28"/>
      <c r="I231" s="41"/>
      <c r="J231" s="41"/>
      <c r="K231" s="41"/>
      <c r="L231" s="41"/>
      <c r="M231" s="41"/>
      <c r="O231" s="41"/>
    </row>
    <row r="232" spans="2:15" x14ac:dyDescent="0.2">
      <c r="B232" s="28"/>
      <c r="C232" s="34"/>
      <c r="D232" s="28"/>
      <c r="E232" s="34"/>
      <c r="F232" s="27"/>
      <c r="G232" s="27"/>
      <c r="H232" s="28"/>
      <c r="I232" s="41"/>
      <c r="J232" s="41"/>
      <c r="K232" s="41"/>
      <c r="L232" s="41"/>
      <c r="M232" s="41"/>
      <c r="O232" s="41"/>
    </row>
    <row r="233" spans="2:15" x14ac:dyDescent="0.2">
      <c r="B233" s="28"/>
      <c r="C233" s="34"/>
      <c r="D233" s="28"/>
      <c r="E233" s="34"/>
      <c r="F233" s="27"/>
      <c r="G233" s="27"/>
      <c r="H233" s="28"/>
      <c r="I233" s="41"/>
      <c r="J233" s="41"/>
      <c r="K233" s="41"/>
      <c r="L233" s="41"/>
      <c r="M233" s="41"/>
      <c r="O233" s="41"/>
    </row>
    <row r="234" spans="2:15" x14ac:dyDescent="0.2">
      <c r="B234" s="28"/>
      <c r="C234" s="34"/>
      <c r="D234" s="28"/>
      <c r="E234" s="34"/>
      <c r="F234" s="27"/>
      <c r="G234" s="27"/>
      <c r="H234" s="28"/>
      <c r="I234" s="41"/>
      <c r="J234" s="41"/>
      <c r="K234" s="41"/>
      <c r="L234" s="41"/>
      <c r="M234" s="41"/>
      <c r="O234" s="41"/>
    </row>
    <row r="235" spans="2:15" x14ac:dyDescent="0.2">
      <c r="B235" s="28"/>
      <c r="C235" s="34"/>
      <c r="D235" s="28"/>
      <c r="E235" s="34"/>
      <c r="F235" s="27"/>
      <c r="G235" s="27"/>
      <c r="H235" s="28"/>
      <c r="I235" s="41"/>
      <c r="J235" s="41"/>
      <c r="K235" s="41"/>
      <c r="L235" s="41"/>
      <c r="M235" s="41"/>
      <c r="O235" s="41"/>
    </row>
    <row r="236" spans="2:15" x14ac:dyDescent="0.2">
      <c r="B236" s="28"/>
      <c r="C236" s="34"/>
      <c r="D236" s="28"/>
      <c r="E236" s="34"/>
      <c r="F236" s="27"/>
      <c r="G236" s="27"/>
      <c r="H236" s="28"/>
      <c r="I236" s="41"/>
      <c r="J236" s="41"/>
      <c r="K236" s="41"/>
      <c r="L236" s="41"/>
      <c r="M236" s="41"/>
      <c r="O236" s="41"/>
    </row>
    <row r="237" spans="2:15" x14ac:dyDescent="0.2">
      <c r="B237" s="28"/>
      <c r="C237" s="34"/>
      <c r="D237" s="28"/>
      <c r="E237" s="34"/>
      <c r="F237" s="27"/>
      <c r="G237" s="27"/>
      <c r="H237" s="28"/>
      <c r="I237" s="41"/>
      <c r="J237" s="41"/>
      <c r="K237" s="41"/>
      <c r="L237" s="41"/>
      <c r="M237" s="41"/>
      <c r="O237" s="41"/>
    </row>
    <row r="238" spans="2:15" x14ac:dyDescent="0.2">
      <c r="B238" s="28"/>
      <c r="C238" s="34"/>
      <c r="D238" s="28"/>
      <c r="E238" s="34"/>
      <c r="F238" s="27"/>
      <c r="G238" s="27"/>
      <c r="H238" s="28"/>
      <c r="I238" s="41"/>
      <c r="J238" s="41"/>
      <c r="K238" s="41"/>
      <c r="L238" s="41"/>
      <c r="M238" s="41"/>
      <c r="O238" s="41"/>
    </row>
    <row r="239" spans="2:15" x14ac:dyDescent="0.2">
      <c r="B239" s="22"/>
      <c r="C239" s="34"/>
      <c r="D239" s="19"/>
      <c r="E239" s="34"/>
      <c r="F239" s="22"/>
      <c r="G239" s="22"/>
      <c r="H239" s="19"/>
      <c r="I239" s="41"/>
      <c r="J239" s="41"/>
      <c r="K239" s="41"/>
      <c r="L239" s="41"/>
      <c r="M239" s="41"/>
      <c r="O239" s="41"/>
    </row>
    <row r="240" spans="2:15" x14ac:dyDescent="0.2">
      <c r="B240" s="27"/>
      <c r="C240" s="18"/>
      <c r="D240" s="48"/>
      <c r="E240" s="34"/>
      <c r="F240" s="22"/>
      <c r="G240" s="22"/>
      <c r="H240" s="19"/>
      <c r="I240" s="41"/>
      <c r="J240" s="41"/>
      <c r="K240" s="41"/>
      <c r="L240" s="41"/>
      <c r="M240" s="41"/>
      <c r="O240" s="41"/>
    </row>
    <row r="241" spans="2:15" x14ac:dyDescent="0.2">
      <c r="B241" s="22"/>
      <c r="C241" s="18"/>
      <c r="D241" s="48"/>
      <c r="E241" s="34"/>
      <c r="F241" s="22"/>
      <c r="G241" s="22"/>
      <c r="H241" s="19"/>
      <c r="I241" s="41"/>
      <c r="J241" s="41"/>
      <c r="K241" s="41"/>
      <c r="L241" s="41"/>
      <c r="M241" s="41"/>
      <c r="O241" s="41"/>
    </row>
    <row r="242" spans="2:15" x14ac:dyDescent="0.2">
      <c r="B242" s="31"/>
      <c r="C242" s="18"/>
      <c r="D242" s="48"/>
      <c r="E242" s="34"/>
      <c r="F242" s="22"/>
      <c r="G242" s="22"/>
      <c r="H242" s="19"/>
      <c r="I242" s="41"/>
      <c r="J242" s="41"/>
      <c r="K242" s="41"/>
      <c r="L242" s="41"/>
      <c r="M242" s="41"/>
      <c r="O242" s="41"/>
    </row>
    <row r="243" spans="2:15" x14ac:dyDescent="0.2">
      <c r="B243" s="31"/>
      <c r="C243" s="34"/>
      <c r="D243" s="48"/>
      <c r="E243" s="34"/>
      <c r="F243" s="22"/>
      <c r="G243" s="22"/>
      <c r="H243" s="19"/>
      <c r="I243" s="41"/>
      <c r="J243" s="41"/>
      <c r="K243" s="41"/>
      <c r="L243" s="41"/>
      <c r="M243" s="41"/>
      <c r="O243" s="41"/>
    </row>
    <row r="244" spans="2:15" x14ac:dyDescent="0.2">
      <c r="B244" s="22"/>
      <c r="C244" s="34"/>
      <c r="D244" s="19"/>
      <c r="E244" s="34"/>
      <c r="F244" s="22"/>
      <c r="G244" s="22"/>
      <c r="H244" s="19"/>
      <c r="I244" s="41"/>
      <c r="J244" s="41"/>
      <c r="K244" s="41"/>
      <c r="L244" s="41"/>
      <c r="M244" s="41"/>
      <c r="O244" s="41"/>
    </row>
    <row r="245" spans="2:15" x14ac:dyDescent="0.2">
      <c r="B245" s="31"/>
      <c r="C245" s="34"/>
      <c r="D245" s="19"/>
      <c r="E245" s="34"/>
      <c r="F245" s="22"/>
      <c r="G245" s="22"/>
      <c r="H245" s="19"/>
      <c r="I245" s="41"/>
      <c r="J245" s="41"/>
      <c r="K245" s="41"/>
      <c r="L245" s="41"/>
      <c r="M245" s="41"/>
      <c r="O245" s="41"/>
    </row>
    <row r="246" spans="2:15" x14ac:dyDescent="0.2">
      <c r="B246" s="78"/>
      <c r="C246" s="241"/>
      <c r="D246" s="242"/>
      <c r="E246" s="243"/>
      <c r="F246" s="78"/>
      <c r="G246" s="78"/>
      <c r="H246" s="244"/>
      <c r="I246" s="245"/>
      <c r="J246" s="245"/>
      <c r="K246" s="245"/>
      <c r="L246" s="245"/>
      <c r="M246" s="245"/>
      <c r="N246" s="325"/>
      <c r="O246" s="41"/>
    </row>
    <row r="247" spans="2:15" x14ac:dyDescent="0.2">
      <c r="B247" s="78"/>
      <c r="C247" s="241"/>
      <c r="D247" s="242"/>
      <c r="E247" s="243"/>
      <c r="F247" s="78"/>
      <c r="G247" s="78"/>
      <c r="H247" s="244"/>
      <c r="I247" s="245"/>
      <c r="J247" s="245"/>
      <c r="K247" s="245"/>
      <c r="L247" s="245"/>
      <c r="M247" s="245"/>
      <c r="N247" s="325"/>
      <c r="O247" s="41"/>
    </row>
    <row r="248" spans="2:15" x14ac:dyDescent="0.2">
      <c r="B248" s="246"/>
      <c r="C248" s="241"/>
      <c r="D248" s="242"/>
      <c r="E248" s="243"/>
      <c r="F248" s="78"/>
      <c r="G248" s="78"/>
      <c r="H248" s="244"/>
      <c r="I248" s="245"/>
      <c r="J248" s="245"/>
      <c r="K248" s="245"/>
      <c r="L248" s="245"/>
      <c r="M248" s="245"/>
      <c r="N248" s="325"/>
    </row>
    <row r="249" spans="2:15" x14ac:dyDescent="0.2">
      <c r="B249" s="244"/>
      <c r="C249" s="247"/>
      <c r="D249" s="242"/>
      <c r="E249" s="243"/>
      <c r="F249" s="246"/>
      <c r="G249" s="246"/>
      <c r="H249" s="242"/>
      <c r="I249" s="245"/>
      <c r="J249" s="245"/>
      <c r="K249" s="245"/>
      <c r="L249" s="245"/>
      <c r="M249" s="245"/>
      <c r="N249" s="325"/>
    </row>
    <row r="250" spans="2:15" x14ac:dyDescent="0.2">
      <c r="B250" s="78"/>
      <c r="C250" s="243"/>
      <c r="D250" s="242"/>
      <c r="E250" s="243"/>
      <c r="F250" s="246"/>
      <c r="G250" s="246"/>
      <c r="H250" s="242"/>
      <c r="I250" s="245"/>
      <c r="J250" s="245"/>
      <c r="K250" s="245"/>
      <c r="L250" s="245"/>
      <c r="M250" s="245"/>
      <c r="N250" s="325"/>
    </row>
    <row r="251" spans="2:15" x14ac:dyDescent="0.2">
      <c r="B251" s="78"/>
      <c r="C251" s="241"/>
      <c r="D251" s="242"/>
      <c r="E251" s="243"/>
      <c r="F251" s="78"/>
      <c r="G251" s="78"/>
      <c r="H251" s="244"/>
      <c r="I251" s="245"/>
      <c r="J251" s="245"/>
      <c r="K251" s="245"/>
      <c r="L251" s="245"/>
      <c r="M251" s="245"/>
      <c r="N251" s="325"/>
    </row>
    <row r="252" spans="2:15" x14ac:dyDescent="0.2">
      <c r="B252" s="246"/>
      <c r="C252" s="241"/>
      <c r="D252" s="242"/>
      <c r="E252" s="243"/>
      <c r="F252" s="78"/>
      <c r="G252" s="78"/>
      <c r="H252" s="244"/>
      <c r="I252" s="245"/>
      <c r="J252" s="245"/>
      <c r="K252" s="245"/>
      <c r="L252" s="245"/>
      <c r="M252" s="245"/>
      <c r="N252" s="325"/>
    </row>
    <row r="253" spans="2:15" x14ac:dyDescent="0.2">
      <c r="B253" s="78"/>
      <c r="C253" s="241"/>
      <c r="D253" s="242"/>
      <c r="E253" s="243"/>
      <c r="F253" s="78"/>
      <c r="G253" s="78"/>
      <c r="H253" s="244"/>
      <c r="I253" s="245"/>
      <c r="J253" s="245"/>
      <c r="K253" s="245"/>
      <c r="L253" s="245"/>
      <c r="M253" s="245"/>
      <c r="N253" s="325"/>
    </row>
    <row r="254" spans="2:15" x14ac:dyDescent="0.2">
      <c r="B254" s="246"/>
      <c r="C254" s="241"/>
      <c r="D254" s="242"/>
      <c r="E254" s="243"/>
      <c r="F254" s="78"/>
      <c r="G254" s="78"/>
      <c r="H254" s="244"/>
      <c r="I254" s="245"/>
      <c r="J254" s="245"/>
      <c r="K254" s="245"/>
      <c r="L254" s="245"/>
      <c r="M254" s="245"/>
      <c r="N254" s="325"/>
    </row>
    <row r="255" spans="2:15" x14ac:dyDescent="0.2">
      <c r="B255" s="78"/>
      <c r="C255" s="241"/>
      <c r="D255" s="242"/>
      <c r="E255" s="243"/>
      <c r="F255" s="78"/>
      <c r="G255" s="78"/>
      <c r="H255" s="244"/>
      <c r="I255" s="245"/>
      <c r="J255" s="245"/>
      <c r="K255" s="245"/>
      <c r="L255" s="245"/>
      <c r="M255" s="245"/>
      <c r="N255" s="325"/>
    </row>
    <row r="256" spans="2:15" x14ac:dyDescent="0.2">
      <c r="B256" s="245"/>
      <c r="C256" s="245"/>
      <c r="D256" s="245"/>
      <c r="E256" s="245"/>
      <c r="F256" s="245"/>
      <c r="G256" s="245"/>
      <c r="H256" s="245"/>
      <c r="I256" s="245"/>
      <c r="J256" s="245"/>
      <c r="K256" s="245"/>
      <c r="L256" s="245"/>
      <c r="M256" s="245"/>
      <c r="N256" s="325"/>
    </row>
    <row r="257" spans="2:14" x14ac:dyDescent="0.2">
      <c r="B257" s="245"/>
      <c r="C257" s="245"/>
      <c r="D257" s="245"/>
      <c r="E257" s="245"/>
      <c r="F257" s="245"/>
      <c r="G257" s="245"/>
      <c r="H257" s="245"/>
      <c r="I257" s="245"/>
      <c r="J257" s="245"/>
      <c r="K257" s="245"/>
      <c r="L257" s="245"/>
      <c r="M257" s="245"/>
      <c r="N257" s="325"/>
    </row>
    <row r="258" spans="2:14" x14ac:dyDescent="0.2">
      <c r="B258" s="78"/>
      <c r="C258" s="243"/>
      <c r="D258" s="244"/>
      <c r="E258" s="243"/>
      <c r="F258" s="78"/>
      <c r="G258" s="78"/>
      <c r="H258" s="244"/>
      <c r="I258" s="245"/>
      <c r="J258" s="245"/>
      <c r="K258" s="245"/>
      <c r="L258" s="245"/>
      <c r="M258" s="245"/>
      <c r="N258" s="325"/>
    </row>
    <row r="259" spans="2:14" x14ac:dyDescent="0.2">
      <c r="B259" s="246"/>
      <c r="C259" s="243"/>
      <c r="D259" s="244"/>
      <c r="E259" s="243"/>
      <c r="F259" s="78"/>
      <c r="G259" s="78"/>
      <c r="H259" s="244"/>
      <c r="I259" s="245"/>
      <c r="J259" s="245"/>
      <c r="K259" s="245"/>
      <c r="L259" s="245"/>
      <c r="M259" s="245"/>
      <c r="N259" s="325"/>
    </row>
    <row r="260" spans="2:14" x14ac:dyDescent="0.2">
      <c r="B260" s="78"/>
      <c r="C260" s="243"/>
      <c r="D260" s="244"/>
      <c r="E260" s="243"/>
      <c r="F260" s="78"/>
      <c r="G260" s="78"/>
      <c r="H260" s="244"/>
      <c r="I260" s="245"/>
      <c r="J260" s="245"/>
      <c r="K260" s="245"/>
      <c r="L260" s="245"/>
      <c r="M260" s="245"/>
      <c r="N260" s="325"/>
    </row>
    <row r="261" spans="2:14" x14ac:dyDescent="0.2">
      <c r="B261" s="78"/>
      <c r="C261" s="243"/>
      <c r="D261" s="244"/>
      <c r="E261" s="243"/>
      <c r="F261" s="78"/>
      <c r="G261" s="78"/>
      <c r="H261" s="244"/>
      <c r="I261" s="245"/>
      <c r="J261" s="245"/>
      <c r="K261" s="245"/>
      <c r="L261" s="245"/>
      <c r="M261" s="245"/>
      <c r="N261" s="325"/>
    </row>
    <row r="262" spans="2:14" x14ac:dyDescent="0.2">
      <c r="B262" s="27"/>
      <c r="C262" s="34"/>
      <c r="D262" s="19"/>
      <c r="E262" s="34"/>
      <c r="F262" s="22"/>
      <c r="G262" s="22"/>
      <c r="H262" s="19"/>
      <c r="I262" s="41"/>
      <c r="J262" s="41"/>
      <c r="K262" s="41"/>
      <c r="L262" s="41"/>
      <c r="M262" s="41"/>
    </row>
    <row r="263" spans="2:14" x14ac:dyDescent="0.2">
      <c r="B263" s="27"/>
      <c r="C263" s="18"/>
      <c r="D263" s="48"/>
      <c r="E263" s="34"/>
      <c r="F263" s="22"/>
      <c r="G263" s="22"/>
      <c r="H263" s="19"/>
      <c r="I263" s="41"/>
      <c r="J263" s="41"/>
      <c r="K263" s="41"/>
      <c r="L263" s="41"/>
      <c r="M263" s="41"/>
    </row>
    <row r="264" spans="2:14" x14ac:dyDescent="0.2">
      <c r="B264" s="27"/>
      <c r="C264" s="18"/>
      <c r="D264" s="48"/>
      <c r="E264" s="34"/>
      <c r="F264" s="22"/>
      <c r="G264" s="22"/>
      <c r="H264" s="19"/>
      <c r="I264" s="41"/>
      <c r="J264" s="41"/>
      <c r="K264" s="41"/>
      <c r="L264" s="41"/>
      <c r="M264" s="41"/>
    </row>
    <row r="265" spans="2:14" x14ac:dyDescent="0.2">
      <c r="B265" s="31"/>
      <c r="C265" s="18"/>
      <c r="D265" s="48"/>
      <c r="E265" s="34"/>
      <c r="F265" s="22"/>
      <c r="G265" s="22"/>
      <c r="H265" s="19"/>
      <c r="I265" s="41"/>
      <c r="J265" s="41"/>
      <c r="K265" s="41"/>
      <c r="L265" s="41"/>
      <c r="M265" s="41"/>
    </row>
    <row r="266" spans="2:14" x14ac:dyDescent="0.2">
      <c r="B266" s="22"/>
      <c r="C266" s="34"/>
      <c r="D266" s="19"/>
      <c r="E266" s="34"/>
      <c r="F266" s="22"/>
      <c r="G266" s="22"/>
      <c r="H266" s="19"/>
      <c r="I266" s="41"/>
      <c r="J266" s="41"/>
      <c r="K266" s="41"/>
      <c r="L266" s="41"/>
      <c r="M266" s="41"/>
    </row>
    <row r="267" spans="2:14" x14ac:dyDescent="0.2">
      <c r="B267" s="22"/>
      <c r="C267" s="34"/>
      <c r="D267" s="19"/>
      <c r="E267" s="34"/>
      <c r="F267" s="22"/>
      <c r="G267" s="22"/>
      <c r="H267" s="19"/>
      <c r="I267" s="41"/>
      <c r="J267" s="41"/>
      <c r="K267" s="41"/>
      <c r="L267" s="41"/>
      <c r="M267" s="41"/>
    </row>
    <row r="268" spans="2:14" x14ac:dyDescent="0.2">
      <c r="B268" s="27"/>
      <c r="C268" s="18"/>
      <c r="D268" s="48"/>
      <c r="E268" s="34"/>
      <c r="F268" s="22"/>
      <c r="G268" s="22"/>
      <c r="H268" s="19"/>
      <c r="I268" s="41"/>
      <c r="J268" s="41"/>
      <c r="K268" s="41"/>
      <c r="L268" s="41"/>
      <c r="M268" s="41"/>
    </row>
    <row r="269" spans="2:14" x14ac:dyDescent="0.2">
      <c r="B269" s="36"/>
      <c r="C269" s="34"/>
      <c r="D269" s="19"/>
      <c r="E269" s="34"/>
      <c r="F269" s="22"/>
      <c r="G269" s="22"/>
      <c r="H269" s="19"/>
      <c r="I269" s="41"/>
      <c r="J269" s="41"/>
      <c r="K269" s="41"/>
      <c r="L269" s="41"/>
      <c r="M269" s="41"/>
    </row>
    <row r="270" spans="2:14" x14ac:dyDescent="0.2">
      <c r="B270" s="36"/>
      <c r="C270" s="34"/>
      <c r="D270" s="19"/>
      <c r="E270" s="34"/>
      <c r="F270" s="22"/>
      <c r="G270" s="22"/>
      <c r="H270" s="19"/>
      <c r="I270" s="41"/>
      <c r="J270" s="41"/>
      <c r="K270" s="41"/>
      <c r="L270" s="41"/>
      <c r="M270" s="41"/>
    </row>
    <row r="271" spans="2:14" x14ac:dyDescent="0.2">
      <c r="B271" s="36"/>
      <c r="C271" s="34"/>
      <c r="D271" s="19"/>
      <c r="E271" s="34"/>
      <c r="F271" s="22"/>
      <c r="G271" s="22"/>
      <c r="H271" s="19"/>
      <c r="I271" s="41"/>
      <c r="J271" s="41"/>
      <c r="K271" s="41"/>
      <c r="L271" s="41"/>
      <c r="M271" s="41"/>
    </row>
    <row r="272" spans="2:14" x14ac:dyDescent="0.2">
      <c r="B272" s="36"/>
      <c r="C272" s="34"/>
      <c r="D272" s="19"/>
      <c r="E272" s="34"/>
      <c r="F272" s="22"/>
      <c r="G272" s="22"/>
      <c r="H272" s="19"/>
      <c r="I272" s="41"/>
      <c r="J272" s="41"/>
      <c r="K272" s="41"/>
      <c r="L272" s="41"/>
      <c r="M272" s="41"/>
    </row>
    <row r="273" spans="2:13" x14ac:dyDescent="0.2">
      <c r="B273" s="22"/>
      <c r="C273" s="18"/>
      <c r="D273" s="48"/>
      <c r="E273" s="34"/>
      <c r="F273" s="22"/>
      <c r="G273" s="22"/>
      <c r="H273" s="19"/>
      <c r="I273" s="41"/>
      <c r="J273" s="41"/>
      <c r="K273" s="41"/>
      <c r="L273" s="41"/>
      <c r="M273" s="41"/>
    </row>
    <row r="274" spans="2:13" x14ac:dyDescent="0.2">
      <c r="B274" s="36"/>
      <c r="C274" s="34"/>
      <c r="D274" s="19"/>
      <c r="E274" s="34"/>
      <c r="F274" s="22"/>
      <c r="G274" s="22"/>
      <c r="H274" s="19"/>
      <c r="I274" s="41"/>
      <c r="J274" s="41"/>
      <c r="K274" s="41"/>
      <c r="L274" s="41"/>
      <c r="M274" s="41"/>
    </row>
    <row r="275" spans="2:13" x14ac:dyDescent="0.2">
      <c r="B275" s="22"/>
      <c r="C275" s="18"/>
      <c r="D275" s="19"/>
      <c r="E275" s="34"/>
      <c r="F275" s="22"/>
      <c r="G275" s="22"/>
      <c r="H275" s="19"/>
      <c r="I275" s="41"/>
      <c r="J275" s="41"/>
      <c r="K275" s="41"/>
      <c r="L275" s="41"/>
      <c r="M275" s="41"/>
    </row>
    <row r="276" spans="2:13" x14ac:dyDescent="0.2">
      <c r="B276" s="22"/>
      <c r="C276" s="18"/>
      <c r="D276" s="48"/>
      <c r="E276" s="34"/>
      <c r="F276" s="22"/>
      <c r="G276" s="22"/>
      <c r="H276" s="19"/>
      <c r="I276" s="41"/>
      <c r="J276" s="41"/>
      <c r="K276" s="41"/>
      <c r="L276" s="41"/>
      <c r="M276" s="41"/>
    </row>
    <row r="277" spans="2:13" x14ac:dyDescent="0.2">
      <c r="B277" s="22"/>
      <c r="C277" s="18"/>
      <c r="D277" s="48"/>
      <c r="E277" s="34"/>
      <c r="F277" s="22"/>
      <c r="G277" s="22"/>
      <c r="H277" s="19"/>
      <c r="I277" s="41"/>
      <c r="J277" s="41"/>
      <c r="K277" s="41"/>
      <c r="L277" s="41"/>
      <c r="M277" s="41"/>
    </row>
    <row r="278" spans="2:13" x14ac:dyDescent="0.2">
      <c r="B278" s="36"/>
      <c r="C278" s="18"/>
      <c r="D278" s="48"/>
      <c r="E278" s="34"/>
      <c r="F278" s="22"/>
      <c r="G278" s="22"/>
      <c r="H278" s="19"/>
      <c r="I278" s="41"/>
      <c r="J278" s="41"/>
      <c r="K278" s="41"/>
      <c r="L278" s="41"/>
      <c r="M278" s="41"/>
    </row>
    <row r="279" spans="2:13" x14ac:dyDescent="0.2">
      <c r="B279" s="36"/>
      <c r="C279" s="34"/>
      <c r="D279" s="19"/>
      <c r="E279" s="34"/>
      <c r="F279" s="22"/>
      <c r="G279" s="22"/>
      <c r="H279" s="19"/>
      <c r="I279" s="41"/>
      <c r="J279" s="41"/>
      <c r="K279" s="41"/>
      <c r="L279" s="41"/>
      <c r="M279" s="41"/>
    </row>
    <row r="280" spans="2:13" x14ac:dyDescent="0.2">
      <c r="B280" s="36"/>
      <c r="C280" s="18"/>
      <c r="D280" s="48"/>
      <c r="E280" s="34"/>
      <c r="F280" s="22"/>
      <c r="G280" s="22"/>
      <c r="H280" s="19"/>
      <c r="I280" s="41"/>
      <c r="J280" s="41"/>
      <c r="K280" s="41"/>
      <c r="L280" s="41"/>
      <c r="M280" s="41"/>
    </row>
    <row r="281" spans="2:13" x14ac:dyDescent="0.2">
      <c r="B281" s="31"/>
      <c r="C281" s="18"/>
      <c r="D281" s="48"/>
      <c r="E281" s="34"/>
      <c r="F281" s="22"/>
      <c r="G281" s="22"/>
      <c r="H281" s="19"/>
      <c r="I281" s="41"/>
      <c r="J281" s="41"/>
      <c r="K281" s="41"/>
      <c r="L281" s="41"/>
      <c r="M281" s="41"/>
    </row>
    <row r="282" spans="2:13" x14ac:dyDescent="0.2">
      <c r="B282" s="22"/>
      <c r="C282" s="18"/>
      <c r="D282" s="48"/>
      <c r="E282" s="34"/>
      <c r="F282" s="22"/>
      <c r="G282" s="22"/>
      <c r="H282" s="19"/>
      <c r="I282" s="41"/>
      <c r="J282" s="41"/>
      <c r="K282" s="41"/>
      <c r="L282" s="41"/>
      <c r="M282" s="41"/>
    </row>
    <row r="283" spans="2:13" x14ac:dyDescent="0.2">
      <c r="B283" s="27"/>
      <c r="C283" s="18"/>
      <c r="D283" s="48"/>
      <c r="E283" s="34"/>
      <c r="F283" s="22"/>
      <c r="G283" s="22"/>
      <c r="H283" s="19"/>
      <c r="I283" s="41"/>
      <c r="J283" s="41"/>
      <c r="K283" s="41"/>
      <c r="L283" s="41"/>
      <c r="M283" s="41"/>
    </row>
    <row r="284" spans="2:13" x14ac:dyDescent="0.2">
      <c r="B284" s="36"/>
      <c r="C284" s="35"/>
      <c r="D284" s="48"/>
      <c r="E284" s="34"/>
      <c r="F284" s="27"/>
      <c r="G284" s="27"/>
      <c r="H284" s="28"/>
      <c r="I284" s="41"/>
      <c r="J284" s="41"/>
      <c r="K284" s="41"/>
      <c r="L284" s="41"/>
      <c r="M284" s="41"/>
    </row>
    <row r="285" spans="2:13" x14ac:dyDescent="0.2">
      <c r="B285" s="31"/>
      <c r="C285" s="35"/>
      <c r="D285" s="48"/>
      <c r="E285" s="34"/>
      <c r="F285" s="27"/>
      <c r="G285" s="27"/>
      <c r="H285" s="28"/>
      <c r="I285" s="41"/>
      <c r="J285" s="41"/>
      <c r="K285" s="41"/>
      <c r="L285" s="41"/>
      <c r="M285" s="41"/>
    </row>
    <row r="286" spans="2:13" x14ac:dyDescent="0.2">
      <c r="B286" s="36"/>
      <c r="C286" s="35"/>
      <c r="D286" s="48"/>
      <c r="E286" s="34"/>
      <c r="F286" s="27"/>
      <c r="G286" s="27"/>
      <c r="H286" s="28"/>
      <c r="I286" s="41"/>
      <c r="J286" s="41"/>
      <c r="K286" s="41"/>
      <c r="L286" s="41"/>
      <c r="M286" s="41"/>
    </row>
    <row r="287" spans="2:13" x14ac:dyDescent="0.2">
      <c r="B287" s="36"/>
      <c r="C287" s="18"/>
      <c r="D287" s="48"/>
      <c r="E287" s="34"/>
      <c r="F287" s="22"/>
      <c r="G287" s="22"/>
      <c r="H287" s="19"/>
      <c r="I287" s="41"/>
      <c r="J287" s="41"/>
      <c r="K287" s="41"/>
      <c r="L287" s="41"/>
      <c r="M287" s="41"/>
    </row>
    <row r="288" spans="2:13" x14ac:dyDescent="0.2">
      <c r="B288" s="28"/>
      <c r="C288" s="35"/>
      <c r="D288" s="48"/>
      <c r="E288" s="34"/>
      <c r="F288" s="27"/>
      <c r="G288" s="27"/>
      <c r="H288" s="28"/>
      <c r="I288" s="41"/>
      <c r="J288" s="41"/>
      <c r="K288" s="41"/>
      <c r="L288" s="41"/>
      <c r="M288" s="41"/>
    </row>
    <row r="289" spans="2:13" x14ac:dyDescent="0.2">
      <c r="B289" s="37"/>
      <c r="C289" s="35"/>
      <c r="D289" s="48"/>
      <c r="E289" s="34"/>
      <c r="F289" s="27"/>
      <c r="G289" s="27"/>
      <c r="H289" s="28"/>
      <c r="I289" s="41"/>
      <c r="J289" s="41"/>
      <c r="K289" s="41"/>
      <c r="L289" s="41"/>
      <c r="M289" s="41"/>
    </row>
    <row r="290" spans="2:13" x14ac:dyDescent="0.2">
      <c r="B290" s="22"/>
      <c r="C290" s="18"/>
      <c r="D290" s="48"/>
      <c r="E290" s="34"/>
      <c r="F290" s="22"/>
      <c r="G290" s="22"/>
      <c r="H290" s="19"/>
      <c r="I290" s="41"/>
      <c r="J290" s="41"/>
      <c r="K290" s="41"/>
      <c r="L290" s="41"/>
      <c r="M290" s="41"/>
    </row>
    <row r="291" spans="2:13" x14ac:dyDescent="0.2">
      <c r="B291" s="22"/>
      <c r="C291" s="18"/>
      <c r="D291" s="48"/>
      <c r="E291" s="34"/>
      <c r="F291" s="22"/>
      <c r="G291" s="22"/>
      <c r="H291" s="19"/>
      <c r="I291" s="41"/>
      <c r="J291" s="41"/>
      <c r="K291" s="41"/>
      <c r="L291" s="41"/>
      <c r="M291" s="41"/>
    </row>
    <row r="292" spans="2:13" x14ac:dyDescent="0.2">
      <c r="B292" s="27"/>
      <c r="C292" s="18"/>
      <c r="D292" s="48"/>
      <c r="E292" s="34"/>
      <c r="F292" s="22"/>
      <c r="G292" s="22"/>
      <c r="H292" s="19"/>
      <c r="I292" s="41"/>
      <c r="J292" s="41"/>
      <c r="K292" s="41"/>
      <c r="L292" s="41"/>
      <c r="M292" s="41"/>
    </row>
    <row r="293" spans="2:13" x14ac:dyDescent="0.2">
      <c r="B293" s="22"/>
      <c r="C293" s="18"/>
      <c r="D293" s="19"/>
      <c r="E293" s="34"/>
      <c r="F293" s="22"/>
      <c r="G293" s="22"/>
      <c r="H293" s="19"/>
      <c r="I293" s="41"/>
      <c r="J293" s="41"/>
      <c r="K293" s="41"/>
      <c r="L293" s="41"/>
      <c r="M293" s="41"/>
    </row>
    <row r="294" spans="2:13" x14ac:dyDescent="0.2">
      <c r="B294" s="31"/>
      <c r="C294" s="18"/>
      <c r="D294" s="48"/>
      <c r="E294" s="34"/>
      <c r="F294" s="22"/>
      <c r="G294" s="22"/>
      <c r="H294" s="19"/>
      <c r="I294" s="41"/>
      <c r="J294" s="41"/>
      <c r="K294" s="41"/>
      <c r="L294" s="41"/>
      <c r="M294" s="41"/>
    </row>
    <row r="295" spans="2:13" x14ac:dyDescent="0.2">
      <c r="B295" s="36"/>
      <c r="C295" s="34"/>
      <c r="D295" s="19"/>
      <c r="E295" s="34"/>
      <c r="F295" s="22"/>
      <c r="G295" s="22"/>
      <c r="H295" s="19"/>
      <c r="I295" s="41"/>
      <c r="J295" s="41"/>
      <c r="K295" s="41"/>
      <c r="L295" s="41"/>
      <c r="M295" s="41"/>
    </row>
    <row r="296" spans="2:13" x14ac:dyDescent="0.2">
      <c r="B296" s="36"/>
      <c r="C296" s="18"/>
      <c r="D296" s="48"/>
      <c r="E296" s="34"/>
      <c r="F296" s="22"/>
      <c r="G296" s="22"/>
      <c r="H296" s="19"/>
      <c r="I296" s="41"/>
      <c r="J296" s="41"/>
      <c r="K296" s="41"/>
      <c r="L296" s="41"/>
      <c r="M296" s="41"/>
    </row>
    <row r="297" spans="2:13" x14ac:dyDescent="0.2">
      <c r="B297" s="31"/>
      <c r="C297" s="18"/>
      <c r="D297" s="48"/>
      <c r="E297" s="34"/>
      <c r="F297" s="22"/>
      <c r="G297" s="22"/>
      <c r="H297" s="19"/>
      <c r="I297" s="41"/>
      <c r="J297" s="41"/>
      <c r="K297" s="41"/>
      <c r="L297" s="41"/>
      <c r="M297" s="41"/>
    </row>
    <row r="298" spans="2:13" x14ac:dyDescent="0.2">
      <c r="B298" s="31"/>
      <c r="C298" s="35"/>
      <c r="D298" s="48"/>
      <c r="E298" s="34"/>
      <c r="F298" s="27"/>
      <c r="G298" s="27"/>
      <c r="H298" s="28"/>
      <c r="I298" s="41"/>
      <c r="J298" s="41"/>
      <c r="K298" s="41"/>
      <c r="L298" s="41"/>
      <c r="M298" s="41"/>
    </row>
    <row r="299" spans="2:13" x14ac:dyDescent="0.2">
      <c r="B299" s="22"/>
      <c r="C299" s="34"/>
      <c r="D299" s="19"/>
      <c r="E299" s="34"/>
      <c r="F299" s="22"/>
      <c r="G299" s="22"/>
      <c r="H299" s="19"/>
      <c r="I299" s="41"/>
      <c r="J299" s="41"/>
      <c r="K299" s="41"/>
      <c r="L299" s="41"/>
      <c r="M299" s="41"/>
    </row>
    <row r="300" spans="2:13" x14ac:dyDescent="0.2">
      <c r="B300" s="31"/>
      <c r="C300" s="18"/>
      <c r="D300" s="48"/>
      <c r="E300" s="34"/>
      <c r="F300" s="22"/>
      <c r="G300" s="22"/>
      <c r="H300" s="19"/>
      <c r="I300" s="41"/>
      <c r="J300" s="41"/>
      <c r="K300" s="41"/>
      <c r="L300" s="41"/>
      <c r="M300" s="41"/>
    </row>
    <row r="301" spans="2:13" x14ac:dyDescent="0.2">
      <c r="B301" s="36"/>
      <c r="C301" s="18"/>
      <c r="D301" s="48"/>
      <c r="E301" s="34"/>
      <c r="F301" s="22"/>
      <c r="G301" s="22"/>
      <c r="H301" s="19"/>
      <c r="I301" s="41"/>
      <c r="J301" s="41"/>
      <c r="K301" s="41"/>
      <c r="L301" s="41"/>
      <c r="M301" s="41"/>
    </row>
    <row r="302" spans="2:13" x14ac:dyDescent="0.2">
      <c r="B302" s="36"/>
      <c r="C302" s="18"/>
      <c r="D302" s="48"/>
      <c r="E302" s="34"/>
      <c r="F302" s="22"/>
      <c r="G302" s="22"/>
      <c r="H302" s="19"/>
      <c r="I302" s="41"/>
      <c r="J302" s="41"/>
      <c r="K302" s="41"/>
      <c r="L302" s="41"/>
      <c r="M302" s="41"/>
    </row>
    <row r="303" spans="2:13" x14ac:dyDescent="0.2">
      <c r="B303" s="36"/>
      <c r="C303" s="18"/>
      <c r="D303" s="48"/>
      <c r="E303" s="34"/>
      <c r="F303" s="22"/>
      <c r="G303" s="22"/>
      <c r="H303" s="19"/>
      <c r="I303" s="41"/>
      <c r="J303" s="41"/>
      <c r="K303" s="41"/>
      <c r="L303" s="41"/>
      <c r="M303" s="41"/>
    </row>
    <row r="304" spans="2:13" x14ac:dyDescent="0.2">
      <c r="B304" s="36"/>
      <c r="C304" s="18"/>
      <c r="D304" s="48"/>
      <c r="E304" s="34"/>
      <c r="F304" s="22"/>
      <c r="G304" s="22"/>
      <c r="H304" s="19"/>
      <c r="I304" s="41"/>
      <c r="J304" s="41"/>
      <c r="K304" s="41"/>
      <c r="L304" s="41"/>
      <c r="M304" s="41"/>
    </row>
    <row r="305" spans="2:13" x14ac:dyDescent="0.2">
      <c r="B305" s="36"/>
      <c r="C305" s="18"/>
      <c r="D305" s="48"/>
      <c r="E305" s="34"/>
      <c r="F305" s="22"/>
      <c r="G305" s="22"/>
      <c r="H305" s="19"/>
      <c r="I305" s="41"/>
      <c r="J305" s="41"/>
      <c r="K305" s="41"/>
      <c r="L305" s="41"/>
      <c r="M305" s="41"/>
    </row>
    <row r="306" spans="2:13" x14ac:dyDescent="0.2">
      <c r="B306" s="36"/>
      <c r="C306" s="18"/>
      <c r="D306" s="48"/>
      <c r="E306" s="34"/>
      <c r="F306" s="22"/>
      <c r="G306" s="22"/>
      <c r="H306" s="19"/>
      <c r="I306" s="41"/>
      <c r="J306" s="41"/>
      <c r="K306" s="41"/>
      <c r="L306" s="41"/>
      <c r="M306" s="41"/>
    </row>
    <row r="307" spans="2:13" x14ac:dyDescent="0.2">
      <c r="B307" s="27"/>
      <c r="C307" s="18"/>
      <c r="D307" s="48"/>
      <c r="E307" s="34"/>
      <c r="F307" s="22"/>
      <c r="G307" s="22"/>
      <c r="H307" s="19"/>
      <c r="I307" s="41"/>
      <c r="J307" s="41"/>
      <c r="K307" s="41"/>
      <c r="L307" s="41"/>
      <c r="M307" s="41"/>
    </row>
    <row r="308" spans="2:13" x14ac:dyDescent="0.2">
      <c r="B308" s="22"/>
      <c r="C308" s="18"/>
      <c r="D308" s="48"/>
      <c r="E308" s="34"/>
      <c r="F308" s="22"/>
      <c r="G308" s="22"/>
      <c r="H308" s="19"/>
      <c r="I308" s="41"/>
      <c r="J308" s="41"/>
      <c r="K308" s="41"/>
      <c r="L308" s="41"/>
      <c r="M308" s="41"/>
    </row>
    <row r="309" spans="2:13" x14ac:dyDescent="0.2">
      <c r="B309" s="36"/>
      <c r="C309" s="34"/>
      <c r="D309" s="19"/>
      <c r="E309" s="34"/>
      <c r="F309" s="22"/>
      <c r="G309" s="22"/>
      <c r="H309" s="19"/>
      <c r="I309" s="41"/>
      <c r="J309" s="41"/>
      <c r="K309" s="41"/>
      <c r="L309" s="41"/>
      <c r="M309" s="41"/>
    </row>
    <row r="310" spans="2:13" x14ac:dyDescent="0.2">
      <c r="B310" s="27"/>
      <c r="C310" s="34"/>
      <c r="D310" s="19"/>
      <c r="E310" s="34"/>
      <c r="F310" s="22"/>
      <c r="G310" s="22"/>
      <c r="H310" s="19"/>
      <c r="I310" s="41"/>
      <c r="J310" s="41"/>
      <c r="K310" s="41"/>
      <c r="L310" s="41"/>
      <c r="M310" s="41"/>
    </row>
    <row r="311" spans="2:13" x14ac:dyDescent="0.2">
      <c r="B311" s="27"/>
      <c r="C311" s="18"/>
      <c r="D311" s="48"/>
      <c r="E311" s="34"/>
      <c r="F311" s="22"/>
      <c r="G311" s="22"/>
      <c r="H311" s="19"/>
      <c r="I311" s="41"/>
      <c r="J311" s="41"/>
      <c r="K311" s="41"/>
      <c r="L311" s="41"/>
      <c r="M311" s="41"/>
    </row>
    <row r="312" spans="2:13" x14ac:dyDescent="0.2">
      <c r="B312" s="22"/>
      <c r="C312" s="18"/>
      <c r="D312" s="48"/>
      <c r="E312" s="34"/>
      <c r="F312" s="22"/>
      <c r="G312" s="22"/>
      <c r="H312" s="19"/>
      <c r="I312" s="41"/>
      <c r="J312" s="41"/>
      <c r="K312" s="41"/>
      <c r="L312" s="41"/>
      <c r="M312" s="41"/>
    </row>
    <row r="313" spans="2:13" x14ac:dyDescent="0.2">
      <c r="B313" s="36"/>
      <c r="C313" s="18"/>
      <c r="D313" s="48"/>
      <c r="E313" s="34"/>
      <c r="F313" s="22"/>
      <c r="G313" s="22"/>
      <c r="H313" s="19"/>
      <c r="I313" s="41"/>
      <c r="J313" s="41"/>
      <c r="K313" s="41"/>
      <c r="L313" s="41"/>
      <c r="M313" s="41"/>
    </row>
    <row r="314" spans="2:13" x14ac:dyDescent="0.2">
      <c r="B314" s="27"/>
      <c r="C314" s="18"/>
      <c r="D314" s="48"/>
      <c r="E314" s="34"/>
      <c r="F314" s="22"/>
      <c r="G314" s="22"/>
      <c r="H314" s="19"/>
      <c r="I314" s="41"/>
      <c r="J314" s="41"/>
      <c r="K314" s="41"/>
      <c r="L314" s="41"/>
      <c r="M314" s="41"/>
    </row>
    <row r="315" spans="2:13" x14ac:dyDescent="0.2">
      <c r="B315" s="27"/>
      <c r="C315" s="18"/>
      <c r="D315" s="48"/>
      <c r="E315" s="34"/>
      <c r="F315" s="22"/>
      <c r="G315" s="22"/>
      <c r="H315" s="19"/>
      <c r="I315" s="41"/>
      <c r="J315" s="41"/>
      <c r="K315" s="41"/>
      <c r="L315" s="41"/>
      <c r="M315" s="41"/>
    </row>
    <row r="316" spans="2:13" x14ac:dyDescent="0.2">
      <c r="B316" s="22"/>
      <c r="C316" s="18"/>
      <c r="D316" s="48"/>
      <c r="E316" s="34"/>
      <c r="F316" s="22"/>
      <c r="G316" s="22"/>
      <c r="H316" s="19"/>
      <c r="I316" s="41"/>
      <c r="J316" s="41"/>
      <c r="K316" s="41"/>
      <c r="L316" s="41"/>
      <c r="M316" s="41"/>
    </row>
    <row r="317" spans="2:13" x14ac:dyDescent="0.2">
      <c r="B317" s="22"/>
      <c r="C317" s="18"/>
      <c r="D317" s="48"/>
      <c r="E317" s="34"/>
      <c r="F317" s="22"/>
      <c r="G317" s="22"/>
      <c r="H317" s="19"/>
      <c r="I317" s="41"/>
      <c r="J317" s="41"/>
      <c r="K317" s="41"/>
      <c r="L317" s="41"/>
      <c r="M317" s="41"/>
    </row>
    <row r="318" spans="2:13" x14ac:dyDescent="0.2">
      <c r="B318" s="22"/>
      <c r="C318" s="18"/>
      <c r="D318" s="48"/>
      <c r="E318" s="34"/>
      <c r="F318" s="22"/>
      <c r="G318" s="22"/>
      <c r="H318" s="19"/>
      <c r="I318" s="41"/>
      <c r="J318" s="41"/>
      <c r="K318" s="41"/>
      <c r="L318" s="41"/>
      <c r="M318" s="41"/>
    </row>
    <row r="319" spans="2:13" x14ac:dyDescent="0.2">
      <c r="B319" s="27"/>
      <c r="C319" s="18"/>
      <c r="D319" s="48"/>
      <c r="E319" s="34"/>
      <c r="F319" s="22"/>
      <c r="G319" s="22"/>
      <c r="H319" s="19"/>
      <c r="I319" s="41"/>
      <c r="J319" s="41"/>
      <c r="K319" s="41"/>
      <c r="L319" s="41"/>
      <c r="M319" s="41"/>
    </row>
    <row r="320" spans="2:13" x14ac:dyDescent="0.2">
      <c r="B320" s="28"/>
      <c r="C320" s="35"/>
      <c r="D320" s="28"/>
      <c r="E320" s="34"/>
      <c r="F320" s="27"/>
      <c r="G320" s="27"/>
      <c r="H320" s="28"/>
      <c r="I320" s="41"/>
      <c r="J320" s="41"/>
      <c r="K320" s="41"/>
      <c r="L320" s="41"/>
      <c r="M320" s="41"/>
    </row>
    <row r="321" spans="2:13" x14ac:dyDescent="0.2">
      <c r="B321" s="22"/>
      <c r="C321" s="18"/>
      <c r="D321" s="19"/>
      <c r="E321" s="34"/>
      <c r="F321" s="22"/>
      <c r="G321" s="22"/>
      <c r="H321" s="19"/>
      <c r="I321" s="41"/>
      <c r="J321" s="41"/>
      <c r="K321" s="41"/>
      <c r="L321" s="41"/>
      <c r="M321" s="41"/>
    </row>
    <row r="322" spans="2:13" x14ac:dyDescent="0.2">
      <c r="B322" s="22"/>
      <c r="C322" s="18"/>
      <c r="D322" s="19"/>
      <c r="E322" s="34"/>
      <c r="F322" s="22"/>
      <c r="G322" s="22"/>
      <c r="H322" s="19"/>
      <c r="I322" s="41"/>
      <c r="J322" s="41"/>
      <c r="K322" s="41"/>
      <c r="L322" s="41"/>
      <c r="M322" s="41"/>
    </row>
    <row r="323" spans="2:13" x14ac:dyDescent="0.2">
      <c r="B323" s="22"/>
      <c r="C323" s="18"/>
      <c r="D323" s="48"/>
      <c r="E323" s="34"/>
      <c r="F323" s="22"/>
      <c r="G323" s="22"/>
      <c r="H323" s="19"/>
      <c r="I323" s="41"/>
      <c r="J323" s="41"/>
      <c r="K323" s="41"/>
      <c r="L323" s="41"/>
      <c r="M323" s="41"/>
    </row>
    <row r="324" spans="2:13" x14ac:dyDescent="0.2">
      <c r="B324" s="36"/>
      <c r="C324" s="18"/>
      <c r="D324" s="48"/>
      <c r="E324" s="34"/>
      <c r="F324" s="22"/>
      <c r="G324" s="22"/>
      <c r="H324" s="19"/>
      <c r="I324" s="41"/>
      <c r="J324" s="41"/>
      <c r="K324" s="41"/>
      <c r="L324" s="41"/>
      <c r="M324" s="41"/>
    </row>
    <row r="325" spans="2:13" x14ac:dyDescent="0.2">
      <c r="B325" s="22"/>
      <c r="C325" s="18"/>
      <c r="D325" s="48"/>
      <c r="E325" s="34"/>
      <c r="F325" s="22"/>
      <c r="G325" s="22"/>
      <c r="H325" s="19"/>
      <c r="I325" s="41"/>
      <c r="J325" s="41"/>
      <c r="K325" s="41"/>
      <c r="L325" s="41"/>
      <c r="M325" s="41"/>
    </row>
    <row r="326" spans="2:13" x14ac:dyDescent="0.2">
      <c r="B326" s="36"/>
      <c r="C326" s="18"/>
      <c r="D326" s="48"/>
      <c r="E326" s="34"/>
      <c r="F326" s="22"/>
      <c r="G326" s="22"/>
      <c r="H326" s="19"/>
      <c r="I326" s="41"/>
      <c r="J326" s="41"/>
      <c r="K326" s="41"/>
      <c r="L326" s="41"/>
      <c r="M326" s="41"/>
    </row>
    <row r="327" spans="2:13" x14ac:dyDescent="0.2">
      <c r="B327" s="36"/>
      <c r="C327" s="18"/>
      <c r="D327" s="48"/>
      <c r="E327" s="34"/>
      <c r="F327" s="22"/>
      <c r="G327" s="22"/>
      <c r="H327" s="19"/>
      <c r="I327" s="41"/>
      <c r="J327" s="41"/>
      <c r="K327" s="41"/>
      <c r="L327" s="41"/>
      <c r="M327" s="41"/>
    </row>
    <row r="328" spans="2:13" x14ac:dyDescent="0.2">
      <c r="B328" s="31"/>
      <c r="C328" s="18"/>
      <c r="D328" s="48"/>
      <c r="E328" s="34"/>
      <c r="F328" s="22"/>
      <c r="G328" s="22"/>
      <c r="H328" s="19"/>
      <c r="I328" s="41"/>
      <c r="J328" s="41"/>
      <c r="K328" s="41"/>
      <c r="L328" s="41"/>
      <c r="M328" s="41"/>
    </row>
    <row r="329" spans="2:13" x14ac:dyDescent="0.2">
      <c r="B329" s="36"/>
      <c r="C329" s="34"/>
      <c r="D329" s="19"/>
      <c r="E329" s="34"/>
      <c r="F329" s="22"/>
      <c r="G329" s="22"/>
      <c r="H329" s="19"/>
      <c r="I329" s="41"/>
      <c r="J329" s="41"/>
      <c r="K329" s="41"/>
      <c r="L329" s="41"/>
      <c r="M329" s="41"/>
    </row>
    <row r="330" spans="2:13" x14ac:dyDescent="0.2">
      <c r="B330" s="22"/>
      <c r="C330" s="18"/>
      <c r="D330" s="48"/>
      <c r="E330" s="34"/>
      <c r="F330" s="22"/>
      <c r="G330" s="22"/>
      <c r="H330" s="19"/>
      <c r="I330" s="41"/>
      <c r="J330" s="41"/>
      <c r="K330" s="41"/>
      <c r="L330" s="41"/>
      <c r="M330" s="41"/>
    </row>
    <row r="331" spans="2:13" x14ac:dyDescent="0.2">
      <c r="B331" s="22"/>
      <c r="C331" s="18"/>
      <c r="D331" s="48"/>
      <c r="E331" s="34"/>
      <c r="F331" s="22"/>
      <c r="G331" s="22"/>
      <c r="H331" s="19"/>
      <c r="I331" s="41"/>
      <c r="J331" s="41"/>
      <c r="K331" s="41"/>
      <c r="L331" s="41"/>
      <c r="M331" s="41"/>
    </row>
    <row r="332" spans="2:13" x14ac:dyDescent="0.2">
      <c r="B332" s="22"/>
      <c r="C332" s="18"/>
      <c r="D332" s="48"/>
      <c r="E332" s="34"/>
      <c r="F332" s="22"/>
      <c r="G332" s="22"/>
      <c r="H332" s="19"/>
      <c r="I332" s="41"/>
      <c r="J332" s="41"/>
      <c r="K332" s="41"/>
      <c r="L332" s="41"/>
      <c r="M332" s="41"/>
    </row>
    <row r="333" spans="2:13" x14ac:dyDescent="0.2">
      <c r="B333" s="27"/>
      <c r="C333" s="18"/>
      <c r="D333" s="48"/>
      <c r="E333" s="34"/>
      <c r="F333" s="22"/>
      <c r="G333" s="22"/>
      <c r="H333" s="19"/>
      <c r="I333" s="41"/>
      <c r="J333" s="41"/>
      <c r="K333" s="41"/>
      <c r="L333" s="41"/>
      <c r="M333" s="41"/>
    </row>
    <row r="334" spans="2:13" x14ac:dyDescent="0.2">
      <c r="B334" s="22"/>
      <c r="C334" s="18"/>
      <c r="D334" s="48"/>
      <c r="E334" s="34"/>
      <c r="F334" s="22"/>
      <c r="G334" s="22"/>
      <c r="H334" s="19"/>
      <c r="I334" s="41"/>
      <c r="J334" s="41"/>
      <c r="K334" s="41"/>
      <c r="L334" s="41"/>
      <c r="M334" s="41"/>
    </row>
    <row r="335" spans="2:13" x14ac:dyDescent="0.2">
      <c r="B335" s="27"/>
      <c r="C335" s="18"/>
      <c r="D335" s="48"/>
      <c r="E335" s="34"/>
      <c r="F335" s="22"/>
      <c r="G335" s="22"/>
      <c r="H335" s="19"/>
      <c r="I335" s="41"/>
      <c r="J335" s="41"/>
      <c r="K335" s="41"/>
      <c r="L335" s="41"/>
      <c r="M335" s="41"/>
    </row>
    <row r="336" spans="2:13" x14ac:dyDescent="0.2">
      <c r="B336" s="27"/>
      <c r="C336" s="18"/>
      <c r="D336" s="48"/>
      <c r="E336" s="34"/>
      <c r="F336" s="22"/>
      <c r="G336" s="22"/>
      <c r="H336" s="19"/>
      <c r="I336" s="41"/>
      <c r="J336" s="41"/>
      <c r="K336" s="41"/>
      <c r="L336" s="41"/>
      <c r="M336" s="41"/>
    </row>
    <row r="337" spans="2:13" x14ac:dyDescent="0.2">
      <c r="B337" s="22"/>
      <c r="C337" s="18"/>
      <c r="D337" s="48"/>
      <c r="E337" s="34"/>
      <c r="F337" s="22"/>
      <c r="G337" s="22"/>
      <c r="H337" s="19"/>
      <c r="I337" s="41"/>
      <c r="J337" s="41"/>
      <c r="K337" s="41"/>
      <c r="L337" s="41"/>
      <c r="M337" s="41"/>
    </row>
    <row r="338" spans="2:13" x14ac:dyDescent="0.2">
      <c r="B338" s="22"/>
      <c r="C338" s="18"/>
      <c r="D338" s="48"/>
      <c r="E338" s="34"/>
      <c r="F338" s="22"/>
      <c r="G338" s="22"/>
      <c r="H338" s="19"/>
      <c r="I338" s="41"/>
      <c r="J338" s="41"/>
      <c r="K338" s="41"/>
      <c r="L338" s="41"/>
      <c r="M338" s="41"/>
    </row>
    <row r="339" spans="2:13" x14ac:dyDescent="0.2">
      <c r="B339" s="22"/>
      <c r="C339" s="18"/>
      <c r="D339" s="48"/>
      <c r="E339" s="34"/>
      <c r="F339" s="22"/>
      <c r="G339" s="22"/>
      <c r="H339" s="19"/>
      <c r="I339" s="41"/>
      <c r="J339" s="41"/>
      <c r="K339" s="41"/>
      <c r="L339" s="41"/>
      <c r="M339" s="41"/>
    </row>
    <row r="340" spans="2:13" x14ac:dyDescent="0.2">
      <c r="B340" s="22"/>
      <c r="C340" s="34"/>
      <c r="D340" s="19"/>
      <c r="E340" s="34"/>
      <c r="F340" s="22"/>
      <c r="G340" s="22"/>
      <c r="H340" s="19"/>
      <c r="I340" s="41"/>
      <c r="J340" s="41"/>
      <c r="K340" s="41"/>
      <c r="L340" s="41"/>
      <c r="M340" s="41"/>
    </row>
    <row r="341" spans="2:13" x14ac:dyDescent="0.2">
      <c r="B341" s="27"/>
      <c r="C341" s="34"/>
      <c r="D341" s="19"/>
      <c r="E341" s="34"/>
      <c r="F341" s="22"/>
      <c r="G341" s="22"/>
      <c r="H341" s="19"/>
      <c r="I341" s="41"/>
      <c r="J341" s="41"/>
      <c r="K341" s="41"/>
      <c r="L341" s="41"/>
      <c r="M341" s="41"/>
    </row>
    <row r="342" spans="2:13" x14ac:dyDescent="0.2">
      <c r="B342" s="22"/>
      <c r="C342" s="18"/>
      <c r="D342" s="48"/>
      <c r="E342" s="34"/>
      <c r="F342" s="22"/>
      <c r="G342" s="22"/>
      <c r="H342" s="19"/>
      <c r="I342" s="41"/>
      <c r="J342" s="41"/>
      <c r="K342" s="41"/>
      <c r="L342" s="41"/>
      <c r="M342" s="41"/>
    </row>
    <row r="343" spans="2:13" x14ac:dyDescent="0.2">
      <c r="B343" s="22"/>
      <c r="C343" s="18"/>
      <c r="D343" s="48"/>
      <c r="E343" s="34"/>
      <c r="F343" s="22"/>
      <c r="G343" s="22"/>
      <c r="H343" s="19"/>
      <c r="I343" s="41"/>
      <c r="J343" s="41"/>
      <c r="K343" s="41"/>
      <c r="L343" s="41"/>
      <c r="M343" s="41"/>
    </row>
    <row r="344" spans="2:13" x14ac:dyDescent="0.2">
      <c r="B344" s="22"/>
      <c r="C344" s="18"/>
      <c r="D344" s="48"/>
      <c r="E344" s="34"/>
      <c r="F344" s="22"/>
      <c r="G344" s="22"/>
      <c r="H344" s="19"/>
      <c r="I344" s="41"/>
      <c r="J344" s="41"/>
      <c r="K344" s="41"/>
      <c r="L344" s="41"/>
      <c r="M344" s="41"/>
    </row>
    <row r="345" spans="2:13" x14ac:dyDescent="0.2">
      <c r="B345" s="36"/>
      <c r="C345" s="18"/>
      <c r="D345" s="48"/>
      <c r="E345" s="34"/>
      <c r="F345" s="22"/>
      <c r="G345" s="22"/>
      <c r="H345" s="19"/>
      <c r="I345" s="41"/>
      <c r="J345" s="41"/>
      <c r="K345" s="41"/>
      <c r="L345" s="41"/>
      <c r="M345" s="41"/>
    </row>
    <row r="346" spans="2:13" x14ac:dyDescent="0.2">
      <c r="B346" s="31"/>
      <c r="C346" s="18"/>
      <c r="D346" s="48"/>
      <c r="E346" s="34"/>
      <c r="F346" s="22"/>
      <c r="G346" s="22"/>
      <c r="H346" s="19"/>
      <c r="I346" s="41"/>
      <c r="J346" s="41"/>
      <c r="K346" s="41"/>
      <c r="L346" s="41"/>
      <c r="M346" s="41"/>
    </row>
    <row r="347" spans="2:13" x14ac:dyDescent="0.2">
      <c r="B347" s="31"/>
      <c r="C347" s="18"/>
      <c r="D347" s="48"/>
      <c r="E347" s="34"/>
      <c r="F347" s="22"/>
      <c r="G347" s="22"/>
      <c r="H347" s="19"/>
      <c r="I347" s="41"/>
      <c r="J347" s="41"/>
      <c r="K347" s="41"/>
      <c r="L347" s="41"/>
      <c r="M347" s="41"/>
    </row>
    <row r="348" spans="2:13" x14ac:dyDescent="0.2">
      <c r="B348" s="36"/>
      <c r="C348" s="18"/>
      <c r="D348" s="48"/>
      <c r="E348" s="34"/>
      <c r="F348" s="22"/>
      <c r="G348" s="22"/>
      <c r="H348" s="19"/>
      <c r="I348" s="41"/>
      <c r="J348" s="41"/>
      <c r="K348" s="41"/>
      <c r="L348" s="41"/>
      <c r="M348" s="41"/>
    </row>
    <row r="349" spans="2:13" x14ac:dyDescent="0.2">
      <c r="B349" s="27"/>
      <c r="C349" s="18"/>
      <c r="D349" s="48"/>
      <c r="E349" s="34"/>
      <c r="F349" s="22"/>
      <c r="G349" s="22"/>
      <c r="H349" s="19"/>
      <c r="I349" s="41"/>
      <c r="J349" s="41"/>
      <c r="K349" s="41"/>
      <c r="L349" s="41"/>
      <c r="M349" s="41"/>
    </row>
    <row r="350" spans="2:13" x14ac:dyDescent="0.2">
      <c r="B350" s="22"/>
      <c r="C350" s="18"/>
      <c r="D350" s="19"/>
      <c r="E350" s="34"/>
      <c r="F350" s="22"/>
      <c r="G350" s="22"/>
      <c r="H350" s="19"/>
      <c r="I350" s="41"/>
      <c r="J350" s="41"/>
      <c r="K350" s="41"/>
      <c r="L350" s="41"/>
      <c r="M350" s="41"/>
    </row>
    <row r="351" spans="2:13" x14ac:dyDescent="0.2">
      <c r="B351" s="27"/>
      <c r="C351" s="18"/>
      <c r="D351" s="48"/>
      <c r="E351" s="34"/>
      <c r="F351" s="22"/>
      <c r="G351" s="22"/>
      <c r="H351" s="19"/>
      <c r="I351" s="41"/>
      <c r="J351" s="41"/>
      <c r="K351" s="41"/>
      <c r="L351" s="41"/>
      <c r="M351" s="41"/>
    </row>
    <row r="352" spans="2:13" x14ac:dyDescent="0.2">
      <c r="B352" s="22"/>
      <c r="C352" s="18"/>
      <c r="D352" s="48"/>
      <c r="E352" s="34"/>
      <c r="F352" s="22"/>
      <c r="G352" s="22"/>
      <c r="H352" s="19"/>
      <c r="I352" s="41"/>
      <c r="J352" s="41"/>
      <c r="K352" s="41"/>
      <c r="L352" s="41"/>
      <c r="M352" s="41"/>
    </row>
    <row r="353" spans="2:13" x14ac:dyDescent="0.2">
      <c r="B353" s="27"/>
      <c r="C353" s="18"/>
      <c r="D353" s="48"/>
      <c r="E353" s="34"/>
      <c r="F353" s="22"/>
      <c r="G353" s="22"/>
      <c r="H353" s="19"/>
      <c r="I353" s="41"/>
      <c r="J353" s="41"/>
      <c r="K353" s="41"/>
      <c r="L353" s="41"/>
      <c r="M353" s="41"/>
    </row>
    <row r="354" spans="2:13" x14ac:dyDescent="0.2">
      <c r="B354" s="27"/>
      <c r="C354" s="18"/>
      <c r="D354" s="48"/>
      <c r="E354" s="34"/>
      <c r="F354" s="22"/>
      <c r="G354" s="22"/>
      <c r="H354" s="19"/>
      <c r="I354" s="41"/>
      <c r="J354" s="41"/>
      <c r="K354" s="41"/>
      <c r="L354" s="41"/>
      <c r="M354" s="41"/>
    </row>
    <row r="355" spans="2:13" x14ac:dyDescent="0.2">
      <c r="B355" s="22"/>
      <c r="C355" s="18"/>
      <c r="D355" s="48"/>
      <c r="E355" s="34"/>
      <c r="F355" s="22"/>
      <c r="G355" s="22"/>
      <c r="H355" s="19"/>
      <c r="I355" s="41"/>
      <c r="J355" s="41"/>
      <c r="K355" s="41"/>
      <c r="L355" s="41"/>
      <c r="M355" s="41"/>
    </row>
    <row r="356" spans="2:13" x14ac:dyDescent="0.2">
      <c r="B356" s="27"/>
      <c r="C356" s="18"/>
      <c r="D356" s="48"/>
      <c r="E356" s="34"/>
      <c r="F356" s="22"/>
      <c r="G356" s="22"/>
      <c r="H356" s="19"/>
      <c r="I356" s="41"/>
      <c r="J356" s="41"/>
      <c r="K356" s="41"/>
      <c r="L356" s="41"/>
      <c r="M356" s="41"/>
    </row>
    <row r="357" spans="2:13" x14ac:dyDescent="0.2">
      <c r="B357" s="31"/>
      <c r="C357" s="18"/>
      <c r="D357" s="48"/>
      <c r="E357" s="34"/>
      <c r="F357" s="22"/>
      <c r="G357" s="22"/>
      <c r="H357" s="19"/>
      <c r="I357" s="41"/>
      <c r="J357" s="41"/>
      <c r="K357" s="41"/>
      <c r="L357" s="41"/>
      <c r="M357" s="41"/>
    </row>
    <row r="358" spans="2:13" x14ac:dyDescent="0.2">
      <c r="B358" s="27"/>
      <c r="C358" s="18"/>
      <c r="D358" s="48"/>
      <c r="E358" s="34"/>
      <c r="F358" s="22"/>
      <c r="G358" s="22"/>
      <c r="H358" s="19"/>
      <c r="I358" s="41"/>
      <c r="J358" s="41"/>
      <c r="K358" s="41"/>
      <c r="L358" s="41"/>
      <c r="M358" s="41"/>
    </row>
    <row r="359" spans="2:13" x14ac:dyDescent="0.2">
      <c r="B359" s="31"/>
      <c r="C359" s="18"/>
      <c r="D359" s="48"/>
      <c r="E359" s="34"/>
      <c r="F359" s="22"/>
      <c r="G359" s="22"/>
      <c r="H359" s="19"/>
      <c r="I359" s="41"/>
      <c r="J359" s="41"/>
      <c r="K359" s="41"/>
      <c r="L359" s="41"/>
      <c r="M359" s="41"/>
    </row>
    <row r="360" spans="2:13" x14ac:dyDescent="0.2">
      <c r="B360" s="36"/>
      <c r="C360" s="18"/>
      <c r="D360" s="48"/>
      <c r="E360" s="34"/>
      <c r="F360" s="22"/>
      <c r="G360" s="22"/>
      <c r="H360" s="48"/>
      <c r="I360" s="41"/>
      <c r="J360" s="41"/>
      <c r="K360" s="41"/>
      <c r="L360" s="41"/>
      <c r="M360" s="41"/>
    </row>
    <row r="361" spans="2:13" x14ac:dyDescent="0.2">
      <c r="B361" s="36"/>
      <c r="C361" s="35"/>
      <c r="D361" s="48"/>
      <c r="E361" s="34"/>
      <c r="F361" s="27"/>
      <c r="G361" s="27"/>
      <c r="H361" s="28"/>
      <c r="I361" s="41"/>
      <c r="J361" s="41"/>
      <c r="K361" s="41"/>
      <c r="L361" s="41"/>
      <c r="M361" s="41"/>
    </row>
    <row r="362" spans="2:13" x14ac:dyDescent="0.2">
      <c r="B362" s="36"/>
      <c r="C362" s="18"/>
      <c r="D362" s="48"/>
      <c r="E362" s="34"/>
      <c r="F362" s="22"/>
      <c r="G362" s="22"/>
      <c r="H362" s="19"/>
      <c r="I362" s="41"/>
      <c r="J362" s="41"/>
      <c r="K362" s="41"/>
      <c r="L362" s="41"/>
      <c r="M362" s="41"/>
    </row>
    <row r="363" spans="2:13" x14ac:dyDescent="0.2">
      <c r="B363" s="22"/>
      <c r="C363" s="18"/>
      <c r="D363" s="48"/>
      <c r="E363" s="34"/>
      <c r="F363" s="22"/>
      <c r="G363" s="22"/>
      <c r="H363" s="19"/>
      <c r="I363" s="41"/>
      <c r="J363" s="41"/>
      <c r="K363" s="41"/>
      <c r="L363" s="41"/>
      <c r="M363" s="41"/>
    </row>
    <row r="364" spans="2:13" x14ac:dyDescent="0.2">
      <c r="B364" s="22"/>
      <c r="C364" s="18"/>
      <c r="D364" s="48"/>
      <c r="E364" s="34"/>
      <c r="F364" s="22"/>
      <c r="G364" s="22"/>
      <c r="H364" s="19"/>
      <c r="I364" s="41"/>
      <c r="J364" s="41"/>
      <c r="K364" s="41"/>
      <c r="L364" s="41"/>
      <c r="M364" s="41"/>
    </row>
    <row r="365" spans="2:13" x14ac:dyDescent="0.2">
      <c r="B365" s="22"/>
      <c r="C365" s="34"/>
      <c r="D365" s="19"/>
      <c r="E365" s="34"/>
      <c r="F365" s="22"/>
      <c r="G365" s="22"/>
      <c r="H365" s="19"/>
      <c r="I365" s="41"/>
      <c r="J365" s="41"/>
      <c r="K365" s="41"/>
      <c r="L365" s="41"/>
      <c r="M365" s="41"/>
    </row>
    <row r="366" spans="2:13" x14ac:dyDescent="0.2">
      <c r="B366" s="22"/>
      <c r="C366" s="18"/>
      <c r="D366" s="48"/>
      <c r="E366" s="34"/>
      <c r="F366" s="22"/>
      <c r="G366" s="22"/>
      <c r="H366" s="19"/>
      <c r="I366" s="41"/>
      <c r="J366" s="41"/>
      <c r="K366" s="41"/>
      <c r="L366" s="41"/>
      <c r="M366" s="41"/>
    </row>
    <row r="367" spans="2:13" x14ac:dyDescent="0.2">
      <c r="B367" s="28"/>
      <c r="C367" s="34"/>
      <c r="D367" s="28"/>
      <c r="E367" s="34"/>
      <c r="F367" s="27"/>
      <c r="G367" s="27"/>
      <c r="H367" s="28"/>
      <c r="I367" s="41"/>
      <c r="J367" s="41"/>
      <c r="K367" s="41"/>
      <c r="L367" s="41"/>
      <c r="M367" s="41"/>
    </row>
    <row r="368" spans="2:13" x14ac:dyDescent="0.2">
      <c r="B368" s="28"/>
      <c r="C368" s="35"/>
      <c r="D368" s="28"/>
      <c r="E368" s="34"/>
      <c r="F368" s="27"/>
      <c r="G368" s="27"/>
      <c r="H368" s="28"/>
      <c r="I368" s="41"/>
      <c r="J368" s="41"/>
      <c r="K368" s="41"/>
      <c r="L368" s="41"/>
      <c r="M368" s="41"/>
    </row>
    <row r="369" spans="2:13" x14ac:dyDescent="0.2">
      <c r="B369" s="22"/>
      <c r="C369" s="18"/>
      <c r="D369" s="48"/>
      <c r="E369" s="34"/>
      <c r="F369" s="22"/>
      <c r="G369" s="22"/>
      <c r="H369" s="19"/>
      <c r="I369" s="41"/>
      <c r="J369" s="41"/>
      <c r="K369" s="41"/>
      <c r="L369" s="41"/>
      <c r="M369" s="41"/>
    </row>
    <row r="370" spans="2:13" x14ac:dyDescent="0.2">
      <c r="B370" s="27"/>
      <c r="C370" s="18"/>
      <c r="D370" s="48"/>
      <c r="E370" s="34"/>
      <c r="F370" s="22"/>
      <c r="G370" s="22"/>
      <c r="H370" s="19"/>
      <c r="I370" s="41"/>
      <c r="J370" s="41"/>
      <c r="K370" s="41"/>
      <c r="L370" s="41"/>
      <c r="M370" s="41"/>
    </row>
    <row r="371" spans="2:13" x14ac:dyDescent="0.2">
      <c r="B371" s="22"/>
      <c r="C371" s="34"/>
      <c r="D371" s="19"/>
      <c r="E371" s="34"/>
      <c r="F371" s="22"/>
      <c r="G371" s="22"/>
      <c r="H371" s="19"/>
      <c r="I371" s="41"/>
      <c r="J371" s="41"/>
      <c r="K371" s="41"/>
      <c r="L371" s="41"/>
      <c r="M371" s="41"/>
    </row>
    <row r="372" spans="2:13" x14ac:dyDescent="0.2">
      <c r="B372" s="27"/>
      <c r="C372" s="18"/>
      <c r="D372" s="48"/>
      <c r="E372" s="34"/>
      <c r="F372" s="22"/>
      <c r="G372" s="22"/>
      <c r="H372" s="19"/>
      <c r="I372" s="41"/>
      <c r="J372" s="41"/>
      <c r="K372" s="41"/>
      <c r="L372" s="41"/>
      <c r="M372" s="41"/>
    </row>
    <row r="373" spans="2:13" x14ac:dyDescent="0.2">
      <c r="B373" s="27"/>
      <c r="C373" s="18"/>
      <c r="D373" s="48"/>
      <c r="E373" s="34"/>
      <c r="F373" s="22"/>
      <c r="G373" s="22"/>
      <c r="H373" s="19"/>
      <c r="I373" s="41"/>
      <c r="J373" s="41"/>
      <c r="K373" s="41"/>
      <c r="L373" s="41"/>
      <c r="M373" s="41"/>
    </row>
    <row r="374" spans="2:13" x14ac:dyDescent="0.2">
      <c r="B374" s="27"/>
      <c r="C374" s="18"/>
      <c r="D374" s="48"/>
      <c r="E374" s="34"/>
      <c r="F374" s="22"/>
      <c r="G374" s="22"/>
      <c r="H374" s="19"/>
      <c r="I374" s="41"/>
      <c r="J374" s="41"/>
      <c r="K374" s="41"/>
      <c r="L374" s="41"/>
      <c r="M374" s="41"/>
    </row>
    <row r="375" spans="2:13" x14ac:dyDescent="0.2">
      <c r="B375" s="22"/>
      <c r="C375" s="18"/>
      <c r="D375" s="48"/>
      <c r="E375" s="34"/>
      <c r="F375" s="22"/>
      <c r="G375" s="22"/>
      <c r="H375" s="19"/>
      <c r="I375" s="41"/>
      <c r="J375" s="41"/>
      <c r="K375" s="41"/>
      <c r="L375" s="41"/>
      <c r="M375" s="41"/>
    </row>
    <row r="376" spans="2:13" x14ac:dyDescent="0.2">
      <c r="B376" s="22"/>
      <c r="C376" s="18"/>
      <c r="D376" s="48"/>
      <c r="E376" s="34"/>
      <c r="F376" s="22"/>
      <c r="G376" s="22"/>
      <c r="H376" s="19"/>
      <c r="I376" s="41"/>
      <c r="J376" s="41"/>
      <c r="K376" s="41"/>
      <c r="L376" s="41"/>
      <c r="M376" s="41"/>
    </row>
    <row r="377" spans="2:13" x14ac:dyDescent="0.2">
      <c r="B377" s="22"/>
      <c r="C377" s="18"/>
      <c r="D377" s="48"/>
      <c r="E377" s="34"/>
      <c r="F377" s="22"/>
      <c r="G377" s="22"/>
      <c r="H377" s="19"/>
      <c r="I377" s="41"/>
      <c r="J377" s="41"/>
      <c r="K377" s="41"/>
      <c r="L377" s="41"/>
      <c r="M377" s="41"/>
    </row>
    <row r="378" spans="2:13" x14ac:dyDescent="0.2">
      <c r="B378" s="22"/>
      <c r="C378" s="18"/>
      <c r="D378" s="48"/>
      <c r="E378" s="34"/>
      <c r="F378" s="22"/>
      <c r="G378" s="22"/>
      <c r="H378" s="19"/>
      <c r="I378" s="41"/>
      <c r="J378" s="41"/>
      <c r="K378" s="41"/>
      <c r="L378" s="41"/>
      <c r="M378" s="41"/>
    </row>
    <row r="379" spans="2:13" x14ac:dyDescent="0.2">
      <c r="B379" s="27"/>
      <c r="C379" s="18"/>
      <c r="D379" s="48"/>
      <c r="E379" s="34"/>
      <c r="F379" s="22"/>
      <c r="G379" s="22"/>
      <c r="H379" s="19"/>
      <c r="I379" s="41"/>
      <c r="J379" s="41"/>
      <c r="K379" s="41"/>
      <c r="L379" s="41"/>
      <c r="M379" s="41"/>
    </row>
    <row r="380" spans="2:13" x14ac:dyDescent="0.2">
      <c r="B380" s="27"/>
      <c r="C380" s="18"/>
      <c r="D380" s="48"/>
      <c r="E380" s="34"/>
      <c r="F380" s="22"/>
      <c r="G380" s="22"/>
      <c r="H380" s="19"/>
      <c r="I380" s="41"/>
      <c r="J380" s="41"/>
      <c r="K380" s="41"/>
      <c r="L380" s="41"/>
      <c r="M380" s="41"/>
    </row>
    <row r="381" spans="2:13" x14ac:dyDescent="0.2">
      <c r="B381" s="22"/>
      <c r="C381" s="18"/>
      <c r="D381" s="48"/>
      <c r="E381" s="34"/>
      <c r="F381" s="22"/>
      <c r="G381" s="22"/>
      <c r="H381" s="19"/>
      <c r="I381" s="41"/>
      <c r="J381" s="41"/>
      <c r="K381" s="41"/>
      <c r="L381" s="41"/>
      <c r="M381" s="41"/>
    </row>
    <row r="382" spans="2:13" x14ac:dyDescent="0.2">
      <c r="B382" s="27"/>
      <c r="C382" s="18"/>
      <c r="D382" s="48"/>
      <c r="E382" s="34"/>
      <c r="F382" s="22"/>
      <c r="G382" s="22"/>
      <c r="H382" s="19"/>
      <c r="I382" s="41"/>
      <c r="J382" s="41"/>
      <c r="K382" s="41"/>
      <c r="L382" s="41"/>
      <c r="M382" s="41"/>
    </row>
    <row r="383" spans="2:13" x14ac:dyDescent="0.2">
      <c r="B383" s="27"/>
      <c r="C383" s="18"/>
      <c r="D383" s="19"/>
      <c r="E383" s="34"/>
      <c r="F383" s="22"/>
      <c r="G383" s="22"/>
      <c r="H383" s="19"/>
      <c r="I383" s="41"/>
      <c r="J383" s="41"/>
      <c r="K383" s="41"/>
      <c r="L383" s="41"/>
      <c r="M383" s="41"/>
    </row>
    <row r="384" spans="2:13" x14ac:dyDescent="0.2">
      <c r="B384" s="27"/>
      <c r="C384" s="18"/>
      <c r="D384" s="48"/>
      <c r="E384" s="34"/>
      <c r="F384" s="22"/>
      <c r="G384" s="22"/>
      <c r="H384" s="19"/>
      <c r="I384" s="41"/>
      <c r="J384" s="41"/>
      <c r="K384" s="41"/>
      <c r="L384" s="41"/>
      <c r="M384" s="41"/>
    </row>
    <row r="385" spans="2:13" x14ac:dyDescent="0.2">
      <c r="B385" s="36"/>
      <c r="C385" s="18"/>
      <c r="D385" s="48"/>
      <c r="E385" s="34"/>
      <c r="F385" s="22"/>
      <c r="G385" s="22"/>
      <c r="H385" s="19"/>
      <c r="I385" s="41"/>
      <c r="J385" s="41"/>
      <c r="K385" s="41"/>
      <c r="L385" s="41"/>
      <c r="M385" s="41"/>
    </row>
    <row r="386" spans="2:13" x14ac:dyDescent="0.2">
      <c r="B386" s="27"/>
      <c r="C386" s="34"/>
      <c r="D386" s="19"/>
      <c r="E386" s="34"/>
      <c r="F386" s="22"/>
      <c r="G386" s="22"/>
      <c r="H386" s="19"/>
      <c r="I386" s="41"/>
      <c r="J386" s="41"/>
      <c r="K386" s="41"/>
      <c r="L386" s="41"/>
      <c r="M386" s="41"/>
    </row>
    <row r="387" spans="2:13" x14ac:dyDescent="0.2">
      <c r="B387" s="27"/>
      <c r="C387" s="18"/>
      <c r="D387" s="19"/>
      <c r="E387" s="34"/>
      <c r="F387" s="22"/>
      <c r="G387" s="22"/>
      <c r="H387" s="19"/>
      <c r="I387" s="41"/>
      <c r="J387" s="41"/>
      <c r="K387" s="41"/>
      <c r="L387" s="41"/>
      <c r="M387" s="41"/>
    </row>
    <row r="388" spans="2:13" x14ac:dyDescent="0.2">
      <c r="B388" s="36"/>
      <c r="C388" s="35"/>
      <c r="D388" s="48"/>
      <c r="E388" s="34"/>
      <c r="F388" s="27"/>
      <c r="G388" s="27"/>
      <c r="H388" s="28"/>
      <c r="I388" s="41"/>
      <c r="J388" s="41"/>
      <c r="K388" s="41"/>
      <c r="L388" s="41"/>
      <c r="M388" s="41"/>
    </row>
    <row r="389" spans="2:13" x14ac:dyDescent="0.2">
      <c r="B389" s="22"/>
      <c r="C389" s="18"/>
      <c r="D389" s="48"/>
      <c r="E389" s="34"/>
      <c r="F389" s="22"/>
      <c r="G389" s="22"/>
      <c r="H389" s="19"/>
      <c r="I389" s="41"/>
      <c r="J389" s="41"/>
      <c r="K389" s="41"/>
      <c r="L389" s="41"/>
      <c r="M389" s="41"/>
    </row>
    <row r="390" spans="2:13" x14ac:dyDescent="0.2">
      <c r="B390" s="22"/>
      <c r="C390" s="18"/>
      <c r="D390" s="48"/>
      <c r="E390" s="34"/>
      <c r="F390" s="22"/>
      <c r="G390" s="22"/>
      <c r="H390" s="19"/>
      <c r="I390" s="41"/>
      <c r="J390" s="41"/>
      <c r="K390" s="41"/>
      <c r="L390" s="41"/>
      <c r="M390" s="41"/>
    </row>
    <row r="391" spans="2:13" x14ac:dyDescent="0.2">
      <c r="B391" s="22"/>
      <c r="C391" s="18"/>
      <c r="D391" s="48"/>
      <c r="E391" s="34"/>
      <c r="F391" s="22"/>
      <c r="G391" s="22"/>
      <c r="H391" s="19"/>
      <c r="I391" s="41"/>
      <c r="J391" s="41"/>
      <c r="K391" s="41"/>
      <c r="L391" s="41"/>
      <c r="M391" s="41"/>
    </row>
    <row r="392" spans="2:13" x14ac:dyDescent="0.2">
      <c r="B392" s="31"/>
      <c r="C392" s="18"/>
      <c r="D392" s="48"/>
      <c r="E392" s="34"/>
      <c r="F392" s="22"/>
      <c r="G392" s="22"/>
      <c r="H392" s="19"/>
      <c r="I392" s="41"/>
      <c r="J392" s="41"/>
      <c r="K392" s="41"/>
      <c r="L392" s="41"/>
      <c r="M392" s="41"/>
    </row>
    <row r="393" spans="2:13" x14ac:dyDescent="0.2">
      <c r="B393" s="27"/>
      <c r="C393" s="18"/>
      <c r="D393" s="48"/>
      <c r="E393" s="34"/>
      <c r="F393" s="22"/>
      <c r="G393" s="22"/>
      <c r="H393" s="19"/>
      <c r="I393" s="41"/>
      <c r="J393" s="41"/>
      <c r="K393" s="41"/>
      <c r="L393" s="41"/>
      <c r="M393" s="41"/>
    </row>
    <row r="394" spans="2:13" x14ac:dyDescent="0.2">
      <c r="B394" s="22"/>
      <c r="C394" s="18"/>
      <c r="D394" s="48"/>
      <c r="E394" s="34"/>
      <c r="F394" s="22"/>
      <c r="G394" s="22"/>
      <c r="H394" s="19"/>
      <c r="I394" s="41"/>
      <c r="J394" s="41"/>
      <c r="K394" s="41"/>
      <c r="L394" s="41"/>
      <c r="M394" s="41"/>
    </row>
    <row r="395" spans="2:13" x14ac:dyDescent="0.2">
      <c r="B395" s="36"/>
      <c r="C395" s="18"/>
      <c r="D395" s="48"/>
      <c r="E395" s="34"/>
      <c r="F395" s="22"/>
      <c r="G395" s="22"/>
      <c r="H395" s="19"/>
      <c r="I395" s="41"/>
      <c r="J395" s="41"/>
      <c r="K395" s="41"/>
      <c r="L395" s="41"/>
      <c r="M395" s="41"/>
    </row>
    <row r="396" spans="2:13" x14ac:dyDescent="0.2">
      <c r="B396" s="22"/>
      <c r="C396" s="18"/>
      <c r="D396" s="28"/>
      <c r="E396" s="34"/>
      <c r="F396" s="22"/>
      <c r="G396" s="22"/>
      <c r="H396" s="19"/>
      <c r="I396" s="41"/>
      <c r="J396" s="41"/>
      <c r="K396" s="41"/>
      <c r="L396" s="41"/>
      <c r="M396" s="41"/>
    </row>
    <row r="397" spans="2:13" x14ac:dyDescent="0.2">
      <c r="B397" s="22"/>
      <c r="C397" s="18"/>
      <c r="D397" s="28"/>
      <c r="E397" s="34"/>
      <c r="F397" s="22"/>
      <c r="G397" s="22"/>
      <c r="H397" s="19"/>
      <c r="I397" s="41"/>
      <c r="J397" s="41"/>
      <c r="K397" s="41"/>
      <c r="L397" s="41"/>
      <c r="M397" s="41"/>
    </row>
    <row r="398" spans="2:13" x14ac:dyDescent="0.2">
      <c r="B398" s="27"/>
      <c r="C398" s="18"/>
      <c r="D398" s="28"/>
      <c r="E398" s="34"/>
      <c r="F398" s="22"/>
      <c r="G398" s="22"/>
      <c r="H398" s="19"/>
      <c r="I398" s="41"/>
      <c r="J398" s="41"/>
      <c r="K398" s="41"/>
      <c r="L398" s="41"/>
      <c r="M398" s="41"/>
    </row>
    <row r="399" spans="2:13" x14ac:dyDescent="0.2">
      <c r="B399" s="22"/>
      <c r="C399" s="18"/>
      <c r="D399" s="28"/>
      <c r="E399" s="34"/>
      <c r="F399" s="22"/>
      <c r="G399" s="22"/>
      <c r="H399" s="19"/>
      <c r="I399" s="41"/>
      <c r="J399" s="41"/>
      <c r="K399" s="41"/>
      <c r="L399" s="41"/>
      <c r="M399" s="41"/>
    </row>
    <row r="400" spans="2:13" x14ac:dyDescent="0.2">
      <c r="B400" s="27"/>
      <c r="C400" s="18"/>
      <c r="D400" s="28"/>
      <c r="E400" s="34"/>
      <c r="F400" s="22"/>
      <c r="G400" s="22"/>
      <c r="H400" s="19"/>
      <c r="I400" s="41"/>
      <c r="J400" s="41"/>
      <c r="K400" s="41"/>
      <c r="L400" s="41"/>
      <c r="M400" s="41"/>
    </row>
    <row r="401" spans="2:13" x14ac:dyDescent="0.2">
      <c r="B401" s="27"/>
      <c r="C401" s="18"/>
      <c r="D401" s="28"/>
      <c r="E401" s="34"/>
      <c r="F401" s="22"/>
      <c r="G401" s="22"/>
      <c r="H401" s="19"/>
      <c r="I401" s="41"/>
      <c r="J401" s="41"/>
      <c r="K401" s="41"/>
      <c r="L401" s="41"/>
      <c r="M401" s="41"/>
    </row>
    <row r="402" spans="2:13" x14ac:dyDescent="0.2">
      <c r="B402" s="22"/>
      <c r="C402" s="18"/>
      <c r="D402" s="28"/>
      <c r="E402" s="34"/>
      <c r="F402" s="22"/>
      <c r="G402" s="22"/>
      <c r="H402" s="19"/>
      <c r="I402" s="41"/>
      <c r="J402" s="41"/>
      <c r="K402" s="41"/>
      <c r="L402" s="41"/>
      <c r="M402" s="41"/>
    </row>
    <row r="403" spans="2:13" x14ac:dyDescent="0.2">
      <c r="B403" s="22"/>
      <c r="C403" s="38"/>
      <c r="D403" s="28"/>
      <c r="E403" s="34"/>
      <c r="F403" s="22"/>
      <c r="G403" s="22"/>
      <c r="H403" s="19"/>
      <c r="I403" s="41"/>
      <c r="J403" s="41"/>
      <c r="K403" s="41"/>
      <c r="L403" s="41"/>
      <c r="M403" s="41"/>
    </row>
    <row r="404" spans="2:13" x14ac:dyDescent="0.2">
      <c r="B404" s="22"/>
      <c r="C404" s="34"/>
      <c r="D404" s="19"/>
      <c r="E404" s="34"/>
      <c r="F404" s="22"/>
      <c r="G404" s="22"/>
      <c r="H404" s="19"/>
      <c r="I404" s="41"/>
      <c r="J404" s="41"/>
      <c r="K404" s="41"/>
      <c r="L404" s="41"/>
      <c r="M404" s="41"/>
    </row>
    <row r="405" spans="2:13" x14ac:dyDescent="0.2">
      <c r="B405" s="36"/>
      <c r="C405" s="35"/>
      <c r="D405" s="28"/>
      <c r="E405" s="34"/>
      <c r="F405" s="27"/>
      <c r="G405" s="27"/>
      <c r="H405" s="28"/>
      <c r="I405" s="41"/>
      <c r="J405" s="41"/>
      <c r="K405" s="41"/>
      <c r="L405" s="41"/>
      <c r="M405" s="41"/>
    </row>
    <row r="406" spans="2:13" x14ac:dyDescent="0.2">
      <c r="B406" s="22"/>
      <c r="C406" s="35"/>
      <c r="D406" s="28"/>
      <c r="E406" s="34"/>
      <c r="F406" s="27"/>
      <c r="G406" s="27"/>
      <c r="H406" s="28"/>
      <c r="I406" s="41"/>
      <c r="J406" s="41"/>
      <c r="K406" s="41"/>
      <c r="L406" s="41"/>
      <c r="M406" s="41"/>
    </row>
    <row r="407" spans="2:13" x14ac:dyDescent="0.2">
      <c r="B407" s="36"/>
      <c r="C407" s="35"/>
      <c r="D407" s="28"/>
      <c r="E407" s="34"/>
      <c r="F407" s="27"/>
      <c r="G407" s="27"/>
      <c r="H407" s="28"/>
      <c r="I407" s="41"/>
      <c r="J407" s="41"/>
      <c r="K407" s="41"/>
      <c r="L407" s="41"/>
      <c r="M407" s="41"/>
    </row>
    <row r="408" spans="2:13" x14ac:dyDescent="0.2">
      <c r="B408" s="36"/>
      <c r="C408" s="35"/>
      <c r="D408" s="28"/>
      <c r="E408" s="34"/>
      <c r="F408" s="27"/>
      <c r="G408" s="27"/>
      <c r="H408" s="28"/>
      <c r="I408" s="41"/>
      <c r="J408" s="41"/>
      <c r="K408" s="41"/>
      <c r="L408" s="41"/>
      <c r="M408" s="41"/>
    </row>
    <row r="409" spans="2:13" x14ac:dyDescent="0.2">
      <c r="B409" s="36"/>
      <c r="C409" s="35"/>
      <c r="D409" s="28"/>
      <c r="E409" s="34"/>
      <c r="F409" s="27"/>
      <c r="G409" s="27"/>
      <c r="H409" s="28"/>
      <c r="I409" s="41"/>
      <c r="J409" s="41"/>
      <c r="K409" s="41"/>
      <c r="L409" s="41"/>
      <c r="M409" s="41"/>
    </row>
    <row r="410" spans="2:13" x14ac:dyDescent="0.2">
      <c r="B410" s="36"/>
      <c r="C410" s="35"/>
      <c r="D410" s="28"/>
      <c r="E410" s="34"/>
      <c r="F410" s="27"/>
      <c r="G410" s="27"/>
      <c r="H410" s="28"/>
      <c r="I410" s="41"/>
      <c r="J410" s="41"/>
      <c r="K410" s="41"/>
      <c r="L410" s="41"/>
      <c r="M410" s="41"/>
    </row>
    <row r="411" spans="2:13" x14ac:dyDescent="0.2">
      <c r="B411" s="36"/>
      <c r="C411" s="35"/>
      <c r="D411" s="28"/>
      <c r="E411" s="34"/>
      <c r="F411" s="27"/>
      <c r="G411" s="27"/>
      <c r="H411" s="28"/>
      <c r="I411" s="41"/>
      <c r="J411" s="41"/>
      <c r="K411" s="41"/>
      <c r="L411" s="41"/>
      <c r="M411" s="41"/>
    </row>
    <row r="412" spans="2:13" x14ac:dyDescent="0.2">
      <c r="B412" s="27"/>
      <c r="C412" s="34"/>
      <c r="D412" s="28"/>
      <c r="E412" s="34"/>
      <c r="F412" s="27"/>
      <c r="G412" s="27"/>
      <c r="H412" s="28"/>
      <c r="I412" s="46"/>
      <c r="J412" s="46"/>
      <c r="K412" s="46"/>
      <c r="L412" s="46"/>
      <c r="M412" s="46"/>
    </row>
    <row r="413" spans="2:13" x14ac:dyDescent="0.2">
      <c r="B413" s="27"/>
      <c r="C413" s="34"/>
      <c r="D413" s="28"/>
      <c r="E413" s="34"/>
      <c r="F413" s="27"/>
      <c r="G413" s="27"/>
      <c r="H413" s="28"/>
      <c r="I413" s="46"/>
      <c r="J413" s="46"/>
      <c r="K413" s="46"/>
      <c r="L413" s="46"/>
      <c r="M413" s="46"/>
    </row>
    <row r="414" spans="2:13" x14ac:dyDescent="0.2">
      <c r="B414" s="176"/>
      <c r="C414" s="177"/>
      <c r="D414" s="176"/>
      <c r="E414" s="178"/>
      <c r="F414" s="178"/>
      <c r="G414" s="178"/>
      <c r="H414" s="176"/>
      <c r="I414" s="42"/>
      <c r="J414" s="42"/>
      <c r="K414" s="42"/>
      <c r="L414" s="42"/>
      <c r="M414" s="42"/>
    </row>
    <row r="415" spans="2:13" x14ac:dyDescent="0.2">
      <c r="B415" s="176"/>
      <c r="C415" s="177"/>
      <c r="D415" s="176"/>
      <c r="E415" s="178"/>
      <c r="F415" s="178"/>
      <c r="G415" s="178"/>
      <c r="H415" s="176"/>
      <c r="I415" s="42"/>
      <c r="J415" s="42"/>
      <c r="K415" s="42"/>
      <c r="L415" s="42"/>
      <c r="M415" s="42"/>
    </row>
    <row r="416" spans="2:13" x14ac:dyDescent="0.2">
      <c r="B416" s="176"/>
      <c r="C416" s="177"/>
      <c r="D416" s="176"/>
      <c r="E416" s="178"/>
      <c r="F416" s="178"/>
      <c r="G416" s="178"/>
      <c r="H416" s="176"/>
      <c r="I416" s="42"/>
      <c r="J416" s="42"/>
      <c r="K416" s="42"/>
      <c r="L416" s="42"/>
      <c r="M416" s="42"/>
    </row>
    <row r="417" spans="2:13" x14ac:dyDescent="0.2">
      <c r="B417" s="176"/>
      <c r="C417" s="177"/>
      <c r="D417" s="176"/>
      <c r="E417" s="178"/>
      <c r="F417" s="178"/>
      <c r="G417" s="178"/>
      <c r="H417" s="176"/>
      <c r="I417" s="42"/>
      <c r="J417" s="42"/>
      <c r="K417" s="42"/>
      <c r="L417" s="42"/>
      <c r="M417" s="42"/>
    </row>
    <row r="418" spans="2:13" x14ac:dyDescent="0.2">
      <c r="B418" s="176"/>
      <c r="C418" s="177"/>
      <c r="D418" s="176"/>
      <c r="E418" s="178"/>
      <c r="F418" s="178"/>
      <c r="G418" s="178"/>
      <c r="H418" s="176"/>
      <c r="I418" s="42"/>
      <c r="J418" s="42"/>
      <c r="K418" s="42"/>
      <c r="L418" s="42"/>
      <c r="M418" s="42"/>
    </row>
    <row r="419" spans="2:13" x14ac:dyDescent="0.2">
      <c r="C419" s="18"/>
      <c r="D419" s="19"/>
    </row>
    <row r="420" spans="2:13" x14ac:dyDescent="0.2">
      <c r="C420" s="18"/>
      <c r="D420" s="19"/>
    </row>
    <row r="421" spans="2:13" x14ac:dyDescent="0.2">
      <c r="C421" s="18"/>
      <c r="D421" s="19"/>
    </row>
    <row r="422" spans="2:13" x14ac:dyDescent="0.2">
      <c r="C422" s="18"/>
      <c r="D422" s="19"/>
    </row>
    <row r="423" spans="2:13" x14ac:dyDescent="0.2">
      <c r="C423" s="18"/>
      <c r="D423" s="19"/>
    </row>
    <row r="424" spans="2:13" x14ac:dyDescent="0.2">
      <c r="C424" s="18"/>
      <c r="D424" s="19"/>
    </row>
    <row r="425" spans="2:13" x14ac:dyDescent="0.2">
      <c r="C425" s="18"/>
      <c r="D425" s="19"/>
    </row>
    <row r="426" spans="2:13" x14ac:dyDescent="0.2">
      <c r="C426" s="18"/>
      <c r="D426" s="19"/>
    </row>
    <row r="427" spans="2:13" x14ac:dyDescent="0.2">
      <c r="C427" s="18"/>
      <c r="D427" s="19"/>
    </row>
    <row r="428" spans="2:13" x14ac:dyDescent="0.2">
      <c r="C428" s="18"/>
      <c r="D428" s="19"/>
    </row>
    <row r="429" spans="2:13" x14ac:dyDescent="0.2">
      <c r="C429" s="18"/>
      <c r="D429" s="19"/>
    </row>
    <row r="430" spans="2:13" x14ac:dyDescent="0.2">
      <c r="C430" s="18"/>
      <c r="D430" s="19"/>
    </row>
    <row r="431" spans="2:13" x14ac:dyDescent="0.2">
      <c r="C431" s="18"/>
      <c r="D431" s="19"/>
    </row>
    <row r="432" spans="2:13" x14ac:dyDescent="0.2">
      <c r="C432" s="18"/>
      <c r="D432" s="19"/>
    </row>
    <row r="433" spans="3:4" x14ac:dyDescent="0.2">
      <c r="C433" s="18"/>
      <c r="D433" s="19"/>
    </row>
    <row r="434" spans="3:4" x14ac:dyDescent="0.2">
      <c r="C434" s="18"/>
      <c r="D434" s="19"/>
    </row>
    <row r="435" spans="3:4" x14ac:dyDescent="0.2">
      <c r="C435" s="18"/>
      <c r="D435" s="19"/>
    </row>
    <row r="436" spans="3:4" x14ac:dyDescent="0.2">
      <c r="C436" s="18"/>
      <c r="D436" s="19"/>
    </row>
    <row r="437" spans="3:4" x14ac:dyDescent="0.2">
      <c r="C437" s="18"/>
      <c r="D437" s="19"/>
    </row>
    <row r="438" spans="3:4" x14ac:dyDescent="0.2">
      <c r="C438" s="18"/>
      <c r="D438" s="19"/>
    </row>
    <row r="439" spans="3:4" x14ac:dyDescent="0.2">
      <c r="C439" s="18"/>
      <c r="D439" s="19"/>
    </row>
    <row r="440" spans="3:4" x14ac:dyDescent="0.2">
      <c r="C440" s="18"/>
      <c r="D440" s="19"/>
    </row>
    <row r="441" spans="3:4" x14ac:dyDescent="0.2">
      <c r="C441" s="18"/>
      <c r="D441" s="19"/>
    </row>
    <row r="442" spans="3:4" x14ac:dyDescent="0.2">
      <c r="C442" s="18"/>
      <c r="D442" s="19"/>
    </row>
    <row r="443" spans="3:4" x14ac:dyDescent="0.2">
      <c r="C443" s="18"/>
      <c r="D443" s="19"/>
    </row>
    <row r="444" spans="3:4" x14ac:dyDescent="0.2">
      <c r="C444" s="18"/>
      <c r="D444" s="19"/>
    </row>
    <row r="445" spans="3:4" x14ac:dyDescent="0.2">
      <c r="C445" s="18"/>
      <c r="D445" s="19"/>
    </row>
    <row r="446" spans="3:4" x14ac:dyDescent="0.2">
      <c r="C446" s="18"/>
      <c r="D446" s="19"/>
    </row>
    <row r="447" spans="3:4" x14ac:dyDescent="0.2">
      <c r="C447" s="18"/>
      <c r="D447" s="19"/>
    </row>
    <row r="448" spans="3:4" x14ac:dyDescent="0.2">
      <c r="C448" s="18"/>
      <c r="D448" s="19"/>
    </row>
    <row r="449" spans="3:4" x14ac:dyDescent="0.2">
      <c r="C449" s="18"/>
      <c r="D449" s="19"/>
    </row>
    <row r="450" spans="3:4" x14ac:dyDescent="0.2">
      <c r="C450" s="18"/>
      <c r="D450" s="19"/>
    </row>
    <row r="451" spans="3:4" x14ac:dyDescent="0.2">
      <c r="C451" s="18"/>
      <c r="D451" s="19"/>
    </row>
    <row r="452" spans="3:4" x14ac:dyDescent="0.2">
      <c r="C452" s="18"/>
      <c r="D452" s="19"/>
    </row>
    <row r="453" spans="3:4" x14ac:dyDescent="0.2">
      <c r="C453" s="18"/>
      <c r="D453" s="19"/>
    </row>
    <row r="454" spans="3:4" x14ac:dyDescent="0.2">
      <c r="C454" s="18"/>
      <c r="D454" s="19"/>
    </row>
    <row r="455" spans="3:4" x14ac:dyDescent="0.2">
      <c r="C455" s="18"/>
      <c r="D455" s="19"/>
    </row>
    <row r="456" spans="3:4" x14ac:dyDescent="0.2">
      <c r="C456" s="18"/>
      <c r="D456" s="19"/>
    </row>
    <row r="457" spans="3:4" x14ac:dyDescent="0.2">
      <c r="C457" s="18"/>
      <c r="D457" s="19"/>
    </row>
    <row r="458" spans="3:4" x14ac:dyDescent="0.2">
      <c r="C458" s="18"/>
      <c r="D458" s="19"/>
    </row>
    <row r="459" spans="3:4" x14ac:dyDescent="0.2">
      <c r="C459" s="18"/>
      <c r="D459" s="19"/>
    </row>
    <row r="460" spans="3:4" x14ac:dyDescent="0.2">
      <c r="C460" s="18"/>
      <c r="D460" s="19"/>
    </row>
    <row r="461" spans="3:4" x14ac:dyDescent="0.2">
      <c r="C461" s="18"/>
      <c r="D461" s="19"/>
    </row>
    <row r="462" spans="3:4" x14ac:dyDescent="0.2">
      <c r="C462" s="18"/>
      <c r="D462" s="19"/>
    </row>
    <row r="463" spans="3:4" x14ac:dyDescent="0.2">
      <c r="C463" s="18"/>
      <c r="D463" s="19"/>
    </row>
    <row r="464" spans="3:4" x14ac:dyDescent="0.2">
      <c r="C464" s="18"/>
      <c r="D464" s="19"/>
    </row>
    <row r="465" spans="3:8" x14ac:dyDescent="0.2">
      <c r="C465" s="18"/>
      <c r="D465" s="19"/>
    </row>
    <row r="466" spans="3:8" x14ac:dyDescent="0.2">
      <c r="C466" s="18"/>
      <c r="D466" s="19"/>
    </row>
    <row r="467" spans="3:8" x14ac:dyDescent="0.2">
      <c r="E467" s="22"/>
      <c r="F467" s="22"/>
      <c r="G467" s="22"/>
      <c r="H467" s="19"/>
    </row>
    <row r="468" spans="3:8" x14ac:dyDescent="0.2">
      <c r="E468" s="22"/>
      <c r="F468" s="22"/>
      <c r="G468" s="22"/>
      <c r="H468" s="19"/>
    </row>
    <row r="469" spans="3:8" x14ac:dyDescent="0.2">
      <c r="E469" s="22"/>
      <c r="F469" s="22"/>
      <c r="G469" s="22"/>
      <c r="H469" s="19"/>
    </row>
    <row r="470" spans="3:8" x14ac:dyDescent="0.2">
      <c r="E470" s="22"/>
      <c r="F470" s="22"/>
      <c r="G470" s="22"/>
      <c r="H470" s="19"/>
    </row>
    <row r="471" spans="3:8" x14ac:dyDescent="0.2">
      <c r="E471" s="22"/>
      <c r="F471" s="22"/>
      <c r="G471" s="22"/>
      <c r="H471" s="19"/>
    </row>
    <row r="472" spans="3:8" x14ac:dyDescent="0.2">
      <c r="E472" s="22"/>
      <c r="F472" s="22"/>
      <c r="G472" s="22"/>
      <c r="H472" s="19"/>
    </row>
    <row r="473" spans="3:8" x14ac:dyDescent="0.2">
      <c r="E473" s="22"/>
      <c r="F473" s="22"/>
      <c r="G473" s="22"/>
      <c r="H473" s="19"/>
    </row>
    <row r="474" spans="3:8" x14ac:dyDescent="0.2">
      <c r="E474" s="22"/>
      <c r="F474" s="22"/>
      <c r="G474" s="22"/>
      <c r="H474" s="19"/>
    </row>
    <row r="475" spans="3:8" x14ac:dyDescent="0.2">
      <c r="E475" s="22"/>
      <c r="F475" s="22"/>
      <c r="G475" s="22"/>
      <c r="H475" s="19"/>
    </row>
    <row r="476" spans="3:8" x14ac:dyDescent="0.2">
      <c r="E476" s="22"/>
      <c r="F476" s="22"/>
      <c r="G476" s="22"/>
      <c r="H476" s="19"/>
    </row>
    <row r="477" spans="3:8" x14ac:dyDescent="0.2">
      <c r="E477" s="22"/>
      <c r="F477" s="22"/>
      <c r="G477" s="22"/>
      <c r="H477" s="19"/>
    </row>
  </sheetData>
  <mergeCells count="2">
    <mergeCell ref="O15:Q16"/>
    <mergeCell ref="O12:S13"/>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3" operator="equal" id="{186FDB61-863D-4D26-9599-114AAE4F1053}">
            <xm:f>'Surface tension'!$N$11</xm:f>
            <x14:dxf>
              <font>
                <color rgb="FFFF0000"/>
              </font>
            </x14:dxf>
          </x14:cfRule>
          <xm:sqref>M4:M202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52"/>
  <sheetViews>
    <sheetView zoomScale="80" zoomScaleNormal="80" workbookViewId="0"/>
  </sheetViews>
  <sheetFormatPr defaultColWidth="9.140625" defaultRowHeight="12.75" x14ac:dyDescent="0.2"/>
  <cols>
    <col min="1" max="1" width="1.42578125" style="39" customWidth="1"/>
    <col min="2" max="2" width="55.7109375" style="39" customWidth="1"/>
    <col min="3" max="9" width="12.7109375" style="39" customWidth="1"/>
    <col min="10" max="10" width="3.42578125" style="39" customWidth="1"/>
    <col min="11" max="11" width="9.140625" style="39"/>
    <col min="12" max="12" width="35.7109375" style="39" customWidth="1"/>
    <col min="13" max="13" width="30" style="39" customWidth="1"/>
    <col min="14" max="14" width="3.42578125" style="39" customWidth="1"/>
    <col min="15" max="15" width="31.42578125" style="39" customWidth="1"/>
    <col min="16" max="16" width="28.5703125" style="39" customWidth="1"/>
    <col min="17" max="17" width="6.85546875" style="111" customWidth="1"/>
    <col min="18" max="18" width="22.7109375" style="111" customWidth="1"/>
    <col min="19" max="19" width="12.7109375" style="336" customWidth="1"/>
    <col min="20" max="21" width="9" style="39" customWidth="1"/>
    <col min="22" max="23" width="9.140625" style="39"/>
    <col min="24" max="24" width="28.5703125" style="39" customWidth="1"/>
    <col min="25" max="16384" width="9.140625" style="39"/>
  </cols>
  <sheetData>
    <row r="2" spans="1:30" x14ac:dyDescent="0.2">
      <c r="B2" s="515" t="s">
        <v>504</v>
      </c>
      <c r="C2" s="515"/>
      <c r="D2" s="515"/>
      <c r="E2" s="515"/>
      <c r="F2" s="515"/>
      <c r="G2" s="41"/>
      <c r="H2" s="41"/>
      <c r="I2" s="41"/>
      <c r="J2" s="41"/>
      <c r="K2" s="41"/>
      <c r="L2" s="41"/>
      <c r="M2" s="41"/>
    </row>
    <row r="3" spans="1:30" x14ac:dyDescent="0.2">
      <c r="B3" s="515"/>
      <c r="C3" s="515"/>
      <c r="D3" s="515"/>
      <c r="E3" s="515"/>
      <c r="F3" s="515"/>
      <c r="G3" s="41"/>
      <c r="H3" s="41"/>
      <c r="I3" s="41"/>
      <c r="J3" s="41"/>
      <c r="K3" s="41"/>
      <c r="L3" s="41"/>
      <c r="M3" s="41"/>
    </row>
    <row r="4" spans="1:30" x14ac:dyDescent="0.2">
      <c r="B4" s="515"/>
      <c r="C4" s="515"/>
      <c r="D4" s="515"/>
      <c r="E4" s="515"/>
      <c r="F4" s="515"/>
      <c r="G4" s="41"/>
      <c r="H4" s="41"/>
      <c r="I4" s="41"/>
      <c r="J4" s="41"/>
      <c r="K4" s="41"/>
      <c r="L4" s="41"/>
      <c r="M4" s="41"/>
    </row>
    <row r="5" spans="1:30" x14ac:dyDescent="0.2">
      <c r="B5" s="324"/>
      <c r="C5" s="324"/>
      <c r="D5" s="324"/>
      <c r="E5" s="324"/>
      <c r="F5" s="324"/>
      <c r="O5" s="46"/>
    </row>
    <row r="6" spans="1:30" ht="60" customHeight="1" x14ac:dyDescent="0.2">
      <c r="B6" s="73" t="s">
        <v>0</v>
      </c>
      <c r="C6" s="107" t="s">
        <v>281</v>
      </c>
      <c r="D6" s="107" t="s">
        <v>282</v>
      </c>
      <c r="E6" s="107" t="s">
        <v>283</v>
      </c>
      <c r="F6" s="108" t="s">
        <v>284</v>
      </c>
      <c r="G6" s="104" t="s">
        <v>243</v>
      </c>
      <c r="H6" s="106" t="s">
        <v>334</v>
      </c>
      <c r="I6" s="106" t="s">
        <v>437</v>
      </c>
      <c r="K6" s="109" t="s">
        <v>280</v>
      </c>
      <c r="L6" s="110"/>
      <c r="M6" s="109" t="s">
        <v>489</v>
      </c>
      <c r="O6" s="347" t="s">
        <v>287</v>
      </c>
      <c r="P6" s="341" t="s">
        <v>347</v>
      </c>
      <c r="Q6" s="520" t="s">
        <v>557</v>
      </c>
      <c r="R6" s="520"/>
      <c r="T6" s="322" t="s">
        <v>435</v>
      </c>
      <c r="U6" s="322"/>
      <c r="V6" s="118"/>
      <c r="W6" s="118"/>
      <c r="X6" s="118"/>
    </row>
    <row r="7" spans="1:30" x14ac:dyDescent="0.2">
      <c r="B7" s="1" t="s">
        <v>96</v>
      </c>
      <c r="C7" s="332">
        <v>16.8</v>
      </c>
      <c r="D7" s="332">
        <v>4.3</v>
      </c>
      <c r="E7" s="332">
        <v>2</v>
      </c>
      <c r="F7" s="332">
        <v>7.95</v>
      </c>
      <c r="G7" s="97" t="s">
        <v>236</v>
      </c>
      <c r="H7" s="97" t="s">
        <v>236</v>
      </c>
      <c r="I7" s="97" t="s">
        <v>236</v>
      </c>
      <c r="K7" s="344" t="str">
        <f>IF(AND(G7=Polarity!L$4,I7=Polarity!L$4,H7=Polarity!L$4),Polarity!L$4,Polarity!L$6)</f>
        <v>Fail</v>
      </c>
      <c r="L7" s="345" t="str">
        <f>IF(K7=Polarity!L$4,B7,"")</f>
        <v/>
      </c>
      <c r="M7" s="346" t="str">
        <f>IF(AND(B7=L7,F7&gt;5),Polarity!L$5,"")</f>
        <v/>
      </c>
      <c r="O7" s="49"/>
      <c r="P7" s="174" t="str">
        <f t="shared" ref="P7:P70" si="0">IF(O7="no warnings",L7,"")</f>
        <v/>
      </c>
      <c r="Q7" s="175"/>
      <c r="R7" s="175"/>
      <c r="S7" s="336" t="str">
        <f>IF(AND(G7=Polarity!L$6,I7=Polarity!L$6,H7=Polarity!L$6),Polarity!L$6,"")</f>
        <v>Fail</v>
      </c>
      <c r="T7" s="116" t="s">
        <v>500</v>
      </c>
      <c r="U7" s="116"/>
      <c r="V7" s="116" t="s">
        <v>502</v>
      </c>
      <c r="W7" s="116"/>
      <c r="X7" s="116"/>
    </row>
    <row r="8" spans="1:30" x14ac:dyDescent="0.2">
      <c r="A8" s="407"/>
      <c r="B8" s="6" t="s">
        <v>97</v>
      </c>
      <c r="C8" s="312">
        <v>18.8</v>
      </c>
      <c r="D8" s="312">
        <v>5.0999999999999996</v>
      </c>
      <c r="E8" s="312">
        <v>5.3</v>
      </c>
      <c r="F8" s="312">
        <v>5.0999999999999996</v>
      </c>
      <c r="G8" s="181" t="s">
        <v>235</v>
      </c>
      <c r="H8" s="98" t="s">
        <v>235</v>
      </c>
      <c r="I8" s="98" t="s">
        <v>235</v>
      </c>
      <c r="K8" s="344" t="str">
        <f>IF(AND(G8=Polarity!L$4,I8=Polarity!L$4,H8=Polarity!L$4),Polarity!L$4,Polarity!L$6)</f>
        <v>Pass</v>
      </c>
      <c r="L8" s="345" t="str">
        <f>IF(K8=Polarity!L$4,B8,"")</f>
        <v>1,1,2,2-Tetrachloroethane</v>
      </c>
      <c r="M8" s="346" t="str">
        <f>IF(AND(B8=L8,F8&gt;5),Polarity!L$5,"")</f>
        <v>Borderline (still considered a pass)</v>
      </c>
      <c r="O8" s="99" t="s">
        <v>242</v>
      </c>
      <c r="P8" s="174" t="str">
        <f t="shared" si="0"/>
        <v/>
      </c>
      <c r="Q8" s="124"/>
      <c r="R8" s="124"/>
      <c r="S8" s="336" t="str">
        <f>IF(AND(G8=Polarity!L$6,I8=Polarity!L$6,H8=Polarity!L$6),Polarity!L$6,"")</f>
        <v/>
      </c>
      <c r="T8" s="116" t="s">
        <v>501</v>
      </c>
      <c r="U8" s="116"/>
      <c r="V8" s="415" t="s">
        <v>503</v>
      </c>
      <c r="W8" s="116"/>
      <c r="X8" s="116"/>
    </row>
    <row r="9" spans="1:30" x14ac:dyDescent="0.2">
      <c r="A9" s="407"/>
      <c r="B9" s="2" t="s">
        <v>98</v>
      </c>
      <c r="C9" s="312">
        <v>16.5</v>
      </c>
      <c r="D9" s="312">
        <v>7.8</v>
      </c>
      <c r="E9" s="312">
        <v>3</v>
      </c>
      <c r="F9" s="312">
        <v>5.77</v>
      </c>
      <c r="G9" s="181" t="s">
        <v>235</v>
      </c>
      <c r="H9" s="97" t="s">
        <v>236</v>
      </c>
      <c r="I9" s="97" t="s">
        <v>236</v>
      </c>
      <c r="K9" s="344" t="str">
        <f>IF(AND(G9=Polarity!L$4,I9=Polarity!L$4,H9=Polarity!L$4),Polarity!L$4,Polarity!L$6)</f>
        <v>Fail</v>
      </c>
      <c r="L9" s="345" t="str">
        <f>IF(K9=Polarity!L$4,B9,"")</f>
        <v/>
      </c>
      <c r="M9" s="346" t="str">
        <f>IF(AND(B9=L9,F9&gt;5),Polarity!L$5,"")</f>
        <v/>
      </c>
      <c r="O9" s="49"/>
      <c r="P9" s="174" t="str">
        <f t="shared" si="0"/>
        <v/>
      </c>
      <c r="Q9" s="124"/>
      <c r="R9" s="124"/>
      <c r="S9" s="336" t="str">
        <f>IF(AND(G9=Polarity!L$6,I9=Polarity!L$6,H9=Polarity!L$6),Polarity!L$6,"")</f>
        <v/>
      </c>
    </row>
    <row r="10" spans="1:30" x14ac:dyDescent="0.2">
      <c r="A10" s="407"/>
      <c r="B10" s="2" t="s">
        <v>99</v>
      </c>
      <c r="C10" s="309">
        <v>16.399999999999999</v>
      </c>
      <c r="D10" s="309">
        <v>5.2</v>
      </c>
      <c r="E10" s="309">
        <v>2.4</v>
      </c>
      <c r="F10" s="309">
        <v>7.43</v>
      </c>
      <c r="G10" s="97" t="s">
        <v>236</v>
      </c>
      <c r="H10" s="97" t="s">
        <v>236</v>
      </c>
      <c r="I10" s="97" t="s">
        <v>236</v>
      </c>
      <c r="K10" s="344" t="str">
        <f>IF(AND(G10=Polarity!L$4,I10=Polarity!L$4,H10=Polarity!L$4),Polarity!L$4,Polarity!L$6)</f>
        <v>Fail</v>
      </c>
      <c r="L10" s="345" t="str">
        <f>IF(K10=Polarity!L$4,B10,"")</f>
        <v/>
      </c>
      <c r="M10" s="346" t="str">
        <f>IF(AND(B10=L10,F10&gt;5),Polarity!L$5,"")</f>
        <v/>
      </c>
      <c r="O10" s="49"/>
      <c r="P10" s="174" t="str">
        <f t="shared" si="0"/>
        <v/>
      </c>
      <c r="Q10" s="124"/>
      <c r="R10" s="124"/>
      <c r="S10" s="336" t="str">
        <f>IF(AND(G10=Polarity!L$6,I10=Polarity!L$6,H10=Polarity!L$6),Polarity!L$6,"")</f>
        <v>Fail</v>
      </c>
    </row>
    <row r="11" spans="1:30" x14ac:dyDescent="0.2">
      <c r="A11" s="407"/>
      <c r="B11" s="5" t="s">
        <v>100</v>
      </c>
      <c r="C11" s="312">
        <v>17.8</v>
      </c>
      <c r="D11" s="312">
        <v>12.3</v>
      </c>
      <c r="E11" s="312">
        <v>3.4</v>
      </c>
      <c r="F11" s="312">
        <v>5.26</v>
      </c>
      <c r="G11" s="181" t="s">
        <v>235</v>
      </c>
      <c r="H11" s="98" t="s">
        <v>235</v>
      </c>
      <c r="I11" s="98" t="s">
        <v>235</v>
      </c>
      <c r="K11" s="344" t="str">
        <f>IF(AND(G11=Polarity!L$4,I11=Polarity!L$4,H11=Polarity!L$4),Polarity!L$4,Polarity!L$6)</f>
        <v>Pass</v>
      </c>
      <c r="L11" s="345" t="str">
        <f>IF(K11=Polarity!L$4,B11,"")</f>
        <v>1,2,3-Trichloropropane</v>
      </c>
      <c r="M11" s="346" t="str">
        <f>IF(AND(B11=L11,F11&gt;5),Polarity!L$5,"")</f>
        <v>Borderline (still considered a pass)</v>
      </c>
      <c r="O11" s="99" t="s">
        <v>240</v>
      </c>
      <c r="P11" s="174" t="str">
        <f t="shared" si="0"/>
        <v/>
      </c>
      <c r="Q11" s="124"/>
      <c r="R11" s="124"/>
      <c r="S11" s="336" t="str">
        <f>IF(AND(G11=Polarity!L$6,I11=Polarity!L$6,H11=Polarity!L$6),Polarity!L$6,"")</f>
        <v/>
      </c>
    </row>
    <row r="12" spans="1:30" x14ac:dyDescent="0.2">
      <c r="A12" s="407"/>
      <c r="B12" s="2" t="s">
        <v>101</v>
      </c>
      <c r="C12" s="312">
        <v>19.2</v>
      </c>
      <c r="D12" s="312">
        <v>6.3</v>
      </c>
      <c r="E12" s="312">
        <v>3.3</v>
      </c>
      <c r="F12" s="312">
        <v>5.84</v>
      </c>
      <c r="G12" s="181" t="s">
        <v>235</v>
      </c>
      <c r="H12" s="98" t="s">
        <v>235</v>
      </c>
      <c r="I12" s="98" t="s">
        <v>235</v>
      </c>
      <c r="K12" s="344" t="str">
        <f>IF(AND(G12=Polarity!L$4,I12=Polarity!L$4,H12=Polarity!L$4),Polarity!L$4,Polarity!L$6)</f>
        <v>Pass</v>
      </c>
      <c r="L12" s="345" t="str">
        <f>IF(K12=Polarity!L$4,B12,"")</f>
        <v>1,2-Dichlorobenzene</v>
      </c>
      <c r="M12" s="346" t="str">
        <f>IF(AND(B12=L12,F12&gt;5),Polarity!L$5,"")</f>
        <v>Borderline (still considered a pass)</v>
      </c>
      <c r="O12" s="44" t="s">
        <v>241</v>
      </c>
      <c r="P12" s="174" t="str">
        <f t="shared" si="0"/>
        <v>1,2-Dichlorobenzene</v>
      </c>
      <c r="Q12" s="416">
        <f>0.03/0.018</f>
        <v>1.6666666666666667</v>
      </c>
      <c r="R12" s="124" t="s">
        <v>499</v>
      </c>
      <c r="S12" s="336" t="str">
        <f>IF(AND(G12=Polarity!L$6,I12=Polarity!L$6,H12=Polarity!L$6),Polarity!L$6,"")</f>
        <v/>
      </c>
      <c r="T12" s="231"/>
      <c r="U12" s="231"/>
      <c r="V12" s="231"/>
      <c r="W12" s="231"/>
      <c r="X12" s="231"/>
      <c r="Y12" s="231"/>
      <c r="Z12" s="231"/>
      <c r="AA12" s="231"/>
      <c r="AB12" s="231"/>
      <c r="AC12" s="231"/>
      <c r="AD12" s="231"/>
    </row>
    <row r="13" spans="1:30" x14ac:dyDescent="0.2">
      <c r="A13" s="407"/>
      <c r="B13" s="6" t="s">
        <v>102</v>
      </c>
      <c r="C13" s="311">
        <v>18</v>
      </c>
      <c r="D13" s="311">
        <v>7.4</v>
      </c>
      <c r="E13" s="311">
        <v>4.0999999999999996</v>
      </c>
      <c r="F13" s="311">
        <v>4.07</v>
      </c>
      <c r="G13" s="98" t="s">
        <v>235</v>
      </c>
      <c r="H13" s="98" t="s">
        <v>235</v>
      </c>
      <c r="I13" s="97" t="s">
        <v>236</v>
      </c>
      <c r="K13" s="344" t="str">
        <f>IF(AND(G13=Polarity!L$4,I13=Polarity!L$4,H13=Polarity!L$4),Polarity!L$4,Polarity!L$6)</f>
        <v>Fail</v>
      </c>
      <c r="L13" s="345" t="str">
        <f>IF(K13=Polarity!L$4,B13,"")</f>
        <v/>
      </c>
      <c r="M13" s="346" t="str">
        <f>IF(AND(B13=L13,F13&gt;5),Polarity!L$5,"")</f>
        <v/>
      </c>
      <c r="O13" s="49"/>
      <c r="P13" s="174" t="str">
        <f t="shared" si="0"/>
        <v/>
      </c>
      <c r="Q13" s="124"/>
      <c r="R13" s="124"/>
      <c r="S13" s="336" t="str">
        <f>IF(AND(G13=Polarity!L$6,I13=Polarity!L$6,H13=Polarity!L$6),Polarity!L$6,"")</f>
        <v/>
      </c>
      <c r="T13" s="231"/>
      <c r="U13" s="231"/>
      <c r="V13" s="233"/>
      <c r="W13" s="445"/>
      <c r="X13" s="445"/>
      <c r="Y13" s="445" t="s">
        <v>617</v>
      </c>
      <c r="Z13" s="445" t="s">
        <v>624</v>
      </c>
      <c r="AA13" s="445" t="s">
        <v>623</v>
      </c>
      <c r="AB13" s="451" t="s">
        <v>625</v>
      </c>
      <c r="AC13" s="231"/>
      <c r="AD13" s="231"/>
    </row>
    <row r="14" spans="1:30" x14ac:dyDescent="0.2">
      <c r="A14" s="407"/>
      <c r="B14" s="2" t="s">
        <v>144</v>
      </c>
      <c r="C14" s="312">
        <v>15.8</v>
      </c>
      <c r="D14" s="312">
        <v>5.9</v>
      </c>
      <c r="E14" s="312">
        <v>6.1</v>
      </c>
      <c r="F14" s="312">
        <v>5.79</v>
      </c>
      <c r="G14" s="181" t="s">
        <v>235</v>
      </c>
      <c r="H14" s="97" t="s">
        <v>236</v>
      </c>
      <c r="I14" s="97" t="s">
        <v>236</v>
      </c>
      <c r="K14" s="344" t="str">
        <f>IF(AND(G14=Polarity!L$4,I14=Polarity!L$4,H14=Polarity!L$4),Polarity!L$4,Polarity!L$6)</f>
        <v>Fail</v>
      </c>
      <c r="L14" s="345" t="str">
        <f>IF(K14=Polarity!L$4,B14,"")</f>
        <v/>
      </c>
      <c r="M14" s="346" t="str">
        <f>IF(AND(B14=L14,F14&gt;5),Polarity!L$5,"")</f>
        <v/>
      </c>
      <c r="O14" s="49"/>
      <c r="P14" s="174" t="str">
        <f t="shared" si="0"/>
        <v/>
      </c>
      <c r="Q14" s="124"/>
      <c r="R14" s="124"/>
      <c r="S14" s="336" t="str">
        <f>IF(AND(G14=Polarity!L$6,I14=Polarity!L$6,H14=Polarity!L$6),Polarity!L$6,"")</f>
        <v/>
      </c>
      <c r="T14" s="231"/>
      <c r="U14" s="231"/>
      <c r="V14" s="233" t="s">
        <v>64</v>
      </c>
      <c r="W14" s="445"/>
      <c r="X14" s="445"/>
      <c r="Y14" s="452">
        <f>F64</f>
        <v>4.1500000000000004</v>
      </c>
      <c r="Z14" s="454">
        <v>1.0449999999999999</v>
      </c>
      <c r="AA14" s="225">
        <v>1.321</v>
      </c>
      <c r="AB14" s="445">
        <f t="shared" ref="AB14:AB35" si="1">Z14/AA14</f>
        <v>0.79106737320211962</v>
      </c>
      <c r="AC14" s="231"/>
      <c r="AD14" s="231"/>
    </row>
    <row r="15" spans="1:30" x14ac:dyDescent="0.2">
      <c r="A15" s="407"/>
      <c r="B15" s="2" t="s">
        <v>49</v>
      </c>
      <c r="C15" s="309">
        <v>16.8</v>
      </c>
      <c r="D15" s="309">
        <v>10.4</v>
      </c>
      <c r="E15" s="309">
        <v>21.3</v>
      </c>
      <c r="F15" s="309">
        <v>13.85</v>
      </c>
      <c r="G15" s="97" t="s">
        <v>236</v>
      </c>
      <c r="H15" s="98" t="s">
        <v>235</v>
      </c>
      <c r="I15" s="98" t="s">
        <v>235</v>
      </c>
      <c r="K15" s="344" t="str">
        <f>IF(AND(G15=Polarity!L$4,I15=Polarity!L$4,H15=Polarity!L$4),Polarity!L$4,Polarity!L$6)</f>
        <v>Fail</v>
      </c>
      <c r="L15" s="345" t="str">
        <f>IF(K15=Polarity!L$4,B15,"")</f>
        <v/>
      </c>
      <c r="M15" s="346" t="str">
        <f>IF(AND(B15=L15,F15&gt;5),Polarity!L$5,"")</f>
        <v/>
      </c>
      <c r="O15" s="49"/>
      <c r="P15" s="174" t="str">
        <f t="shared" si="0"/>
        <v/>
      </c>
      <c r="Q15" s="124"/>
      <c r="R15" s="124"/>
      <c r="S15" s="336" t="str">
        <f>IF(AND(G15=Polarity!L$6,I15=Polarity!L$6,H15=Polarity!L$6),Polarity!L$6,"")</f>
        <v/>
      </c>
      <c r="T15" s="231"/>
      <c r="U15" s="231"/>
      <c r="V15" s="225" t="s">
        <v>100</v>
      </c>
      <c r="W15" s="445"/>
      <c r="X15" s="445"/>
      <c r="Y15" s="452">
        <f>F11</f>
        <v>5.26</v>
      </c>
      <c r="Z15" s="454">
        <v>1.387</v>
      </c>
      <c r="AA15" s="225">
        <v>2.5049999999999999</v>
      </c>
      <c r="AB15" s="445">
        <f t="shared" si="1"/>
        <v>0.55369261477045906</v>
      </c>
      <c r="AC15" s="231"/>
      <c r="AD15" s="231"/>
    </row>
    <row r="16" spans="1:30" x14ac:dyDescent="0.2">
      <c r="A16" s="407"/>
      <c r="B16" s="4" t="s">
        <v>50</v>
      </c>
      <c r="C16" s="309">
        <v>16.5</v>
      </c>
      <c r="D16" s="309">
        <v>8.1</v>
      </c>
      <c r="E16" s="309">
        <v>20.9</v>
      </c>
      <c r="F16" s="309">
        <v>13.59</v>
      </c>
      <c r="G16" s="97" t="s">
        <v>236</v>
      </c>
      <c r="H16" s="98" t="s">
        <v>235</v>
      </c>
      <c r="I16" s="98" t="s">
        <v>235</v>
      </c>
      <c r="K16" s="344" t="str">
        <f>IF(AND(G16=Polarity!L$4,I16=Polarity!L$4,H16=Polarity!L$4),Polarity!L$4,Polarity!L$6)</f>
        <v>Fail</v>
      </c>
      <c r="L16" s="345" t="str">
        <f>IF(K16=Polarity!L$4,B16,"")</f>
        <v/>
      </c>
      <c r="M16" s="346" t="str">
        <f>IF(AND(B16=L16,F16&gt;5),Polarity!L$5,"")</f>
        <v/>
      </c>
      <c r="O16" s="49"/>
      <c r="P16" s="174" t="str">
        <f t="shared" si="0"/>
        <v/>
      </c>
      <c r="Q16" s="124"/>
      <c r="R16" s="124"/>
      <c r="S16" s="336" t="str">
        <f>IF(AND(G16=Polarity!L$6,I16=Polarity!L$6,H16=Polarity!L$6),Polarity!L$6,"")</f>
        <v/>
      </c>
      <c r="T16" s="231"/>
      <c r="U16" s="231"/>
      <c r="V16" s="233" t="s">
        <v>195</v>
      </c>
      <c r="W16" s="445"/>
      <c r="X16" s="445"/>
      <c r="Y16" s="452">
        <f>F66</f>
        <v>5.4</v>
      </c>
      <c r="Z16" s="454">
        <v>1.01</v>
      </c>
      <c r="AA16" s="455">
        <v>1.25</v>
      </c>
      <c r="AB16" s="445">
        <f t="shared" si="1"/>
        <v>0.80800000000000005</v>
      </c>
      <c r="AC16" s="231"/>
      <c r="AD16" s="231"/>
    </row>
    <row r="17" spans="1:30" x14ac:dyDescent="0.2">
      <c r="A17" s="407"/>
      <c r="B17" s="2" t="s">
        <v>30</v>
      </c>
      <c r="C17" s="309">
        <v>18.399999999999999</v>
      </c>
      <c r="D17" s="309">
        <v>10.6</v>
      </c>
      <c r="E17" s="309">
        <v>16.5</v>
      </c>
      <c r="F17" s="309">
        <v>8.93</v>
      </c>
      <c r="G17" s="97" t="s">
        <v>236</v>
      </c>
      <c r="H17" s="97" t="s">
        <v>236</v>
      </c>
      <c r="I17" s="98" t="s">
        <v>235</v>
      </c>
      <c r="K17" s="344" t="str">
        <f>IF(AND(G17=Polarity!L$4,I17=Polarity!L$4,H17=Polarity!L$4),Polarity!L$4,Polarity!L$6)</f>
        <v>Fail</v>
      </c>
      <c r="L17" s="345" t="str">
        <f>IF(K17=Polarity!L$4,B17,"")</f>
        <v/>
      </c>
      <c r="M17" s="346" t="str">
        <f>IF(AND(B17=L17,F17&gt;5),Polarity!L$5,"")</f>
        <v/>
      </c>
      <c r="O17" s="49"/>
      <c r="P17" s="174" t="str">
        <f t="shared" si="0"/>
        <v/>
      </c>
      <c r="Q17" s="124"/>
      <c r="R17" s="124"/>
      <c r="S17" s="336" t="str">
        <f>IF(AND(G17=Polarity!L$6,I17=Polarity!L$6,H17=Polarity!L$6),Polarity!L$6,"")</f>
        <v/>
      </c>
      <c r="T17" s="231"/>
      <c r="U17" s="231"/>
      <c r="V17" s="233" t="s">
        <v>78</v>
      </c>
      <c r="W17" s="445"/>
      <c r="X17" s="445"/>
      <c r="Y17" s="452">
        <f>F163</f>
        <v>5.5</v>
      </c>
      <c r="Z17" s="454">
        <v>0.996</v>
      </c>
      <c r="AA17" s="225">
        <v>2.2000000000000002</v>
      </c>
      <c r="AB17" s="445">
        <f t="shared" si="1"/>
        <v>0.4527272727272727</v>
      </c>
      <c r="AC17" s="231"/>
      <c r="AD17" s="231"/>
    </row>
    <row r="18" spans="1:30" x14ac:dyDescent="0.2">
      <c r="A18" s="407"/>
      <c r="B18" s="6" t="s">
        <v>51</v>
      </c>
      <c r="C18" s="309">
        <v>16.600000000000001</v>
      </c>
      <c r="D18" s="309">
        <v>11</v>
      </c>
      <c r="E18" s="309">
        <v>20.9</v>
      </c>
      <c r="F18" s="309">
        <v>13.6</v>
      </c>
      <c r="G18" s="97" t="s">
        <v>236</v>
      </c>
      <c r="H18" s="97" t="s">
        <v>236</v>
      </c>
      <c r="I18" s="98" t="s">
        <v>235</v>
      </c>
      <c r="K18" s="344" t="str">
        <f>IF(AND(G18=Polarity!L$4,I18=Polarity!L$4,H18=Polarity!L$4),Polarity!L$4,Polarity!L$6)</f>
        <v>Fail</v>
      </c>
      <c r="L18" s="345" t="str">
        <f>IF(K18=Polarity!L$4,B18,"")</f>
        <v/>
      </c>
      <c r="M18" s="346" t="str">
        <f>IF(AND(B18=L18,F18&gt;5),Polarity!L$5,"")</f>
        <v/>
      </c>
      <c r="O18" s="49"/>
      <c r="P18" s="174" t="str">
        <f t="shared" si="0"/>
        <v/>
      </c>
      <c r="Q18" s="124"/>
      <c r="R18" s="124"/>
      <c r="S18" s="336" t="str">
        <f>IF(AND(G18=Polarity!L$6,I18=Polarity!L$6,H18=Polarity!L$6),Polarity!L$6,"")</f>
        <v/>
      </c>
      <c r="T18" s="231"/>
      <c r="U18" s="231"/>
      <c r="V18" s="233" t="s">
        <v>128</v>
      </c>
      <c r="W18" s="445"/>
      <c r="X18" s="445"/>
      <c r="Y18" s="452">
        <f>F98</f>
        <v>3.31</v>
      </c>
      <c r="Z18" s="454">
        <v>1.1200000000000001</v>
      </c>
      <c r="AA18" s="225">
        <v>12.9</v>
      </c>
      <c r="AB18" s="445">
        <f t="shared" si="1"/>
        <v>8.6821705426356602E-2</v>
      </c>
      <c r="AC18" s="231"/>
      <c r="AD18" s="231"/>
    </row>
    <row r="19" spans="1:30" x14ac:dyDescent="0.2">
      <c r="B19" s="3" t="s">
        <v>103</v>
      </c>
      <c r="C19" s="332">
        <v>19.7</v>
      </c>
      <c r="D19" s="332">
        <v>5.6</v>
      </c>
      <c r="E19" s="332">
        <v>2.7</v>
      </c>
      <c r="F19" s="332">
        <v>7.09</v>
      </c>
      <c r="G19" s="97" t="s">
        <v>236</v>
      </c>
      <c r="H19" s="97" t="s">
        <v>236</v>
      </c>
      <c r="I19" s="97" t="s">
        <v>236</v>
      </c>
      <c r="K19" s="344" t="str">
        <f>IF(AND(G19=Polarity!L$4,I19=Polarity!L$4,H19=Polarity!L$4),Polarity!L$4,Polarity!L$6)</f>
        <v>Fail</v>
      </c>
      <c r="L19" s="345" t="str">
        <f>IF(K19=Polarity!L$4,B19,"")</f>
        <v/>
      </c>
      <c r="M19" s="346" t="str">
        <f>IF(AND(B19=L19,F19&gt;5),Polarity!L$5,"")</f>
        <v/>
      </c>
      <c r="O19" s="49"/>
      <c r="P19" s="174" t="str">
        <f t="shared" si="0"/>
        <v/>
      </c>
      <c r="Q19" s="124"/>
      <c r="R19" s="124"/>
      <c r="S19" s="336" t="str">
        <f>IF(AND(G19=Polarity!L$6,I19=Polarity!L$6,H19=Polarity!L$6),Polarity!L$6,"")</f>
        <v>Fail</v>
      </c>
      <c r="T19" s="231"/>
      <c r="U19" s="231"/>
      <c r="V19" s="225" t="s">
        <v>47</v>
      </c>
      <c r="W19" s="445"/>
      <c r="X19" s="445"/>
      <c r="Y19" s="452">
        <f>F205</f>
        <v>5.33</v>
      </c>
      <c r="Z19" s="456">
        <v>1.0483</v>
      </c>
      <c r="AA19" s="233">
        <v>6.24</v>
      </c>
      <c r="AB19" s="445">
        <f t="shared" si="1"/>
        <v>0.16799679487179486</v>
      </c>
      <c r="AC19" s="231"/>
      <c r="AD19" s="231"/>
    </row>
    <row r="20" spans="1:30" x14ac:dyDescent="0.2">
      <c r="B20" s="6" t="s">
        <v>145</v>
      </c>
      <c r="C20" s="309">
        <v>17.5</v>
      </c>
      <c r="D20" s="309">
        <v>1.8</v>
      </c>
      <c r="E20" s="309">
        <v>9</v>
      </c>
      <c r="F20" s="309">
        <v>7.68</v>
      </c>
      <c r="G20" s="97" t="s">
        <v>236</v>
      </c>
      <c r="H20" s="98" t="s">
        <v>235</v>
      </c>
      <c r="I20" s="98" t="s">
        <v>235</v>
      </c>
      <c r="K20" s="344" t="str">
        <f>IF(AND(G20=Polarity!L$4,I20=Polarity!L$4,H20=Polarity!L$4),Polarity!L$4,Polarity!L$6)</f>
        <v>Fail</v>
      </c>
      <c r="L20" s="345" t="str">
        <f>IF(K20=Polarity!L$4,B20,"")</f>
        <v/>
      </c>
      <c r="M20" s="346" t="str">
        <f>IF(AND(B20=L20,F20&gt;5),Polarity!L$5,"")</f>
        <v/>
      </c>
      <c r="O20" s="49"/>
      <c r="P20" s="174" t="str">
        <f t="shared" si="0"/>
        <v/>
      </c>
      <c r="Q20" s="124"/>
      <c r="R20" s="124"/>
      <c r="S20" s="336" t="str">
        <f>IF(AND(G20=Polarity!L$6,I20=Polarity!L$6,H20=Polarity!L$6),Polarity!L$6,"")</f>
        <v/>
      </c>
      <c r="T20" s="231"/>
      <c r="U20" s="231"/>
      <c r="V20" s="225" t="s">
        <v>101</v>
      </c>
      <c r="W20" s="445"/>
      <c r="X20" s="445"/>
      <c r="Y20" s="452">
        <f>F12</f>
        <v>5.84</v>
      </c>
      <c r="Z20" s="454">
        <v>1.306</v>
      </c>
      <c r="AA20" s="225">
        <v>1.3240000000000001</v>
      </c>
      <c r="AB20" s="445">
        <f t="shared" si="1"/>
        <v>0.98640483383685795</v>
      </c>
      <c r="AC20" s="231"/>
      <c r="AD20" s="231"/>
    </row>
    <row r="21" spans="1:30" x14ac:dyDescent="0.2">
      <c r="B21" s="6" t="s">
        <v>86</v>
      </c>
      <c r="C21" s="332">
        <v>16.5</v>
      </c>
      <c r="D21" s="332">
        <v>4.0999999999999996</v>
      </c>
      <c r="E21" s="332">
        <v>3.9</v>
      </c>
      <c r="F21" s="332">
        <v>7.1</v>
      </c>
      <c r="G21" s="97" t="s">
        <v>236</v>
      </c>
      <c r="H21" s="97" t="s">
        <v>236</v>
      </c>
      <c r="I21" s="97" t="s">
        <v>236</v>
      </c>
      <c r="K21" s="344" t="str">
        <f>IF(AND(G21=Polarity!L$4,I21=Polarity!L$4,H21=Polarity!L$4),Polarity!L$4,Polarity!L$6)</f>
        <v>Fail</v>
      </c>
      <c r="L21" s="345" t="str">
        <f>IF(K21=Polarity!L$4,B21,"")</f>
        <v/>
      </c>
      <c r="M21" s="346" t="str">
        <f>IF(AND(B21=L21,F21&gt;5),Polarity!L$5,"")</f>
        <v/>
      </c>
      <c r="O21" s="49"/>
      <c r="P21" s="174" t="str">
        <f t="shared" si="0"/>
        <v/>
      </c>
      <c r="Q21" s="124"/>
      <c r="R21" s="124"/>
      <c r="S21" s="336" t="str">
        <f>IF(AND(G21=Polarity!L$6,I21=Polarity!L$6,H21=Polarity!L$6),Polarity!L$6,"")</f>
        <v>Fail</v>
      </c>
      <c r="T21" s="231"/>
      <c r="U21" s="231"/>
      <c r="V21" s="225" t="s">
        <v>187</v>
      </c>
      <c r="W21" s="445"/>
      <c r="X21" s="445"/>
      <c r="Y21" s="452">
        <f>F58</f>
        <v>4.04</v>
      </c>
      <c r="Z21" s="454">
        <v>1.03</v>
      </c>
      <c r="AA21" s="225">
        <v>1.74</v>
      </c>
      <c r="AB21" s="445">
        <f t="shared" si="1"/>
        <v>0.59195402298850575</v>
      </c>
      <c r="AC21" s="231"/>
      <c r="AD21" s="231"/>
    </row>
    <row r="22" spans="1:30" x14ac:dyDescent="0.2">
      <c r="B22" s="2" t="s">
        <v>11</v>
      </c>
      <c r="C22" s="309">
        <v>16</v>
      </c>
      <c r="D22" s="309">
        <v>5.7</v>
      </c>
      <c r="E22" s="309">
        <v>15.8</v>
      </c>
      <c r="F22" s="309">
        <v>9.7200000000000006</v>
      </c>
      <c r="G22" s="97" t="s">
        <v>236</v>
      </c>
      <c r="H22" s="97" t="s">
        <v>236</v>
      </c>
      <c r="I22" s="98" t="s">
        <v>235</v>
      </c>
      <c r="K22" s="344" t="str">
        <f>IF(AND(G22=Polarity!L$4,I22=Polarity!L$4,H22=Polarity!L$4),Polarity!L$4,Polarity!L$6)</f>
        <v>Fail</v>
      </c>
      <c r="L22" s="345" t="str">
        <f>IF(K22=Polarity!L$4,B22,"")</f>
        <v/>
      </c>
      <c r="M22" s="346" t="str">
        <f>IF(AND(B22=L22,F22&gt;5),Polarity!L$5,"")</f>
        <v/>
      </c>
      <c r="O22" s="49"/>
      <c r="P22" s="174" t="str">
        <f t="shared" si="0"/>
        <v/>
      </c>
      <c r="Q22" s="124"/>
      <c r="R22" s="124"/>
      <c r="S22" s="336" t="str">
        <f>IF(AND(G22=Polarity!L$6,I22=Polarity!L$6,H22=Polarity!L$6),Polarity!L$6,"")</f>
        <v/>
      </c>
      <c r="T22" s="231"/>
      <c r="U22" s="231"/>
      <c r="V22" s="233" t="s">
        <v>192</v>
      </c>
      <c r="W22" s="445"/>
      <c r="X22" s="445"/>
      <c r="Y22" s="452">
        <f>F195</f>
        <v>2.74</v>
      </c>
      <c r="Z22" s="454">
        <v>0.97799999999999998</v>
      </c>
      <c r="AA22" s="225">
        <v>0.88</v>
      </c>
      <c r="AB22" s="445">
        <f t="shared" si="1"/>
        <v>1.1113636363636363</v>
      </c>
      <c r="AC22" s="231"/>
      <c r="AD22" s="231"/>
    </row>
    <row r="23" spans="1:30" x14ac:dyDescent="0.2">
      <c r="B23" s="2" t="s">
        <v>93</v>
      </c>
      <c r="C23" s="309">
        <v>16</v>
      </c>
      <c r="D23" s="309">
        <v>7.8</v>
      </c>
      <c r="E23" s="309">
        <v>2</v>
      </c>
      <c r="F23" s="309">
        <f>((4*((C23-18)^2)+((D23-9.3)^2)+((E23-7.7)^2))^0.5)</f>
        <v>7.1232015274032507</v>
      </c>
      <c r="G23" s="97" t="s">
        <v>236</v>
      </c>
      <c r="H23" s="97" t="s">
        <v>236</v>
      </c>
      <c r="I23" s="97" t="s">
        <v>236</v>
      </c>
      <c r="K23" s="344" t="str">
        <f>IF(AND(G23=Polarity!L$4,I23=Polarity!L$4,H23=Polarity!L$4),Polarity!L$4,Polarity!L$6)</f>
        <v>Fail</v>
      </c>
      <c r="L23" s="345" t="str">
        <f>IF(K23=Polarity!L$4,B23,"")</f>
        <v/>
      </c>
      <c r="M23" s="346" t="str">
        <f>IF(AND(B23=L23,F23&gt;5),Polarity!L$5,"")</f>
        <v/>
      </c>
      <c r="O23" s="49"/>
      <c r="P23" s="174" t="str">
        <f t="shared" si="0"/>
        <v/>
      </c>
      <c r="Q23" s="124"/>
      <c r="R23" s="124"/>
      <c r="S23" s="336" t="str">
        <f>IF(AND(G23=Polarity!L$6,I23=Polarity!L$6,H23=Polarity!L$6),Polarity!L$6,"")</f>
        <v>Fail</v>
      </c>
      <c r="T23" s="231"/>
      <c r="U23" s="231"/>
      <c r="V23" s="233" t="s">
        <v>226</v>
      </c>
      <c r="W23" s="445"/>
      <c r="X23" s="445"/>
      <c r="Y23" s="452">
        <f>F178</f>
        <v>3.04</v>
      </c>
      <c r="Z23" s="454">
        <v>1.0329999999999999</v>
      </c>
      <c r="AA23" s="233">
        <v>1.6659999999999999</v>
      </c>
      <c r="AB23" s="445">
        <f t="shared" si="1"/>
        <v>0.62004801920768304</v>
      </c>
      <c r="AC23" s="231"/>
      <c r="AD23" s="231"/>
    </row>
    <row r="24" spans="1:30" x14ac:dyDescent="0.2">
      <c r="B24" s="2" t="s">
        <v>12</v>
      </c>
      <c r="C24" s="309">
        <v>16</v>
      </c>
      <c r="D24" s="309">
        <v>4.7</v>
      </c>
      <c r="E24" s="309">
        <v>10.5</v>
      </c>
      <c r="F24" s="309">
        <v>6.71</v>
      </c>
      <c r="G24" s="97" t="s">
        <v>236</v>
      </c>
      <c r="H24" s="97" t="s">
        <v>236</v>
      </c>
      <c r="I24" s="98" t="s">
        <v>235</v>
      </c>
      <c r="K24" s="344" t="str">
        <f>IF(AND(G24=Polarity!L$4,I24=Polarity!L$4,H24=Polarity!L$4),Polarity!L$4,Polarity!L$6)</f>
        <v>Fail</v>
      </c>
      <c r="L24" s="345" t="str">
        <f>IF(K24=Polarity!L$4,B24,"")</f>
        <v/>
      </c>
      <c r="M24" s="346" t="str">
        <f>IF(AND(B24=L24,F24&gt;5),Polarity!L$5,"")</f>
        <v/>
      </c>
      <c r="O24" s="49"/>
      <c r="P24" s="174" t="str">
        <f t="shared" si="0"/>
        <v/>
      </c>
      <c r="Q24" s="124"/>
      <c r="R24" s="124"/>
      <c r="S24" s="336" t="str">
        <f>IF(AND(G24=Polarity!L$6,I24=Polarity!L$6,H24=Polarity!L$6),Polarity!L$6,"")</f>
        <v/>
      </c>
      <c r="T24" s="231"/>
      <c r="U24" s="231"/>
      <c r="V24" s="225" t="s">
        <v>330</v>
      </c>
      <c r="W24" s="445"/>
      <c r="X24" s="445"/>
      <c r="Y24" s="452">
        <f>F208</f>
        <v>5.83</v>
      </c>
      <c r="Z24" s="454">
        <v>1.155</v>
      </c>
      <c r="AA24" s="225">
        <v>17.399999999999999</v>
      </c>
      <c r="AB24" s="445">
        <f t="shared" si="1"/>
        <v>6.6379310344827594E-2</v>
      </c>
      <c r="AC24" s="231"/>
      <c r="AD24" s="231"/>
    </row>
    <row r="25" spans="1:30" x14ac:dyDescent="0.2">
      <c r="B25" s="3" t="s">
        <v>13</v>
      </c>
      <c r="C25" s="309">
        <v>16</v>
      </c>
      <c r="D25" s="309">
        <v>5.3</v>
      </c>
      <c r="E25" s="309">
        <v>11.7</v>
      </c>
      <c r="F25" s="309">
        <v>6.93</v>
      </c>
      <c r="G25" s="97" t="s">
        <v>236</v>
      </c>
      <c r="H25" s="97" t="s">
        <v>236</v>
      </c>
      <c r="I25" s="98" t="s">
        <v>235</v>
      </c>
      <c r="K25" s="344" t="str">
        <f>IF(AND(G25=Polarity!L$4,I25=Polarity!L$4,H25=Polarity!L$4),Polarity!L$4,Polarity!L$6)</f>
        <v>Fail</v>
      </c>
      <c r="L25" s="345" t="str">
        <f>IF(K25=Polarity!L$4,B25,"")</f>
        <v/>
      </c>
      <c r="M25" s="346" t="str">
        <f>IF(AND(B25=L25,F25&gt;5),Polarity!L$5,"")</f>
        <v/>
      </c>
      <c r="O25" s="49"/>
      <c r="P25" s="174" t="str">
        <f t="shared" si="0"/>
        <v/>
      </c>
      <c r="Q25" s="124"/>
      <c r="R25" s="124"/>
      <c r="S25" s="336" t="str">
        <f>IF(AND(G25=Polarity!L$6,I25=Polarity!L$6,H25=Polarity!L$6),Polarity!L$6,"")</f>
        <v/>
      </c>
      <c r="T25" s="231"/>
      <c r="U25" s="231"/>
      <c r="V25" s="233" t="s">
        <v>73</v>
      </c>
      <c r="W25" s="445"/>
      <c r="X25" s="445"/>
      <c r="Y25" s="452">
        <f>F62</f>
        <v>6.49</v>
      </c>
      <c r="Z25" s="454">
        <v>1.022</v>
      </c>
      <c r="AA25" s="225">
        <v>4.4000000000000004</v>
      </c>
      <c r="AB25" s="445">
        <f t="shared" si="1"/>
        <v>0.23227272727272727</v>
      </c>
      <c r="AC25" s="231"/>
      <c r="AD25" s="231"/>
    </row>
    <row r="26" spans="1:30" x14ac:dyDescent="0.2">
      <c r="B26" s="3" t="s">
        <v>14</v>
      </c>
      <c r="C26" s="309">
        <v>15.9</v>
      </c>
      <c r="D26" s="309">
        <v>5.8</v>
      </c>
      <c r="E26" s="309">
        <v>12.5</v>
      </c>
      <c r="F26" s="309">
        <v>7.28</v>
      </c>
      <c r="G26" s="97" t="s">
        <v>236</v>
      </c>
      <c r="H26" s="97" t="s">
        <v>236</v>
      </c>
      <c r="I26" s="97" t="s">
        <v>236</v>
      </c>
      <c r="K26" s="344" t="str">
        <f>IF(AND(G26=Polarity!L$4,I26=Polarity!L$4,H26=Polarity!L$4),Polarity!L$4,Polarity!L$6)</f>
        <v>Fail</v>
      </c>
      <c r="L26" s="345" t="str">
        <f>IF(K26=Polarity!L$4,B26,"")</f>
        <v/>
      </c>
      <c r="M26" s="346" t="str">
        <f>IF(AND(B26=L26,F26&gt;5),Polarity!L$5,"")</f>
        <v/>
      </c>
      <c r="O26" s="49"/>
      <c r="P26" s="174" t="str">
        <f t="shared" si="0"/>
        <v/>
      </c>
      <c r="Q26" s="124"/>
      <c r="R26" s="124"/>
      <c r="S26" s="336" t="str">
        <f>IF(AND(G26=Polarity!L$6,I26=Polarity!L$6,H26=Polarity!L$6),Polarity!L$6,"")</f>
        <v>Fail</v>
      </c>
      <c r="T26" s="231"/>
      <c r="U26" s="231"/>
      <c r="V26" s="225" t="s">
        <v>189</v>
      </c>
      <c r="W26" s="445"/>
      <c r="X26" s="445"/>
      <c r="Y26" s="452">
        <f>F85</f>
        <v>2.78</v>
      </c>
      <c r="Z26" s="456">
        <v>0.94520000000000004</v>
      </c>
      <c r="AA26" s="233">
        <v>2.2000000000000002</v>
      </c>
      <c r="AB26" s="445">
        <f t="shared" si="1"/>
        <v>0.42963636363636359</v>
      </c>
      <c r="AC26" s="231"/>
      <c r="AD26" s="231"/>
    </row>
    <row r="27" spans="1:30" x14ac:dyDescent="0.2">
      <c r="A27" s="407"/>
      <c r="B27" s="2" t="s">
        <v>31</v>
      </c>
      <c r="C27" s="309">
        <v>15.6</v>
      </c>
      <c r="D27" s="309">
        <v>6.3</v>
      </c>
      <c r="E27" s="309">
        <v>11.6</v>
      </c>
      <c r="F27" s="309">
        <v>6.87</v>
      </c>
      <c r="G27" s="97" t="s">
        <v>236</v>
      </c>
      <c r="H27" s="97" t="s">
        <v>236</v>
      </c>
      <c r="I27" s="98" t="s">
        <v>235</v>
      </c>
      <c r="K27" s="344" t="str">
        <f>IF(AND(G27=Polarity!L$4,I27=Polarity!L$4,H27=Polarity!L$4),Polarity!L$4,Polarity!L$6)</f>
        <v>Fail</v>
      </c>
      <c r="L27" s="345" t="str">
        <f>IF(K27=Polarity!L$4,B27,"")</f>
        <v/>
      </c>
      <c r="M27" s="346" t="str">
        <f>IF(AND(B27=L27,F27&gt;5),Polarity!L$5,"")</f>
        <v/>
      </c>
      <c r="O27" s="49"/>
      <c r="P27" s="174" t="str">
        <f t="shared" si="0"/>
        <v/>
      </c>
      <c r="Q27" s="124"/>
      <c r="R27" s="124"/>
      <c r="S27" s="336" t="str">
        <f>IF(AND(G27=Polarity!L$6,I27=Polarity!L$6,H27=Polarity!L$6),Polarity!L$6,"")</f>
        <v/>
      </c>
      <c r="T27" s="231"/>
      <c r="U27" s="231"/>
      <c r="V27" s="227" t="s">
        <v>36</v>
      </c>
      <c r="W27" s="445"/>
      <c r="X27" s="445"/>
      <c r="Y27" s="452">
        <f>F72</f>
        <v>5.78</v>
      </c>
      <c r="Z27" s="456">
        <v>0.98</v>
      </c>
      <c r="AA27" s="233">
        <v>3.8</v>
      </c>
      <c r="AB27" s="445">
        <f t="shared" si="1"/>
        <v>0.25789473684210529</v>
      </c>
      <c r="AC27" s="231"/>
      <c r="AD27" s="231"/>
    </row>
    <row r="28" spans="1:30" x14ac:dyDescent="0.2">
      <c r="A28" s="407"/>
      <c r="B28" s="5" t="s">
        <v>15</v>
      </c>
      <c r="C28" s="309">
        <v>16</v>
      </c>
      <c r="D28" s="309">
        <v>5</v>
      </c>
      <c r="E28" s="309">
        <v>11.2</v>
      </c>
      <c r="F28" s="309">
        <v>6.84</v>
      </c>
      <c r="G28" s="97" t="s">
        <v>236</v>
      </c>
      <c r="H28" s="97" t="s">
        <v>236</v>
      </c>
      <c r="I28" s="98" t="s">
        <v>235</v>
      </c>
      <c r="K28" s="344" t="str">
        <f>IF(AND(G28=Polarity!L$4,I28=Polarity!L$4,H28=Polarity!L$4),Polarity!L$4,Polarity!L$6)</f>
        <v>Fail</v>
      </c>
      <c r="L28" s="345" t="str">
        <f>IF(K28=Polarity!L$4,B28,"")</f>
        <v/>
      </c>
      <c r="M28" s="346" t="str">
        <f>IF(AND(B28=L28,F28&gt;5),Polarity!L$5,"")</f>
        <v/>
      </c>
      <c r="O28" s="49"/>
      <c r="P28" s="174" t="str">
        <f t="shared" si="0"/>
        <v/>
      </c>
      <c r="Q28" s="124"/>
      <c r="R28" s="124"/>
      <c r="S28" s="336" t="str">
        <f>IF(AND(G28=Polarity!L$6,I28=Polarity!L$6,H28=Polarity!L$6),Polarity!L$6,"")</f>
        <v/>
      </c>
      <c r="T28" s="231"/>
      <c r="U28" s="231"/>
      <c r="V28" s="225" t="s">
        <v>621</v>
      </c>
      <c r="W28" s="445"/>
      <c r="X28" s="445"/>
      <c r="Y28" s="452">
        <f>F167</f>
        <v>5.81</v>
      </c>
      <c r="Z28" s="454">
        <v>0.94499999999999995</v>
      </c>
      <c r="AA28" s="225">
        <v>0.82</v>
      </c>
      <c r="AB28" s="445">
        <f t="shared" si="1"/>
        <v>1.1524390243902438</v>
      </c>
      <c r="AC28" s="231"/>
      <c r="AD28" s="231"/>
    </row>
    <row r="29" spans="1:30" x14ac:dyDescent="0.2">
      <c r="A29" s="407"/>
      <c r="B29" s="5" t="s">
        <v>16</v>
      </c>
      <c r="C29" s="309">
        <v>15.9</v>
      </c>
      <c r="D29" s="309">
        <v>5.9</v>
      </c>
      <c r="E29" s="309">
        <v>13.9</v>
      </c>
      <c r="F29" s="309">
        <v>8.2200000000000006</v>
      </c>
      <c r="G29" s="97" t="s">
        <v>236</v>
      </c>
      <c r="H29" s="97" t="s">
        <v>236</v>
      </c>
      <c r="I29" s="98" t="s">
        <v>235</v>
      </c>
      <c r="K29" s="344" t="str">
        <f>IF(AND(G29=Polarity!L$4,I29=Polarity!L$4,H29=Polarity!L$4),Polarity!L$4,Polarity!L$6)</f>
        <v>Fail</v>
      </c>
      <c r="L29" s="345" t="str">
        <f>IF(K29=Polarity!L$4,B29,"")</f>
        <v/>
      </c>
      <c r="M29" s="346" t="str">
        <f>IF(AND(B29=L29,F29&gt;5),Polarity!L$5,"")</f>
        <v/>
      </c>
      <c r="O29" s="49"/>
      <c r="P29" s="174" t="str">
        <f t="shared" si="0"/>
        <v/>
      </c>
      <c r="Q29" s="124"/>
      <c r="R29" s="124"/>
      <c r="S29" s="336" t="str">
        <f>IF(AND(G29=Polarity!L$6,I29=Polarity!L$6,H29=Polarity!L$6),Polarity!L$6,"")</f>
        <v/>
      </c>
      <c r="T29" s="231"/>
      <c r="U29" s="231"/>
      <c r="V29" s="225" t="s">
        <v>97</v>
      </c>
      <c r="W29" s="445"/>
      <c r="X29" s="445"/>
      <c r="Y29" s="452">
        <f>F8</f>
        <v>5.0999999999999996</v>
      </c>
      <c r="Z29" s="454">
        <v>1.5860000000000001</v>
      </c>
      <c r="AA29" s="225">
        <v>1.77</v>
      </c>
      <c r="AB29" s="445">
        <f t="shared" si="1"/>
        <v>0.89604519774011304</v>
      </c>
      <c r="AC29" s="231"/>
      <c r="AD29" s="231"/>
    </row>
    <row r="30" spans="1:30" x14ac:dyDescent="0.2">
      <c r="A30" s="407"/>
      <c r="B30" s="3" t="s">
        <v>17</v>
      </c>
      <c r="C30" s="309">
        <v>16</v>
      </c>
      <c r="D30" s="309">
        <v>6.8</v>
      </c>
      <c r="E30" s="309">
        <v>17.399999999999999</v>
      </c>
      <c r="F30" s="309">
        <v>10.79</v>
      </c>
      <c r="G30" s="97" t="s">
        <v>236</v>
      </c>
      <c r="H30" s="97" t="s">
        <v>236</v>
      </c>
      <c r="I30" s="98" t="s">
        <v>235</v>
      </c>
      <c r="K30" s="344" t="str">
        <f>IF(AND(G30=Polarity!L$4,I30=Polarity!L$4,H30=Polarity!L$4),Polarity!L$4,Polarity!L$6)</f>
        <v>Fail</v>
      </c>
      <c r="L30" s="345" t="str">
        <f>IF(K30=Polarity!L$4,B30,"")</f>
        <v/>
      </c>
      <c r="M30" s="346" t="str">
        <f>IF(AND(B30=L30,F30&gt;5),Polarity!L$5,"")</f>
        <v/>
      </c>
      <c r="O30" s="49"/>
      <c r="P30" s="174" t="str">
        <f t="shared" si="0"/>
        <v/>
      </c>
      <c r="Q30" s="124"/>
      <c r="R30" s="124"/>
      <c r="S30" s="336" t="str">
        <f>IF(AND(G30=Polarity!L$6,I30=Polarity!L$6,H30=Polarity!L$6),Polarity!L$6,"")</f>
        <v/>
      </c>
      <c r="T30" s="231"/>
      <c r="U30" s="231"/>
      <c r="V30" s="225" t="s">
        <v>227</v>
      </c>
      <c r="W30" s="445"/>
      <c r="X30" s="445"/>
      <c r="Y30" s="452">
        <f>F89</f>
        <v>2.2113344387495983</v>
      </c>
      <c r="Z30" s="454">
        <v>1.25</v>
      </c>
      <c r="AA30" s="225">
        <v>11.03</v>
      </c>
      <c r="AB30" s="445">
        <f t="shared" si="1"/>
        <v>0.11332728921124208</v>
      </c>
      <c r="AC30" s="231"/>
      <c r="AD30" s="231"/>
    </row>
    <row r="31" spans="1:30" x14ac:dyDescent="0.2">
      <c r="A31" s="407"/>
      <c r="B31" s="6" t="s">
        <v>178</v>
      </c>
      <c r="C31" s="309">
        <v>16</v>
      </c>
      <c r="D31" s="309">
        <v>3.7</v>
      </c>
      <c r="E31" s="309">
        <v>4.0999999999999996</v>
      </c>
      <c r="F31" s="309">
        <v>7.77</v>
      </c>
      <c r="G31" s="97" t="s">
        <v>236</v>
      </c>
      <c r="H31" s="97" t="s">
        <v>236</v>
      </c>
      <c r="I31" s="98" t="s">
        <v>235</v>
      </c>
      <c r="K31" s="344" t="str">
        <f>IF(AND(G31=Polarity!L$4,I31=Polarity!L$4,H31=Polarity!L$4),Polarity!L$4,Polarity!L$6)</f>
        <v>Fail</v>
      </c>
      <c r="L31" s="345" t="str">
        <f>IF(K31=Polarity!L$4,B31,"")</f>
        <v/>
      </c>
      <c r="M31" s="346" t="str">
        <f>IF(AND(B31=L31,F31&gt;5),Polarity!L$5,"")</f>
        <v/>
      </c>
      <c r="O31" s="49"/>
      <c r="P31" s="174" t="str">
        <f t="shared" si="0"/>
        <v/>
      </c>
      <c r="Q31" s="124"/>
      <c r="R31" s="124"/>
      <c r="S31" s="336" t="str">
        <f>IF(AND(G31=Polarity!L$6,I31=Polarity!L$6,H31=Polarity!L$6),Polarity!L$6,"")</f>
        <v/>
      </c>
      <c r="T31" s="231"/>
      <c r="U31" s="231"/>
      <c r="V31" s="225" t="s">
        <v>190</v>
      </c>
      <c r="W31" s="445"/>
      <c r="X31" s="445"/>
      <c r="Y31" s="452">
        <f>F88</f>
        <v>3.61</v>
      </c>
      <c r="Z31" s="454">
        <v>0.95099999999999996</v>
      </c>
      <c r="AA31" s="225">
        <v>1.29</v>
      </c>
      <c r="AB31" s="445">
        <f t="shared" si="1"/>
        <v>0.73720930232558135</v>
      </c>
      <c r="AC31" s="231"/>
      <c r="AD31" s="231"/>
    </row>
    <row r="32" spans="1:30" x14ac:dyDescent="0.2">
      <c r="A32" s="407"/>
      <c r="B32" s="6" t="s">
        <v>32</v>
      </c>
      <c r="C32" s="309">
        <v>17</v>
      </c>
      <c r="D32" s="309">
        <v>15.5</v>
      </c>
      <c r="E32" s="309">
        <v>21</v>
      </c>
      <c r="F32" s="309">
        <v>14.81</v>
      </c>
      <c r="G32" s="97" t="s">
        <v>236</v>
      </c>
      <c r="H32" s="100" t="s">
        <v>237</v>
      </c>
      <c r="I32" s="98" t="s">
        <v>235</v>
      </c>
      <c r="K32" s="344" t="str">
        <f>IF(AND(G32=Polarity!L$4,I32=Polarity!L$4,H32=Polarity!L$4),Polarity!L$4,Polarity!L$6)</f>
        <v>Fail</v>
      </c>
      <c r="L32" s="345" t="str">
        <f>IF(K32=Polarity!L$4,B32,"")</f>
        <v/>
      </c>
      <c r="M32" s="346" t="str">
        <f>IF(AND(B32=L32,F32&gt;5),Polarity!L$5,"")</f>
        <v/>
      </c>
      <c r="O32" s="49"/>
      <c r="P32" s="174" t="str">
        <f t="shared" si="0"/>
        <v/>
      </c>
      <c r="Q32" s="124"/>
      <c r="R32" s="124"/>
      <c r="S32" s="336" t="str">
        <f>IF(AND(G32=Polarity!L$6,I32=Polarity!L$6,H32=Polarity!L$6),Polarity!L$6,"")</f>
        <v/>
      </c>
      <c r="T32" s="231"/>
      <c r="U32" s="231"/>
      <c r="V32" s="233" t="s">
        <v>199</v>
      </c>
      <c r="W32" s="445"/>
      <c r="X32" s="445"/>
      <c r="Y32" s="452">
        <f>F173</f>
        <v>6.23</v>
      </c>
      <c r="Z32" s="454">
        <v>1.196</v>
      </c>
      <c r="AA32" s="225">
        <v>1.8</v>
      </c>
      <c r="AB32" s="445">
        <f t="shared" si="1"/>
        <v>0.66444444444444439</v>
      </c>
      <c r="AC32" s="231"/>
      <c r="AD32" s="231"/>
    </row>
    <row r="33" spans="1:30" ht="12.75" customHeight="1" x14ac:dyDescent="0.2">
      <c r="A33" s="407"/>
      <c r="B33" s="6" t="s">
        <v>18</v>
      </c>
      <c r="C33" s="309">
        <v>15.8</v>
      </c>
      <c r="D33" s="309">
        <v>5.7</v>
      </c>
      <c r="E33" s="309">
        <v>14.5</v>
      </c>
      <c r="F33" s="309">
        <v>8.86</v>
      </c>
      <c r="G33" s="97" t="s">
        <v>236</v>
      </c>
      <c r="H33" s="97" t="s">
        <v>236</v>
      </c>
      <c r="I33" s="98" t="s">
        <v>235</v>
      </c>
      <c r="K33" s="344" t="str">
        <f>IF(AND(G33=Polarity!L$4,I33=Polarity!L$4,H33=Polarity!L$4),Polarity!L$4,Polarity!L$6)</f>
        <v>Fail</v>
      </c>
      <c r="L33" s="345" t="str">
        <f>IF(K33=Polarity!L$4,B33,"")</f>
        <v/>
      </c>
      <c r="M33" s="346" t="str">
        <f>IF(AND(B33=L33,F33&gt;5),Polarity!L$5,"")</f>
        <v/>
      </c>
      <c r="O33" s="49"/>
      <c r="P33" s="174" t="str">
        <f t="shared" si="0"/>
        <v/>
      </c>
      <c r="Q33" s="124"/>
      <c r="R33" s="124"/>
      <c r="S33" s="336" t="str">
        <f>IF(AND(G33=Polarity!L$6,I33=Polarity!L$6,H33=Polarity!L$6),Polarity!L$6,"")</f>
        <v/>
      </c>
      <c r="T33" s="231"/>
      <c r="U33" s="231"/>
      <c r="V33" s="225" t="s">
        <v>65</v>
      </c>
      <c r="W33" s="445"/>
      <c r="X33" s="445"/>
      <c r="Y33" s="452">
        <f>F137</f>
        <v>6.29</v>
      </c>
      <c r="Z33" s="456">
        <v>1.1545000000000001</v>
      </c>
      <c r="AA33" s="457">
        <v>1.587</v>
      </c>
      <c r="AB33" s="445">
        <f t="shared" si="1"/>
        <v>0.72747321991178326</v>
      </c>
      <c r="AC33" s="231"/>
      <c r="AD33" s="231"/>
    </row>
    <row r="34" spans="1:30" x14ac:dyDescent="0.2">
      <c r="A34" s="407"/>
      <c r="B34" s="3" t="s">
        <v>33</v>
      </c>
      <c r="C34" s="309">
        <v>16</v>
      </c>
      <c r="D34" s="309">
        <v>5.0999999999999996</v>
      </c>
      <c r="E34" s="309">
        <v>12.3</v>
      </c>
      <c r="F34" s="309">
        <v>7.4</v>
      </c>
      <c r="G34" s="97" t="s">
        <v>236</v>
      </c>
      <c r="H34" s="97" t="s">
        <v>236</v>
      </c>
      <c r="I34" s="98" t="s">
        <v>235</v>
      </c>
      <c r="K34" s="344" t="str">
        <f>IF(AND(G34=Polarity!L$4,I34=Polarity!L$4,H34=Polarity!L$4),Polarity!L$4,Polarity!L$6)</f>
        <v>Fail</v>
      </c>
      <c r="L34" s="345" t="str">
        <f>IF(K34=Polarity!L$4,B34,"")</f>
        <v/>
      </c>
      <c r="M34" s="346" t="str">
        <f>IF(AND(B34=L34,F34&gt;5),Polarity!L$5,"")</f>
        <v/>
      </c>
      <c r="O34" s="49"/>
      <c r="P34" s="174" t="str">
        <f t="shared" si="0"/>
        <v/>
      </c>
      <c r="Q34" s="124"/>
      <c r="R34" s="124"/>
      <c r="S34" s="336" t="str">
        <f>IF(AND(G34=Polarity!L$6,I34=Polarity!L$6,H34=Polarity!L$6),Polarity!L$6,"")</f>
        <v/>
      </c>
      <c r="T34" s="231"/>
      <c r="U34" s="231"/>
      <c r="V34" s="225" t="s">
        <v>37</v>
      </c>
      <c r="W34" s="445"/>
      <c r="X34" s="445"/>
      <c r="Y34" s="452">
        <f>F103</f>
        <v>5.45</v>
      </c>
      <c r="Z34" s="454">
        <v>0.95299999999999996</v>
      </c>
      <c r="AA34" s="225">
        <v>4.9000000000000004</v>
      </c>
      <c r="AB34" s="445">
        <f t="shared" si="1"/>
        <v>0.19448979591836732</v>
      </c>
      <c r="AC34" s="231"/>
      <c r="AD34" s="231"/>
    </row>
    <row r="35" spans="1:30" x14ac:dyDescent="0.2">
      <c r="B35" s="6" t="s">
        <v>94</v>
      </c>
      <c r="C35" s="309">
        <v>15</v>
      </c>
      <c r="D35" s="309">
        <v>8</v>
      </c>
      <c r="E35" s="309">
        <v>2</v>
      </c>
      <c r="F35" s="309">
        <f>((4*((C35-18)^2)+((D35-9.3)^2)+((E35-7.7)^2))^0.5)</f>
        <v>8.3773504164502999</v>
      </c>
      <c r="G35" s="97" t="s">
        <v>236</v>
      </c>
      <c r="H35" s="97" t="s">
        <v>236</v>
      </c>
      <c r="I35" s="97" t="s">
        <v>236</v>
      </c>
      <c r="K35" s="344" t="str">
        <f>IF(AND(G35=Polarity!L$4,I35=Polarity!L$4,H35=Polarity!L$4),Polarity!L$4,Polarity!L$6)</f>
        <v>Fail</v>
      </c>
      <c r="L35" s="345" t="str">
        <f>IF(K35=Polarity!L$4,B35,"")</f>
        <v/>
      </c>
      <c r="M35" s="346" t="str">
        <f>IF(AND(B35=L35,F35&gt;5),Polarity!L$5,"")</f>
        <v/>
      </c>
      <c r="O35" s="49"/>
      <c r="P35" s="174" t="str">
        <f t="shared" si="0"/>
        <v/>
      </c>
      <c r="Q35" s="124"/>
      <c r="R35" s="124"/>
      <c r="S35" s="336" t="str">
        <f>IF(AND(G35=Polarity!L$6,I35=Polarity!L$6,H35=Polarity!L$6),Polarity!L$6,"")</f>
        <v>Fail</v>
      </c>
      <c r="T35" s="231"/>
      <c r="U35" s="231"/>
      <c r="V35" s="233" t="s">
        <v>622</v>
      </c>
      <c r="W35" s="445"/>
      <c r="X35" s="445"/>
      <c r="Y35" s="452">
        <f>F165</f>
        <v>3.67</v>
      </c>
      <c r="Z35" s="456">
        <v>0.93600000000000005</v>
      </c>
      <c r="AA35" s="233">
        <v>0.92700000000000005</v>
      </c>
      <c r="AB35" s="445">
        <f t="shared" si="1"/>
        <v>1.0097087378640777</v>
      </c>
      <c r="AC35" s="231"/>
      <c r="AD35" s="231"/>
    </row>
    <row r="36" spans="1:30" x14ac:dyDescent="0.2">
      <c r="A36" s="407"/>
      <c r="B36" s="7" t="s">
        <v>34</v>
      </c>
      <c r="C36" s="309">
        <v>15.9</v>
      </c>
      <c r="D36" s="309">
        <v>7.2</v>
      </c>
      <c r="E36" s="309">
        <v>14</v>
      </c>
      <c r="F36" s="309">
        <v>7.86</v>
      </c>
      <c r="G36" s="97" t="s">
        <v>236</v>
      </c>
      <c r="H36" s="97" t="s">
        <v>236</v>
      </c>
      <c r="I36" s="98" t="s">
        <v>235</v>
      </c>
      <c r="K36" s="344" t="str">
        <f>IF(AND(G36=Polarity!L$4,I36=Polarity!L$4,H36=Polarity!L$4),Polarity!L$4,Polarity!L$6)</f>
        <v>Fail</v>
      </c>
      <c r="L36" s="345" t="str">
        <f>IF(K36=Polarity!L$4,B36,"")</f>
        <v/>
      </c>
      <c r="M36" s="346" t="str">
        <f>IF(AND(B36=L36,F36&gt;5),Polarity!L$5,"")</f>
        <v/>
      </c>
      <c r="O36" s="49"/>
      <c r="P36" s="174" t="str">
        <f t="shared" si="0"/>
        <v/>
      </c>
      <c r="Q36" s="124"/>
      <c r="R36" s="124"/>
      <c r="S36" s="336" t="str">
        <f>IF(AND(G36=Polarity!L$6,I36=Polarity!L$6,H36=Polarity!L$6),Polarity!L$6,"")</f>
        <v/>
      </c>
      <c r="T36" s="231"/>
      <c r="U36" s="231"/>
      <c r="V36" s="231"/>
      <c r="W36" s="231"/>
      <c r="X36" s="231"/>
      <c r="Y36" s="231"/>
      <c r="Z36" s="231"/>
      <c r="AA36" s="231"/>
      <c r="AB36" s="231"/>
      <c r="AC36" s="231"/>
      <c r="AD36" s="231"/>
    </row>
    <row r="37" spans="1:30" x14ac:dyDescent="0.2">
      <c r="A37" s="407"/>
      <c r="B37" s="4" t="s">
        <v>110</v>
      </c>
      <c r="C37" s="309">
        <v>15.9</v>
      </c>
      <c r="D37" s="309">
        <v>4.7</v>
      </c>
      <c r="E37" s="309">
        <v>10.6</v>
      </c>
      <c r="F37" s="309">
        <v>6.87</v>
      </c>
      <c r="G37" s="97" t="s">
        <v>236</v>
      </c>
      <c r="H37" s="97" t="s">
        <v>236</v>
      </c>
      <c r="I37" s="98" t="s">
        <v>235</v>
      </c>
      <c r="K37" s="344" t="str">
        <f>IF(AND(G37=Polarity!L$4,I37=Polarity!L$4,H37=Polarity!L$4),Polarity!L$4,Polarity!L$6)</f>
        <v>Fail</v>
      </c>
      <c r="L37" s="345" t="str">
        <f>IF(K37=Polarity!L$4,B37,"")</f>
        <v/>
      </c>
      <c r="M37" s="346" t="str">
        <f>IF(AND(B37=L37,F37&gt;5),Polarity!L$5,"")</f>
        <v/>
      </c>
      <c r="O37" s="49"/>
      <c r="P37" s="174" t="str">
        <f t="shared" si="0"/>
        <v/>
      </c>
      <c r="Q37" s="124"/>
      <c r="R37" s="124"/>
      <c r="S37" s="336" t="str">
        <f>IF(AND(G37=Polarity!L$6,I37=Polarity!L$6,H37=Polarity!L$6),Polarity!L$6,"")</f>
        <v/>
      </c>
      <c r="T37" s="231"/>
      <c r="U37" s="231"/>
      <c r="V37" s="231"/>
      <c r="W37" s="231"/>
      <c r="X37" s="231"/>
      <c r="Y37" s="231"/>
      <c r="Z37" s="231"/>
      <c r="AA37" s="231"/>
      <c r="AB37" s="231"/>
      <c r="AC37" s="231"/>
      <c r="AD37" s="231"/>
    </row>
    <row r="38" spans="1:30" x14ac:dyDescent="0.2">
      <c r="A38" s="407"/>
      <c r="B38" s="2" t="s">
        <v>19</v>
      </c>
      <c r="C38" s="309">
        <v>15.9</v>
      </c>
      <c r="D38" s="309">
        <v>3.3</v>
      </c>
      <c r="E38" s="309">
        <v>11.8</v>
      </c>
      <c r="F38" s="309">
        <v>8.39</v>
      </c>
      <c r="G38" s="97" t="s">
        <v>236</v>
      </c>
      <c r="H38" s="100" t="s">
        <v>237</v>
      </c>
      <c r="I38" s="98" t="s">
        <v>235</v>
      </c>
      <c r="K38" s="344" t="str">
        <f>IF(AND(G38=Polarity!L$4,I38=Polarity!L$4,H38=Polarity!L$4),Polarity!L$4,Polarity!L$6)</f>
        <v>Fail</v>
      </c>
      <c r="L38" s="345" t="str">
        <f>IF(K38=Polarity!L$4,B38,"")</f>
        <v/>
      </c>
      <c r="M38" s="346" t="str">
        <f>IF(AND(B38=L38,F38&gt;5),Polarity!L$5,"")</f>
        <v/>
      </c>
      <c r="O38" s="49"/>
      <c r="P38" s="174" t="str">
        <f t="shared" si="0"/>
        <v/>
      </c>
      <c r="Q38" s="124"/>
      <c r="R38" s="124"/>
      <c r="S38" s="336" t="str">
        <f>IF(AND(G38=Polarity!L$6,I38=Polarity!L$6,H38=Polarity!L$6),Polarity!L$6,"")</f>
        <v/>
      </c>
      <c r="T38" s="231"/>
      <c r="U38" s="231"/>
      <c r="V38" s="231"/>
      <c r="W38" s="231"/>
      <c r="X38" s="231"/>
      <c r="Y38" s="231"/>
      <c r="Z38" s="231"/>
      <c r="AA38" s="231"/>
      <c r="AB38" s="231"/>
      <c r="AC38" s="231"/>
      <c r="AD38" s="231"/>
    </row>
    <row r="39" spans="1:30" x14ac:dyDescent="0.2">
      <c r="A39" s="407"/>
      <c r="B39" s="4" t="s">
        <v>179</v>
      </c>
      <c r="C39" s="310">
        <v>16.2</v>
      </c>
      <c r="D39" s="310">
        <v>5.7</v>
      </c>
      <c r="E39" s="310">
        <v>4.0999999999999996</v>
      </c>
      <c r="F39" s="310">
        <v>6.24</v>
      </c>
      <c r="G39" s="181" t="s">
        <v>235</v>
      </c>
      <c r="H39" s="97" t="s">
        <v>236</v>
      </c>
      <c r="I39" s="98" t="s">
        <v>235</v>
      </c>
      <c r="K39" s="344" t="str">
        <f>IF(AND(G39=Polarity!L$4,I39=Polarity!L$4,H39=Polarity!L$4),Polarity!L$4,Polarity!L$6)</f>
        <v>Fail</v>
      </c>
      <c r="L39" s="345" t="str">
        <f>IF(K39=Polarity!L$4,B39,"")</f>
        <v/>
      </c>
      <c r="M39" s="346" t="str">
        <f>IF(AND(B39=L39,F39&gt;5),Polarity!L$5,"")</f>
        <v/>
      </c>
      <c r="O39" s="49"/>
      <c r="P39" s="174" t="str">
        <f t="shared" si="0"/>
        <v/>
      </c>
      <c r="Q39" s="124"/>
      <c r="R39" s="124"/>
      <c r="S39" s="336" t="str">
        <f>IF(AND(G39=Polarity!L$6,I39=Polarity!L$6,H39=Polarity!L$6),Polarity!L$6,"")</f>
        <v/>
      </c>
      <c r="T39" s="231"/>
      <c r="U39" s="231"/>
      <c r="V39" s="231"/>
      <c r="W39" s="231"/>
      <c r="X39" s="231"/>
      <c r="Y39" s="231"/>
      <c r="Z39" s="231"/>
      <c r="AA39" s="231"/>
      <c r="AB39" s="231"/>
      <c r="AC39" s="231"/>
      <c r="AD39" s="231"/>
    </row>
    <row r="40" spans="1:30" x14ac:dyDescent="0.2">
      <c r="B40" s="7" t="s">
        <v>180</v>
      </c>
      <c r="C40" s="309">
        <v>15.3</v>
      </c>
      <c r="D40" s="309">
        <v>6.1</v>
      </c>
      <c r="E40" s="309">
        <v>4.0999999999999996</v>
      </c>
      <c r="F40" s="309">
        <v>7.24</v>
      </c>
      <c r="G40" s="97" t="s">
        <v>236</v>
      </c>
      <c r="H40" s="97" t="s">
        <v>236</v>
      </c>
      <c r="I40" s="97" t="s">
        <v>236</v>
      </c>
      <c r="K40" s="344" t="str">
        <f>IF(AND(G40=Polarity!L$4,I40=Polarity!L$4,H40=Polarity!L$4),Polarity!L$4,Polarity!L$6)</f>
        <v>Fail</v>
      </c>
      <c r="L40" s="345" t="str">
        <f>IF(K40=Polarity!L$4,B40,"")</f>
        <v/>
      </c>
      <c r="M40" s="346" t="str">
        <f>IF(AND(B40=L40,F40&gt;5),Polarity!L$5,"")</f>
        <v/>
      </c>
      <c r="O40" s="49"/>
      <c r="P40" s="174" t="str">
        <f t="shared" si="0"/>
        <v/>
      </c>
      <c r="Q40" s="124"/>
      <c r="R40" s="124"/>
      <c r="S40" s="336" t="str">
        <f>IF(AND(G40=Polarity!L$6,I40=Polarity!L$6,H40=Polarity!L$6),Polarity!L$6,"")</f>
        <v>Fail</v>
      </c>
      <c r="T40" s="231"/>
      <c r="U40" s="231"/>
      <c r="V40" s="231"/>
      <c r="W40" s="231"/>
      <c r="X40" s="231"/>
      <c r="Y40" s="231"/>
      <c r="Z40" s="231"/>
      <c r="AA40" s="231"/>
      <c r="AB40" s="231"/>
      <c r="AC40" s="231"/>
      <c r="AD40" s="231"/>
    </row>
    <row r="41" spans="1:30" x14ac:dyDescent="0.2">
      <c r="A41" s="407"/>
      <c r="B41" s="2" t="s">
        <v>35</v>
      </c>
      <c r="C41" s="309">
        <v>16</v>
      </c>
      <c r="D41" s="309">
        <v>8.1999999999999993</v>
      </c>
      <c r="E41" s="309">
        <v>15</v>
      </c>
      <c r="F41" s="309">
        <v>8.4</v>
      </c>
      <c r="G41" s="97" t="s">
        <v>236</v>
      </c>
      <c r="H41" s="97" t="s">
        <v>236</v>
      </c>
      <c r="I41" s="98" t="s">
        <v>235</v>
      </c>
      <c r="K41" s="344" t="str">
        <f>IF(AND(G41=Polarity!L$4,I41=Polarity!L$4,H41=Polarity!L$4),Polarity!L$4,Polarity!L$6)</f>
        <v>Fail</v>
      </c>
      <c r="L41" s="345" t="str">
        <f>IF(K41=Polarity!L$4,B41,"")</f>
        <v/>
      </c>
      <c r="M41" s="346" t="str">
        <f>IF(AND(B41=L41,F41&gt;5),Polarity!L$5,"")</f>
        <v/>
      </c>
      <c r="O41" s="49"/>
      <c r="P41" s="174" t="str">
        <f t="shared" si="0"/>
        <v/>
      </c>
      <c r="Q41" s="124"/>
      <c r="R41" s="124"/>
      <c r="S41" s="336" t="str">
        <f>IF(AND(G41=Polarity!L$6,I41=Polarity!L$6,H41=Polarity!L$6),Polarity!L$6,"")</f>
        <v/>
      </c>
      <c r="T41" s="231"/>
      <c r="U41" s="231"/>
      <c r="V41" s="231"/>
      <c r="W41" s="231"/>
      <c r="X41" s="231"/>
      <c r="Y41" s="231"/>
      <c r="Z41" s="231"/>
      <c r="AA41" s="231"/>
      <c r="AB41" s="231"/>
      <c r="AC41" s="231"/>
      <c r="AD41" s="231"/>
    </row>
    <row r="42" spans="1:30" x14ac:dyDescent="0.2">
      <c r="A42" s="407"/>
      <c r="B42" s="2" t="s">
        <v>20</v>
      </c>
      <c r="C42" s="309">
        <v>15.3</v>
      </c>
      <c r="D42" s="309">
        <v>6.1</v>
      </c>
      <c r="E42" s="309">
        <v>13.3</v>
      </c>
      <c r="F42" s="309">
        <v>8.41</v>
      </c>
      <c r="G42" s="97" t="s">
        <v>236</v>
      </c>
      <c r="H42" s="97" t="s">
        <v>236</v>
      </c>
      <c r="I42" s="98" t="s">
        <v>235</v>
      </c>
      <c r="K42" s="344" t="str">
        <f>IF(AND(G42=Polarity!L$4,I42=Polarity!L$4,H42=Polarity!L$4),Polarity!L$4,Polarity!L$6)</f>
        <v>Fail</v>
      </c>
      <c r="L42" s="345" t="str">
        <f>IF(K42=Polarity!L$4,B42,"")</f>
        <v/>
      </c>
      <c r="M42" s="346" t="str">
        <f>IF(AND(B42=L42,F42&gt;5),Polarity!L$5,"")</f>
        <v/>
      </c>
      <c r="O42" s="49"/>
      <c r="P42" s="174" t="str">
        <f t="shared" si="0"/>
        <v/>
      </c>
      <c r="Q42" s="124"/>
      <c r="R42" s="124"/>
      <c r="S42" s="336" t="str">
        <f>IF(AND(G42=Polarity!L$6,I42=Polarity!L$6,H42=Polarity!L$6),Polarity!L$6,"")</f>
        <v/>
      </c>
      <c r="T42" s="231"/>
      <c r="U42" s="231"/>
      <c r="V42" s="231"/>
      <c r="W42" s="231"/>
      <c r="X42" s="231"/>
      <c r="Y42" s="231"/>
      <c r="Z42" s="231"/>
      <c r="AA42" s="231"/>
      <c r="AB42" s="231"/>
      <c r="AC42" s="231"/>
      <c r="AD42" s="231"/>
    </row>
    <row r="43" spans="1:30" x14ac:dyDescent="0.2">
      <c r="B43" s="5" t="s">
        <v>131</v>
      </c>
      <c r="C43" s="312">
        <v>16.899999999999999</v>
      </c>
      <c r="D43" s="312">
        <v>5</v>
      </c>
      <c r="E43" s="312">
        <v>4.3</v>
      </c>
      <c r="F43" s="312">
        <v>5.91</v>
      </c>
      <c r="G43" s="181" t="s">
        <v>235</v>
      </c>
      <c r="H43" s="100" t="s">
        <v>237</v>
      </c>
      <c r="I43" s="97" t="s">
        <v>236</v>
      </c>
      <c r="K43" s="344" t="str">
        <f>IF(AND(G43=Polarity!L$4,I43=Polarity!L$4,H43=Polarity!L$4),Polarity!L$4,Polarity!L$6)</f>
        <v>Fail</v>
      </c>
      <c r="L43" s="345" t="str">
        <f>IF(K43=Polarity!L$4,B43,"")</f>
        <v/>
      </c>
      <c r="M43" s="346" t="str">
        <f>IF(AND(B43=L43,F43&gt;5),Polarity!L$5,"")</f>
        <v/>
      </c>
      <c r="O43" s="49"/>
      <c r="P43" s="174" t="str">
        <f t="shared" si="0"/>
        <v/>
      </c>
      <c r="Q43" s="124"/>
      <c r="R43" s="124"/>
      <c r="S43" s="336" t="str">
        <f>IF(AND(G43=Polarity!L$6,I43=Polarity!L$6,H43=Polarity!L$6),Polarity!L$6,"")</f>
        <v/>
      </c>
      <c r="T43" s="231"/>
      <c r="U43" s="231"/>
      <c r="V43" s="231"/>
      <c r="W43" s="231"/>
      <c r="X43" s="231"/>
      <c r="Y43" s="231"/>
      <c r="Z43" s="231"/>
      <c r="AA43" s="231"/>
      <c r="AB43" s="231"/>
      <c r="AC43" s="231"/>
      <c r="AD43" s="231"/>
    </row>
    <row r="44" spans="1:30" x14ac:dyDescent="0.2">
      <c r="B44" s="3" t="s">
        <v>198</v>
      </c>
      <c r="C44" s="312">
        <v>16.2</v>
      </c>
      <c r="D44" s="312">
        <v>12.1</v>
      </c>
      <c r="E44" s="312">
        <v>4.0999999999999996</v>
      </c>
      <c r="F44" s="312">
        <v>5.81</v>
      </c>
      <c r="G44" s="181" t="s">
        <v>235</v>
      </c>
      <c r="H44" s="97" t="s">
        <v>236</v>
      </c>
      <c r="I44" s="97" t="s">
        <v>236</v>
      </c>
      <c r="K44" s="344" t="str">
        <f>IF(AND(G44=Polarity!L$4,I44=Polarity!L$4,H44=Polarity!L$4),Polarity!L$4,Polarity!L$6)</f>
        <v>Fail</v>
      </c>
      <c r="L44" s="345" t="str">
        <f>IF(K44=Polarity!L$4,B44,"")</f>
        <v/>
      </c>
      <c r="M44" s="346" t="str">
        <f>IF(AND(B44=L44,F44&gt;5),Polarity!L$5,"")</f>
        <v/>
      </c>
      <c r="O44" s="49"/>
      <c r="P44" s="174" t="str">
        <f t="shared" si="0"/>
        <v/>
      </c>
      <c r="Q44" s="124"/>
      <c r="R44" s="124"/>
      <c r="S44" s="336" t="str">
        <f>IF(AND(G44=Polarity!L$6,I44=Polarity!L$6,H44=Polarity!L$6),Polarity!L$6,"")</f>
        <v/>
      </c>
      <c r="T44" s="231"/>
      <c r="U44" s="231"/>
      <c r="V44" s="231"/>
      <c r="W44" s="231"/>
      <c r="X44" s="231"/>
      <c r="Y44" s="231"/>
      <c r="Z44" s="231"/>
      <c r="AA44" s="231"/>
      <c r="AB44" s="231"/>
      <c r="AC44" s="231"/>
      <c r="AD44" s="231"/>
    </row>
    <row r="45" spans="1:30" x14ac:dyDescent="0.2">
      <c r="A45" s="407"/>
      <c r="B45" s="7" t="s">
        <v>21</v>
      </c>
      <c r="C45" s="309">
        <v>16.100000000000001</v>
      </c>
      <c r="D45" s="309">
        <v>4.2</v>
      </c>
      <c r="E45" s="309">
        <v>9.1</v>
      </c>
      <c r="F45" s="309">
        <v>6.51</v>
      </c>
      <c r="G45" s="97" t="s">
        <v>236</v>
      </c>
      <c r="H45" s="97" t="s">
        <v>236</v>
      </c>
      <c r="I45" s="98" t="s">
        <v>235</v>
      </c>
      <c r="K45" s="344" t="str">
        <f>IF(AND(G45=Polarity!L$4,I45=Polarity!L$4,H45=Polarity!L$4),Polarity!L$4,Polarity!L$6)</f>
        <v>Fail</v>
      </c>
      <c r="L45" s="345" t="str">
        <f>IF(K45=Polarity!L$4,B45,"")</f>
        <v/>
      </c>
      <c r="M45" s="346" t="str">
        <f>IF(AND(B45=L45,F45&gt;5),Polarity!L$5,"")</f>
        <v/>
      </c>
      <c r="O45" s="49"/>
      <c r="P45" s="174" t="str">
        <f t="shared" si="0"/>
        <v/>
      </c>
      <c r="Q45" s="124"/>
      <c r="R45" s="124"/>
      <c r="S45" s="336" t="str">
        <f>IF(AND(G45=Polarity!L$6,I45=Polarity!L$6,H45=Polarity!L$6),Polarity!L$6,"")</f>
        <v/>
      </c>
      <c r="T45" s="231"/>
      <c r="U45" s="231"/>
      <c r="V45" s="231"/>
      <c r="W45" s="231"/>
      <c r="X45" s="231"/>
      <c r="Y45" s="231"/>
      <c r="Z45" s="231"/>
      <c r="AA45" s="231"/>
      <c r="AB45" s="231"/>
      <c r="AC45" s="231"/>
      <c r="AD45" s="231"/>
    </row>
    <row r="46" spans="1:30" ht="12.75" customHeight="1" x14ac:dyDescent="0.2">
      <c r="B46" s="6" t="s">
        <v>181</v>
      </c>
      <c r="C46" s="312">
        <v>16</v>
      </c>
      <c r="D46" s="312">
        <v>7.6</v>
      </c>
      <c r="E46" s="312">
        <v>4.7</v>
      </c>
      <c r="F46" s="312">
        <v>5.28</v>
      </c>
      <c r="G46" s="181" t="s">
        <v>235</v>
      </c>
      <c r="H46" s="98" t="s">
        <v>235</v>
      </c>
      <c r="I46" s="97" t="s">
        <v>236</v>
      </c>
      <c r="K46" s="344" t="str">
        <f>IF(AND(G46=Polarity!L$4,I46=Polarity!L$4,H46=Polarity!L$4),Polarity!L$4,Polarity!L$6)</f>
        <v>Fail</v>
      </c>
      <c r="L46" s="345" t="str">
        <f>IF(K46=Polarity!L$4,B46,"")</f>
        <v/>
      </c>
      <c r="M46" s="346" t="str">
        <f>IF(AND(B46=L46,F46&gt;5),Polarity!L$5,"")</f>
        <v/>
      </c>
      <c r="O46" s="49"/>
      <c r="P46" s="174" t="str">
        <f t="shared" si="0"/>
        <v/>
      </c>
      <c r="Q46" s="124"/>
      <c r="R46" s="124"/>
      <c r="S46" s="336" t="str">
        <f>IF(AND(G46=Polarity!L$6,I46=Polarity!L$6,H46=Polarity!L$6),Polarity!L$6,"")</f>
        <v/>
      </c>
      <c r="T46" s="231"/>
      <c r="U46" s="521" t="s">
        <v>626</v>
      </c>
      <c r="V46" s="521"/>
      <c r="W46" s="521"/>
      <c r="X46" s="521"/>
      <c r="Y46" s="521"/>
      <c r="Z46" s="521"/>
      <c r="AA46" s="521"/>
      <c r="AB46" s="521"/>
      <c r="AC46" s="521"/>
      <c r="AD46" s="231"/>
    </row>
    <row r="47" spans="1:30" x14ac:dyDescent="0.2">
      <c r="A47" s="407"/>
      <c r="B47" s="3" t="s">
        <v>22</v>
      </c>
      <c r="C47" s="309">
        <v>15.8</v>
      </c>
      <c r="D47" s="309">
        <v>6.1</v>
      </c>
      <c r="E47" s="309">
        <v>16.399999999999999</v>
      </c>
      <c r="F47" s="309">
        <v>10.26</v>
      </c>
      <c r="G47" s="97" t="s">
        <v>236</v>
      </c>
      <c r="H47" s="97" t="s">
        <v>236</v>
      </c>
      <c r="I47" s="98" t="s">
        <v>235</v>
      </c>
      <c r="K47" s="344" t="str">
        <f>IF(AND(G47=Polarity!L$4,I47=Polarity!L$4,H47=Polarity!L$4),Polarity!L$4,Polarity!L$6)</f>
        <v>Fail</v>
      </c>
      <c r="L47" s="345" t="str">
        <f>IF(K47=Polarity!L$4,B47,"")</f>
        <v/>
      </c>
      <c r="M47" s="346" t="str">
        <f>IF(AND(B47=L47,F47&gt;5),Polarity!L$5,"")</f>
        <v/>
      </c>
      <c r="O47" s="49"/>
      <c r="P47" s="174" t="str">
        <f t="shared" si="0"/>
        <v/>
      </c>
      <c r="Q47" s="124"/>
      <c r="R47" s="124"/>
      <c r="S47" s="336" t="str">
        <f>IF(AND(G47=Polarity!L$6,I47=Polarity!L$6,H47=Polarity!L$6),Polarity!L$6,"")</f>
        <v/>
      </c>
      <c r="T47" s="231"/>
      <c r="U47" s="521"/>
      <c r="V47" s="521"/>
      <c r="W47" s="521"/>
      <c r="X47" s="521"/>
      <c r="Y47" s="521"/>
      <c r="Z47" s="521"/>
      <c r="AA47" s="521"/>
      <c r="AB47" s="521"/>
      <c r="AC47" s="521"/>
      <c r="AD47" s="231"/>
    </row>
    <row r="48" spans="1:30" x14ac:dyDescent="0.2">
      <c r="A48" s="407"/>
      <c r="B48" s="2" t="s">
        <v>66</v>
      </c>
      <c r="C48" s="311">
        <v>18.2</v>
      </c>
      <c r="D48" s="311">
        <v>12</v>
      </c>
      <c r="E48" s="311">
        <v>9</v>
      </c>
      <c r="F48" s="311">
        <v>3.02</v>
      </c>
      <c r="G48" s="98" t="s">
        <v>235</v>
      </c>
      <c r="H48" s="100" t="s">
        <v>237</v>
      </c>
      <c r="I48" s="98" t="s">
        <v>235</v>
      </c>
      <c r="K48" s="344" t="str">
        <f>IF(AND(G48=Polarity!L$4,I48=Polarity!L$4,H48=Polarity!L$4),Polarity!L$4,Polarity!L$6)</f>
        <v>Fail</v>
      </c>
      <c r="L48" s="345" t="str">
        <f>IF(K48=Polarity!L$4,B48,"")</f>
        <v/>
      </c>
      <c r="M48" s="346" t="str">
        <f>IF(AND(B48=L48,F48&gt;5),Polarity!L$5,"")</f>
        <v/>
      </c>
      <c r="O48" s="49"/>
      <c r="P48" s="174" t="str">
        <f t="shared" si="0"/>
        <v/>
      </c>
      <c r="Q48" s="124"/>
      <c r="R48" s="124"/>
      <c r="S48" s="336" t="str">
        <f>IF(AND(G48=Polarity!L$6,I48=Polarity!L$6,H48=Polarity!L$6),Polarity!L$6,"")</f>
        <v/>
      </c>
      <c r="T48" s="231"/>
      <c r="U48" s="521"/>
      <c r="V48" s="521"/>
      <c r="W48" s="521"/>
      <c r="X48" s="521"/>
      <c r="Y48" s="521"/>
      <c r="Z48" s="521"/>
      <c r="AA48" s="521"/>
      <c r="AB48" s="521"/>
      <c r="AC48" s="521"/>
      <c r="AD48" s="231"/>
    </row>
    <row r="49" spans="1:36" x14ac:dyDescent="0.2">
      <c r="A49" s="407"/>
      <c r="B49" s="2" t="s">
        <v>182</v>
      </c>
      <c r="C49" s="309">
        <v>15.1</v>
      </c>
      <c r="D49" s="309">
        <v>5.5</v>
      </c>
      <c r="E49" s="309">
        <v>3.3</v>
      </c>
      <c r="F49" s="309">
        <v>8.2100000000000009</v>
      </c>
      <c r="G49" s="97" t="s">
        <v>236</v>
      </c>
      <c r="H49" s="97" t="s">
        <v>236</v>
      </c>
      <c r="I49" s="98" t="s">
        <v>235</v>
      </c>
      <c r="K49" s="344" t="str">
        <f>IF(AND(G49=Polarity!L$4,I49=Polarity!L$4,H49=Polarity!L$4),Polarity!L$4,Polarity!L$6)</f>
        <v>Fail</v>
      </c>
      <c r="L49" s="345" t="str">
        <f>IF(K49=Polarity!L$4,B49,"")</f>
        <v/>
      </c>
      <c r="M49" s="346" t="str">
        <f>IF(AND(B49=L49,F49&gt;5),Polarity!L$5,"")</f>
        <v/>
      </c>
      <c r="O49" s="49"/>
      <c r="P49" s="174" t="str">
        <f t="shared" si="0"/>
        <v/>
      </c>
      <c r="Q49" s="124"/>
      <c r="R49" s="124"/>
      <c r="S49" s="336" t="str">
        <f>IF(AND(G49=Polarity!L$6,I49=Polarity!L$6,H49=Polarity!L$6),Polarity!L$6,"")</f>
        <v/>
      </c>
      <c r="T49" s="231"/>
      <c r="U49" s="521"/>
      <c r="V49" s="521"/>
      <c r="W49" s="521"/>
      <c r="X49" s="521"/>
      <c r="Y49" s="521"/>
      <c r="Z49" s="521"/>
      <c r="AA49" s="521"/>
      <c r="AB49" s="521"/>
      <c r="AC49" s="521"/>
      <c r="AD49" s="231"/>
      <c r="AE49" s="41"/>
      <c r="AF49" s="41"/>
      <c r="AG49" s="41"/>
      <c r="AH49" s="41"/>
      <c r="AI49" s="41"/>
      <c r="AJ49" s="41"/>
    </row>
    <row r="50" spans="1:36" x14ac:dyDescent="0.2">
      <c r="B50" s="2" t="s">
        <v>183</v>
      </c>
      <c r="C50" s="333">
        <v>15.6</v>
      </c>
      <c r="D50" s="333">
        <v>6.7</v>
      </c>
      <c r="E50" s="333">
        <v>4</v>
      </c>
      <c r="F50" s="333">
        <v>6.59</v>
      </c>
      <c r="G50" s="181" t="s">
        <v>235</v>
      </c>
      <c r="H50" s="97" t="s">
        <v>236</v>
      </c>
      <c r="I50" s="97" t="s">
        <v>236</v>
      </c>
      <c r="K50" s="344" t="str">
        <f>IF(AND(G50=Polarity!L$4,I50=Polarity!L$4,H50=Polarity!L$4),Polarity!L$4,Polarity!L$6)</f>
        <v>Fail</v>
      </c>
      <c r="L50" s="345" t="str">
        <f>IF(K50=Polarity!L$4,B50,"")</f>
        <v/>
      </c>
      <c r="M50" s="346" t="str">
        <f>IF(AND(B50=L50,F50&gt;5),Polarity!L$5,"")</f>
        <v/>
      </c>
      <c r="O50" s="49"/>
      <c r="P50" s="174" t="str">
        <f t="shared" si="0"/>
        <v/>
      </c>
      <c r="Q50" s="124"/>
      <c r="R50" s="124"/>
      <c r="S50" s="336" t="str">
        <f>IF(AND(G50=Polarity!L$6,I50=Polarity!L$6,H50=Polarity!L$6),Polarity!L$6,"")</f>
        <v/>
      </c>
      <c r="T50" s="231"/>
      <c r="U50" s="231"/>
      <c r="V50" s="231"/>
      <c r="W50" s="231"/>
      <c r="X50" s="231"/>
      <c r="Y50" s="231"/>
      <c r="Z50" s="445"/>
      <c r="AA50" s="231"/>
      <c r="AB50" s="231"/>
      <c r="AC50" s="231"/>
      <c r="AD50" s="231"/>
      <c r="AE50" s="41"/>
      <c r="AF50" s="41"/>
      <c r="AG50" s="41"/>
      <c r="AH50" s="41"/>
      <c r="AI50" s="41"/>
      <c r="AJ50" s="41"/>
    </row>
    <row r="51" spans="1:36" x14ac:dyDescent="0.2">
      <c r="B51" s="3" t="s">
        <v>184</v>
      </c>
      <c r="C51" s="312">
        <v>15.8</v>
      </c>
      <c r="D51" s="312">
        <v>7.6</v>
      </c>
      <c r="E51" s="312">
        <v>4.7</v>
      </c>
      <c r="F51" s="312">
        <v>5.59</v>
      </c>
      <c r="G51" s="181" t="s">
        <v>235</v>
      </c>
      <c r="H51" s="97" t="s">
        <v>236</v>
      </c>
      <c r="I51" s="97" t="s">
        <v>236</v>
      </c>
      <c r="K51" s="344" t="str">
        <f>IF(AND(G51=Polarity!L$4,I51=Polarity!L$4,H51=Polarity!L$4),Polarity!L$4,Polarity!L$6)</f>
        <v>Fail</v>
      </c>
      <c r="L51" s="345" t="str">
        <f>IF(K51=Polarity!L$4,B51,"")</f>
        <v/>
      </c>
      <c r="M51" s="346" t="str">
        <f>IF(AND(B51=L51,F51&gt;5),Polarity!L$5,"")</f>
        <v/>
      </c>
      <c r="O51" s="49"/>
      <c r="P51" s="174" t="str">
        <f t="shared" si="0"/>
        <v/>
      </c>
      <c r="Q51" s="124"/>
      <c r="R51" s="124"/>
      <c r="S51" s="336" t="str">
        <f>IF(AND(G51=Polarity!L$6,I51=Polarity!L$6,H51=Polarity!L$6),Polarity!L$6,"")</f>
        <v/>
      </c>
      <c r="Z51" s="450"/>
      <c r="AA51" s="41"/>
      <c r="AE51" s="41"/>
      <c r="AF51" s="41"/>
      <c r="AG51" s="41"/>
      <c r="AH51" s="41"/>
      <c r="AI51" s="41"/>
      <c r="AJ51" s="41"/>
    </row>
    <row r="52" spans="1:36" x14ac:dyDescent="0.2">
      <c r="B52" s="6" t="s">
        <v>185</v>
      </c>
      <c r="C52" s="309">
        <v>15.3</v>
      </c>
      <c r="D52" s="309">
        <v>6.1</v>
      </c>
      <c r="E52" s="309">
        <v>4.0999999999999996</v>
      </c>
      <c r="F52" s="309">
        <v>7.24</v>
      </c>
      <c r="G52" s="97" t="s">
        <v>236</v>
      </c>
      <c r="H52" s="97" t="s">
        <v>236</v>
      </c>
      <c r="I52" s="97" t="s">
        <v>236</v>
      </c>
      <c r="K52" s="344" t="str">
        <f>IF(AND(G52=Polarity!L$4,I52=Polarity!L$4,H52=Polarity!L$4),Polarity!L$4,Polarity!L$6)</f>
        <v>Fail</v>
      </c>
      <c r="L52" s="345" t="str">
        <f>IF(K52=Polarity!L$4,B52,"")</f>
        <v/>
      </c>
      <c r="M52" s="346" t="str">
        <f>IF(AND(B52=L52,F52&gt;5),Polarity!L$5,"")</f>
        <v/>
      </c>
      <c r="O52" s="49"/>
      <c r="P52" s="174" t="str">
        <f t="shared" si="0"/>
        <v/>
      </c>
      <c r="Q52" s="124"/>
      <c r="R52" s="124"/>
      <c r="S52" s="336" t="str">
        <f>IF(AND(G52=Polarity!L$6,I52=Polarity!L$6,H52=Polarity!L$6),Polarity!L$6,"")</f>
        <v>Fail</v>
      </c>
      <c r="Z52" s="450"/>
      <c r="AA52" s="41"/>
      <c r="AE52" s="41"/>
      <c r="AF52" s="41"/>
      <c r="AG52" s="41"/>
      <c r="AH52" s="41"/>
      <c r="AI52" s="41"/>
      <c r="AJ52" s="41"/>
    </row>
    <row r="53" spans="1:36" x14ac:dyDescent="0.2">
      <c r="A53" s="408"/>
      <c r="B53" s="5" t="s">
        <v>63</v>
      </c>
      <c r="C53" s="309">
        <v>14.7</v>
      </c>
      <c r="D53" s="309">
        <v>12.5</v>
      </c>
      <c r="E53" s="309">
        <v>7.9</v>
      </c>
      <c r="F53" s="309">
        <v>7.34</v>
      </c>
      <c r="G53" s="97" t="s">
        <v>236</v>
      </c>
      <c r="H53" s="97" t="s">
        <v>236</v>
      </c>
      <c r="I53" s="97" t="s">
        <v>236</v>
      </c>
      <c r="K53" s="344" t="str">
        <f>IF(AND(G53=Polarity!L$4,I53=Polarity!L$4,H53=Polarity!L$4),Polarity!L$4,Polarity!L$6)</f>
        <v>Fail</v>
      </c>
      <c r="L53" s="345" t="str">
        <f>IF(K53=Polarity!L$4,B53,"")</f>
        <v/>
      </c>
      <c r="M53" s="346" t="str">
        <f>IF(AND(B53=L53,F53&gt;5),Polarity!L$5,"")</f>
        <v/>
      </c>
      <c r="O53" s="49"/>
      <c r="P53" s="174" t="str">
        <f t="shared" si="0"/>
        <v/>
      </c>
      <c r="Q53" s="124"/>
      <c r="R53" s="124"/>
      <c r="S53" s="336" t="str">
        <f>IF(AND(G53=Polarity!L$6,I53=Polarity!L$6,H53=Polarity!L$6),Polarity!L$6,"")</f>
        <v>Fail</v>
      </c>
      <c r="Z53" s="450"/>
      <c r="AA53" s="41"/>
      <c r="AI53" s="41"/>
      <c r="AJ53" s="41"/>
    </row>
    <row r="54" spans="1:36" x14ac:dyDescent="0.2">
      <c r="A54" s="407"/>
      <c r="B54" s="2" t="s">
        <v>1</v>
      </c>
      <c r="C54" s="309">
        <v>14.5</v>
      </c>
      <c r="D54" s="309">
        <v>8</v>
      </c>
      <c r="E54" s="309">
        <v>13.5</v>
      </c>
      <c r="F54" s="309">
        <v>9.18</v>
      </c>
      <c r="G54" s="97" t="s">
        <v>236</v>
      </c>
      <c r="H54" s="97" t="s">
        <v>236</v>
      </c>
      <c r="I54" s="98" t="s">
        <v>235</v>
      </c>
      <c r="K54" s="344" t="str">
        <f>IF(AND(G54=Polarity!L$4,I54=Polarity!L$4,H54=Polarity!L$4),Polarity!L$4,Polarity!L$6)</f>
        <v>Fail</v>
      </c>
      <c r="L54" s="345" t="str">
        <f>IF(K54=Polarity!L$4,B54,"")</f>
        <v/>
      </c>
      <c r="M54" s="346" t="str">
        <f>IF(AND(B54=L54,F54&gt;5),Polarity!L$5,"")</f>
        <v/>
      </c>
      <c r="O54" s="49"/>
      <c r="P54" s="174" t="str">
        <f t="shared" si="0"/>
        <v/>
      </c>
      <c r="Q54" s="124"/>
      <c r="R54" s="124"/>
      <c r="S54" s="336" t="str">
        <f>IF(AND(G54=Polarity!L$6,I54=Polarity!L$6,H54=Polarity!L$6),Polarity!L$6,"")</f>
        <v/>
      </c>
      <c r="Z54" s="450"/>
      <c r="AA54" s="41"/>
      <c r="AI54" s="41"/>
      <c r="AJ54" s="41"/>
    </row>
    <row r="55" spans="1:36" x14ac:dyDescent="0.2">
      <c r="B55" s="3" t="s">
        <v>84</v>
      </c>
      <c r="C55" s="312">
        <v>16</v>
      </c>
      <c r="D55" s="312">
        <v>11.7</v>
      </c>
      <c r="E55" s="312">
        <v>10.199999999999999</v>
      </c>
      <c r="F55" s="312">
        <v>5.29</v>
      </c>
      <c r="G55" s="181" t="s">
        <v>235</v>
      </c>
      <c r="H55" s="98" t="s">
        <v>235</v>
      </c>
      <c r="I55" s="97" t="s">
        <v>236</v>
      </c>
      <c r="K55" s="344" t="str">
        <f>IF(AND(G55=Polarity!L$4,I55=Polarity!L$4,H55=Polarity!L$4),Polarity!L$4,Polarity!L$6)</f>
        <v>Fail</v>
      </c>
      <c r="L55" s="345" t="str">
        <f>IF(K55=Polarity!L$4,B55,"")</f>
        <v/>
      </c>
      <c r="M55" s="346" t="str">
        <f>IF(AND(B55=L55,F55&gt;5),Polarity!L$5,"")</f>
        <v/>
      </c>
      <c r="O55" s="49"/>
      <c r="P55" s="174" t="str">
        <f t="shared" si="0"/>
        <v/>
      </c>
      <c r="Q55" s="124"/>
      <c r="R55" s="124"/>
      <c r="S55" s="336" t="str">
        <f>IF(AND(G55=Polarity!L$6,I55=Polarity!L$6,H55=Polarity!L$6),Polarity!L$6,"")</f>
        <v/>
      </c>
      <c r="Z55" s="450"/>
      <c r="AA55" s="41"/>
      <c r="AI55" s="41"/>
      <c r="AJ55" s="41"/>
    </row>
    <row r="56" spans="1:36" x14ac:dyDescent="0.2">
      <c r="B56" s="5" t="s">
        <v>186</v>
      </c>
      <c r="C56" s="312">
        <v>15.5</v>
      </c>
      <c r="D56" s="312">
        <v>10.4</v>
      </c>
      <c r="E56" s="312">
        <v>7</v>
      </c>
      <c r="F56" s="312">
        <v>5.17</v>
      </c>
      <c r="G56" s="181" t="s">
        <v>235</v>
      </c>
      <c r="H56" s="97" t="s">
        <v>236</v>
      </c>
      <c r="I56" s="97" t="s">
        <v>236</v>
      </c>
      <c r="K56" s="344" t="str">
        <f>IF(AND(G56=Polarity!L$4,I56=Polarity!L$4,H56=Polarity!L$4),Polarity!L$4,Polarity!L$6)</f>
        <v>Fail</v>
      </c>
      <c r="L56" s="345" t="str">
        <f>IF(K56=Polarity!L$4,B56,"")</f>
        <v/>
      </c>
      <c r="M56" s="346" t="str">
        <f>IF(AND(B56=L56,F56&gt;5),Polarity!L$5,"")</f>
        <v/>
      </c>
      <c r="O56" s="49"/>
      <c r="P56" s="174" t="str">
        <f t="shared" si="0"/>
        <v/>
      </c>
      <c r="Q56" s="124"/>
      <c r="R56" s="124"/>
      <c r="S56" s="336" t="str">
        <f>IF(AND(G56=Polarity!L$6,I56=Polarity!L$6,H56=Polarity!L$6),Polarity!L$6,"")</f>
        <v/>
      </c>
      <c r="Z56" s="450"/>
      <c r="AA56" s="41"/>
      <c r="AI56" s="41"/>
      <c r="AJ56" s="41"/>
    </row>
    <row r="57" spans="1:36" x14ac:dyDescent="0.2">
      <c r="A57" s="408"/>
      <c r="B57" s="3" t="s">
        <v>194</v>
      </c>
      <c r="C57" s="309">
        <v>15.3</v>
      </c>
      <c r="D57" s="309">
        <v>18</v>
      </c>
      <c r="E57" s="309">
        <v>6.1</v>
      </c>
      <c r="F57" s="309">
        <v>10.36</v>
      </c>
      <c r="G57" s="97" t="s">
        <v>236</v>
      </c>
      <c r="H57" s="97" t="s">
        <v>236</v>
      </c>
      <c r="I57" s="97" t="s">
        <v>236</v>
      </c>
      <c r="K57" s="344" t="str">
        <f>IF(AND(G57=Polarity!L$4,I57=Polarity!L$4,H57=Polarity!L$4),Polarity!L$4,Polarity!L$6)</f>
        <v>Fail</v>
      </c>
      <c r="L57" s="345" t="str">
        <f>IF(K57=Polarity!L$4,B57,"")</f>
        <v/>
      </c>
      <c r="M57" s="346" t="str">
        <f>IF(AND(B57=L57,F57&gt;5),Polarity!L$5,"")</f>
        <v/>
      </c>
      <c r="O57" s="49"/>
      <c r="P57" s="174" t="str">
        <f t="shared" si="0"/>
        <v/>
      </c>
      <c r="Q57" s="124"/>
      <c r="R57" s="124"/>
      <c r="S57" s="336" t="str">
        <f>IF(AND(G57=Polarity!L$6,I57=Polarity!L$6,H57=Polarity!L$6),Polarity!L$6,"")</f>
        <v>Fail</v>
      </c>
      <c r="Z57" s="450"/>
      <c r="AA57" s="41"/>
      <c r="AI57" s="41"/>
      <c r="AJ57" s="41"/>
    </row>
    <row r="58" spans="1:36" x14ac:dyDescent="0.2">
      <c r="A58" s="407"/>
      <c r="B58" s="2" t="s">
        <v>187</v>
      </c>
      <c r="C58" s="311">
        <v>18.8</v>
      </c>
      <c r="D58" s="311">
        <v>9</v>
      </c>
      <c r="E58" s="311">
        <v>4</v>
      </c>
      <c r="F58" s="311">
        <v>4.04</v>
      </c>
      <c r="G58" s="98" t="s">
        <v>235</v>
      </c>
      <c r="H58" s="98" t="s">
        <v>235</v>
      </c>
      <c r="I58" s="98" t="s">
        <v>235</v>
      </c>
      <c r="K58" s="344" t="str">
        <f>IF(AND(G58=Polarity!L$4,I58=Polarity!L$4,H58=Polarity!L$4),Polarity!L$4,Polarity!L$6)</f>
        <v>Pass</v>
      </c>
      <c r="L58" s="345" t="str">
        <f>IF(K58=Polarity!L$4,B58,"")</f>
        <v>Acetophenone</v>
      </c>
      <c r="M58" s="421" t="s">
        <v>558</v>
      </c>
      <c r="O58" s="101" t="s">
        <v>239</v>
      </c>
      <c r="P58" s="174" t="str">
        <f t="shared" si="0"/>
        <v/>
      </c>
      <c r="Q58" s="124"/>
      <c r="R58" s="124"/>
      <c r="S58" s="336" t="str">
        <f>IF(AND(G58=Polarity!L$6,I58=Polarity!L$6,H58=Polarity!L$6),Polarity!L$6,"")</f>
        <v/>
      </c>
      <c r="Z58" s="450"/>
      <c r="AA58" s="41"/>
      <c r="AI58" s="41"/>
      <c r="AJ58" s="41"/>
    </row>
    <row r="59" spans="1:36" x14ac:dyDescent="0.2">
      <c r="A59" s="408"/>
      <c r="B59" s="2" t="s">
        <v>188</v>
      </c>
      <c r="C59" s="311">
        <v>16.100000000000001</v>
      </c>
      <c r="D59" s="311">
        <v>10</v>
      </c>
      <c r="E59" s="311">
        <v>6.2</v>
      </c>
      <c r="F59" s="311">
        <v>4.1399999999999997</v>
      </c>
      <c r="G59" s="98" t="s">
        <v>235</v>
      </c>
      <c r="H59" s="97" t="s">
        <v>236</v>
      </c>
      <c r="I59" s="97" t="s">
        <v>236</v>
      </c>
      <c r="K59" s="344" t="str">
        <f>IF(AND(G59=Polarity!L$4,I59=Polarity!L$4,H59=Polarity!L$4),Polarity!L$4,Polarity!L$6)</f>
        <v>Fail</v>
      </c>
      <c r="L59" s="345" t="str">
        <f>IF(K59=Polarity!L$4,B59,"")</f>
        <v/>
      </c>
      <c r="M59" s="346" t="str">
        <f>IF(AND(B59=L59,F59&gt;5),Polarity!L$5,"")</f>
        <v/>
      </c>
      <c r="O59" s="49"/>
      <c r="P59" s="174" t="str">
        <f t="shared" si="0"/>
        <v/>
      </c>
      <c r="Q59" s="124"/>
      <c r="R59" s="124"/>
      <c r="S59" s="336" t="str">
        <f>IF(AND(G59=Polarity!L$6,I59=Polarity!L$6,H59=Polarity!L$6),Polarity!L$6,"")</f>
        <v/>
      </c>
      <c r="Z59" s="450"/>
      <c r="AA59" s="41"/>
      <c r="AI59" s="41"/>
      <c r="AJ59" s="41"/>
    </row>
    <row r="60" spans="1:36" x14ac:dyDescent="0.2">
      <c r="A60" s="407"/>
      <c r="B60" s="2" t="s">
        <v>127</v>
      </c>
      <c r="C60" s="309">
        <v>16.7</v>
      </c>
      <c r="D60" s="309">
        <v>2.5</v>
      </c>
      <c r="E60" s="309">
        <v>7.4</v>
      </c>
      <c r="F60" s="309">
        <v>7.29</v>
      </c>
      <c r="G60" s="97" t="s">
        <v>236</v>
      </c>
      <c r="H60" s="100" t="s">
        <v>237</v>
      </c>
      <c r="I60" s="98" t="s">
        <v>235</v>
      </c>
      <c r="K60" s="344" t="str">
        <f>IF(AND(G60=Polarity!L$4,I60=Polarity!L$4,H60=Polarity!L$4),Polarity!L$4,Polarity!L$6)</f>
        <v>Fail</v>
      </c>
      <c r="L60" s="345" t="str">
        <f>IF(K60=Polarity!L$4,B60,"")</f>
        <v/>
      </c>
      <c r="M60" s="346" t="str">
        <f>IF(AND(B60=L60,F60&gt;5),Polarity!L$5,"")</f>
        <v/>
      </c>
      <c r="O60" s="49"/>
      <c r="P60" s="174" t="str">
        <f t="shared" si="0"/>
        <v/>
      </c>
      <c r="Q60" s="124"/>
      <c r="R60" s="124"/>
      <c r="S60" s="336" t="str">
        <f>IF(AND(G60=Polarity!L$6,I60=Polarity!L$6,H60=Polarity!L$6),Polarity!L$6,"")</f>
        <v/>
      </c>
      <c r="Z60" s="450"/>
      <c r="AA60" s="41"/>
      <c r="AI60" s="41"/>
      <c r="AJ60" s="41"/>
    </row>
    <row r="61" spans="1:36" x14ac:dyDescent="0.2">
      <c r="A61" s="407"/>
      <c r="B61" s="5" t="s">
        <v>111</v>
      </c>
      <c r="C61" s="309">
        <v>15.8</v>
      </c>
      <c r="D61" s="309">
        <v>3.3</v>
      </c>
      <c r="E61" s="309">
        <v>6.1</v>
      </c>
      <c r="F61" s="309">
        <v>7.61</v>
      </c>
      <c r="G61" s="97" t="s">
        <v>236</v>
      </c>
      <c r="H61" s="97" t="s">
        <v>236</v>
      </c>
      <c r="I61" s="98" t="s">
        <v>235</v>
      </c>
      <c r="K61" s="344" t="str">
        <f>IF(AND(G61=Polarity!L$4,I61=Polarity!L$4,H61=Polarity!L$4),Polarity!L$4,Polarity!L$6)</f>
        <v>Fail</v>
      </c>
      <c r="L61" s="345" t="str">
        <f>IF(K61=Polarity!L$4,B61,"")</f>
        <v/>
      </c>
      <c r="M61" s="346" t="str">
        <f>IF(AND(B61=L61,F61&gt;5),Polarity!L$5,"")</f>
        <v/>
      </c>
      <c r="O61" s="49"/>
      <c r="P61" s="174" t="str">
        <f t="shared" si="0"/>
        <v/>
      </c>
      <c r="Q61" s="124"/>
      <c r="R61" s="124"/>
      <c r="S61" s="336" t="str">
        <f>IF(AND(G61=Polarity!L$6,I61=Polarity!L$6,H61=Polarity!L$6),Polarity!L$6,"")</f>
        <v/>
      </c>
      <c r="Z61" s="450"/>
      <c r="AA61" s="41"/>
      <c r="AI61" s="41"/>
      <c r="AJ61" s="41"/>
    </row>
    <row r="62" spans="1:36" x14ac:dyDescent="0.2">
      <c r="A62" s="407"/>
      <c r="B62" s="6" t="s">
        <v>73</v>
      </c>
      <c r="C62" s="310">
        <v>20.100000000000001</v>
      </c>
      <c r="D62" s="310">
        <v>5.8</v>
      </c>
      <c r="E62" s="310">
        <v>11.2</v>
      </c>
      <c r="F62" s="310">
        <v>6.49</v>
      </c>
      <c r="G62" s="181" t="s">
        <v>235</v>
      </c>
      <c r="H62" s="98" t="s">
        <v>235</v>
      </c>
      <c r="I62" s="98" t="s">
        <v>235</v>
      </c>
      <c r="K62" s="344" t="str">
        <f>IF(AND(G62=Polarity!L$4,I62=Polarity!L$4,H62=Polarity!L$4),Polarity!L$4,Polarity!L$6)</f>
        <v>Pass</v>
      </c>
      <c r="L62" s="345" t="str">
        <f>IF(K62=Polarity!L$4,B62,"")</f>
        <v>Aniline</v>
      </c>
      <c r="M62" s="346" t="str">
        <f>IF(AND(B62=L62,F62&gt;5),Polarity!L$5,"")</f>
        <v>Borderline (still considered a pass)</v>
      </c>
      <c r="O62" s="99" t="s">
        <v>240</v>
      </c>
      <c r="P62" s="174" t="str">
        <f t="shared" si="0"/>
        <v/>
      </c>
      <c r="Q62" s="124"/>
      <c r="R62" s="124"/>
      <c r="S62" s="336" t="str">
        <f>IF(AND(G62=Polarity!L$6,I62=Polarity!L$6,H62=Polarity!L$6),Polarity!L$6,"")</f>
        <v/>
      </c>
      <c r="Z62" s="450"/>
      <c r="AA62" s="41"/>
      <c r="AI62" s="41"/>
      <c r="AJ62" s="41"/>
    </row>
    <row r="63" spans="1:36" x14ac:dyDescent="0.2">
      <c r="B63" s="5" t="s">
        <v>132</v>
      </c>
      <c r="C63" s="311">
        <v>17.8</v>
      </c>
      <c r="D63" s="311">
        <v>4.4000000000000004</v>
      </c>
      <c r="E63" s="311">
        <v>6.9</v>
      </c>
      <c r="F63" s="311">
        <v>4.9800000000000004</v>
      </c>
      <c r="G63" s="98" t="s">
        <v>235</v>
      </c>
      <c r="H63" s="98" t="s">
        <v>235</v>
      </c>
      <c r="I63" s="97" t="s">
        <v>236</v>
      </c>
      <c r="K63" s="344" t="str">
        <f>IF(AND(G63=Polarity!L$4,I63=Polarity!L$4,H63=Polarity!L$4),Polarity!L$4,Polarity!L$6)</f>
        <v>Fail</v>
      </c>
      <c r="L63" s="345" t="str">
        <f>IF(K63=Polarity!L$4,B63,"")</f>
        <v/>
      </c>
      <c r="M63" s="346" t="str">
        <f>IF(AND(B63=L63,F63&gt;5),Polarity!L$5,"")</f>
        <v/>
      </c>
      <c r="O63" s="49"/>
      <c r="P63" s="174" t="str">
        <f t="shared" si="0"/>
        <v/>
      </c>
      <c r="Q63" s="124"/>
      <c r="R63" s="124"/>
      <c r="S63" s="336" t="str">
        <f>IF(AND(G63=Polarity!L$6,I63=Polarity!L$6,H63=Polarity!L$6),Polarity!L$6,"")</f>
        <v/>
      </c>
      <c r="Z63" s="450"/>
      <c r="AA63" s="41"/>
      <c r="AI63" s="41"/>
      <c r="AJ63" s="41"/>
    </row>
    <row r="64" spans="1:36" x14ac:dyDescent="0.2">
      <c r="A64" s="407"/>
      <c r="B64" s="6" t="s">
        <v>64</v>
      </c>
      <c r="C64" s="311">
        <v>19.399999999999999</v>
      </c>
      <c r="D64" s="311">
        <v>7.4</v>
      </c>
      <c r="E64" s="311">
        <v>5.3</v>
      </c>
      <c r="F64" s="311">
        <v>4.1500000000000004</v>
      </c>
      <c r="G64" s="98" t="s">
        <v>235</v>
      </c>
      <c r="H64" s="98" t="s">
        <v>235</v>
      </c>
      <c r="I64" s="98" t="s">
        <v>235</v>
      </c>
      <c r="K64" s="344" t="str">
        <f>IF(AND(G64=Polarity!L$4,I64=Polarity!L$4,H64=Polarity!L$4),Polarity!L$4,Polarity!L$6)</f>
        <v>Pass</v>
      </c>
      <c r="L64" s="345" t="str">
        <f>IF(K64=Polarity!L$4,B64,"")</f>
        <v>Benzaldehyde</v>
      </c>
      <c r="M64" s="346" t="str">
        <f>IF(AND(B64=L64,F64&gt;5),Polarity!L$5,"")</f>
        <v/>
      </c>
      <c r="O64" s="101" t="s">
        <v>239</v>
      </c>
      <c r="P64" s="174" t="str">
        <f t="shared" si="0"/>
        <v/>
      </c>
      <c r="Q64" s="124"/>
      <c r="R64" s="124"/>
      <c r="S64" s="336" t="str">
        <f>IF(AND(G64=Polarity!L$6,I64=Polarity!L$6,H64=Polarity!L$6),Polarity!L$6,"")</f>
        <v/>
      </c>
      <c r="Z64" s="450"/>
      <c r="AA64" s="41"/>
      <c r="AI64" s="41"/>
      <c r="AJ64" s="41"/>
    </row>
    <row r="65" spans="1:36" x14ac:dyDescent="0.2">
      <c r="B65" s="5" t="s">
        <v>155</v>
      </c>
      <c r="C65" s="309">
        <v>18.399999999999999</v>
      </c>
      <c r="D65" s="309">
        <v>0</v>
      </c>
      <c r="E65" s="309">
        <v>2</v>
      </c>
      <c r="F65" s="309">
        <v>10.94</v>
      </c>
      <c r="G65" s="97" t="s">
        <v>236</v>
      </c>
      <c r="H65" s="97" t="s">
        <v>236</v>
      </c>
      <c r="I65" s="97" t="s">
        <v>236</v>
      </c>
      <c r="K65" s="344" t="str">
        <f>IF(AND(G65=Polarity!L$4,I65=Polarity!L$4,H65=Polarity!L$4),Polarity!L$4,Polarity!L$6)</f>
        <v>Fail</v>
      </c>
      <c r="L65" s="345" t="str">
        <f>IF(K65=Polarity!L$4,B65,"")</f>
        <v/>
      </c>
      <c r="M65" s="346" t="str">
        <f>IF(AND(B65=L65,F65&gt;5),Polarity!L$5,"")</f>
        <v/>
      </c>
      <c r="O65" s="49"/>
      <c r="P65" s="174" t="str">
        <f t="shared" si="0"/>
        <v/>
      </c>
      <c r="Q65" s="124"/>
      <c r="R65" s="124"/>
      <c r="S65" s="336" t="str">
        <f>IF(AND(G65=Polarity!L$6,I65=Polarity!L$6,H65=Polarity!L$6),Polarity!L$6,"")</f>
        <v>Fail</v>
      </c>
      <c r="Z65" s="450"/>
      <c r="AA65" s="41"/>
      <c r="AI65" s="41"/>
      <c r="AJ65" s="41"/>
    </row>
    <row r="66" spans="1:36" x14ac:dyDescent="0.2">
      <c r="A66" s="407"/>
      <c r="B66" s="6" t="s">
        <v>195</v>
      </c>
      <c r="C66" s="312">
        <v>18.8</v>
      </c>
      <c r="D66" s="312">
        <v>12</v>
      </c>
      <c r="E66" s="312">
        <v>3.3</v>
      </c>
      <c r="F66" s="312">
        <v>5.4</v>
      </c>
      <c r="G66" s="181" t="s">
        <v>235</v>
      </c>
      <c r="H66" s="98" t="s">
        <v>235</v>
      </c>
      <c r="I66" s="98" t="s">
        <v>235</v>
      </c>
      <c r="K66" s="344" t="str">
        <f>IF(AND(G66=Polarity!L$4,I66=Polarity!L$4,H66=Polarity!L$4),Polarity!L$4,Polarity!L$6)</f>
        <v>Pass</v>
      </c>
      <c r="L66" s="345" t="str">
        <f>IF(K66=Polarity!L$4,B66,"")</f>
        <v>Benzonitrile</v>
      </c>
      <c r="M66" s="346" t="str">
        <f>IF(AND(B66=L66,F66&gt;5),Polarity!L$5,"")</f>
        <v>Borderline (still considered a pass)</v>
      </c>
      <c r="O66" s="44" t="s">
        <v>241</v>
      </c>
      <c r="P66" s="174" t="str">
        <f t="shared" si="0"/>
        <v>Benzonitrile</v>
      </c>
      <c r="Q66" s="339">
        <f>'Literature data'!D15</f>
        <v>1.0212765957446808</v>
      </c>
      <c r="R66" s="339" t="s">
        <v>462</v>
      </c>
      <c r="S66" s="336" t="str">
        <f>IF(AND(G66=Polarity!L$6,I66=Polarity!L$6,H66=Polarity!L$6),Polarity!L$6,"")</f>
        <v/>
      </c>
      <c r="Z66" s="450"/>
      <c r="AA66" s="41"/>
      <c r="AI66" s="41"/>
      <c r="AJ66" s="41"/>
    </row>
    <row r="67" spans="1:36" x14ac:dyDescent="0.2">
      <c r="A67" s="407"/>
      <c r="B67" s="6" t="s">
        <v>23</v>
      </c>
      <c r="C67" s="309">
        <v>18.399999999999999</v>
      </c>
      <c r="D67" s="309">
        <v>6.3</v>
      </c>
      <c r="E67" s="309">
        <v>13.7</v>
      </c>
      <c r="F67" s="309">
        <v>6.76</v>
      </c>
      <c r="G67" s="97" t="s">
        <v>236</v>
      </c>
      <c r="H67" s="98" t="s">
        <v>235</v>
      </c>
      <c r="I67" s="98" t="s">
        <v>235</v>
      </c>
      <c r="K67" s="344" t="str">
        <f>IF(AND(G67=Polarity!L$4,I67=Polarity!L$4,H67=Polarity!L$4),Polarity!L$4,Polarity!L$6)</f>
        <v>Fail</v>
      </c>
      <c r="L67" s="345" t="str">
        <f>IF(K67=Polarity!L$4,B67,"")</f>
        <v/>
      </c>
      <c r="M67" s="346" t="str">
        <f>IF(AND(B67=L67,F67&gt;5),Polarity!L$5,"")</f>
        <v/>
      </c>
      <c r="O67" s="49"/>
      <c r="P67" s="174" t="str">
        <f t="shared" si="0"/>
        <v/>
      </c>
      <c r="Q67" s="124"/>
      <c r="R67" s="124"/>
      <c r="S67" s="336" t="str">
        <f>IF(AND(G67=Polarity!L$6,I67=Polarity!L$6,H67=Polarity!L$6),Polarity!L$6,"")</f>
        <v/>
      </c>
      <c r="Z67" s="450"/>
      <c r="AA67" s="41"/>
      <c r="AI67" s="41"/>
      <c r="AJ67" s="41"/>
    </row>
    <row r="68" spans="1:36" x14ac:dyDescent="0.2">
      <c r="A68" s="407"/>
      <c r="B68" s="2" t="s">
        <v>112</v>
      </c>
      <c r="C68" s="310">
        <v>20</v>
      </c>
      <c r="D68" s="310">
        <v>5.0999999999999996</v>
      </c>
      <c r="E68" s="310">
        <v>5.2</v>
      </c>
      <c r="F68" s="310">
        <v>6.32</v>
      </c>
      <c r="G68" s="181" t="s">
        <v>235</v>
      </c>
      <c r="H68" s="97" t="s">
        <v>236</v>
      </c>
      <c r="I68" s="98" t="s">
        <v>235</v>
      </c>
      <c r="K68" s="344" t="str">
        <f>IF(AND(G68=Polarity!L$4,I68=Polarity!L$4,H68=Polarity!L$4),Polarity!L$4,Polarity!L$6)</f>
        <v>Fail</v>
      </c>
      <c r="L68" s="345" t="str">
        <f>IF(K68=Polarity!L$4,B68,"")</f>
        <v/>
      </c>
      <c r="M68" s="346" t="str">
        <f>IF(AND(B68=L68,F68&gt;5),Polarity!L$5,"")</f>
        <v/>
      </c>
      <c r="O68" s="49"/>
      <c r="P68" s="174" t="str">
        <f t="shared" si="0"/>
        <v/>
      </c>
      <c r="Q68" s="124"/>
      <c r="R68" s="124"/>
      <c r="S68" s="336" t="str">
        <f>IF(AND(G68=Polarity!L$6,I68=Polarity!L$6,H68=Polarity!L$6),Polarity!L$6,"")</f>
        <v/>
      </c>
      <c r="Z68" s="450"/>
      <c r="AA68" s="41"/>
      <c r="AI68" s="41"/>
      <c r="AJ68" s="41"/>
    </row>
    <row r="69" spans="1:36" x14ac:dyDescent="0.2">
      <c r="B69" s="6" t="s">
        <v>87</v>
      </c>
      <c r="C69" s="312">
        <v>19.2</v>
      </c>
      <c r="D69" s="312">
        <v>5.5</v>
      </c>
      <c r="E69" s="312">
        <v>4.0999999999999996</v>
      </c>
      <c r="F69" s="312">
        <v>5.76</v>
      </c>
      <c r="G69" s="181" t="s">
        <v>235</v>
      </c>
      <c r="H69" s="98" t="s">
        <v>235</v>
      </c>
      <c r="I69" s="97" t="s">
        <v>236</v>
      </c>
      <c r="K69" s="344" t="str">
        <f>IF(AND(G69=Polarity!L$4,I69=Polarity!L$4,H69=Polarity!L$4),Polarity!L$4,Polarity!L$6)</f>
        <v>Fail</v>
      </c>
      <c r="L69" s="345" t="str">
        <f>IF(K69=Polarity!L$4,B69,"")</f>
        <v/>
      </c>
      <c r="M69" s="346" t="str">
        <f>IF(AND(B69=L69,F69&gt;5),Polarity!L$5,"")</f>
        <v/>
      </c>
      <c r="O69" s="49"/>
      <c r="P69" s="174" t="str">
        <f t="shared" si="0"/>
        <v/>
      </c>
      <c r="Q69" s="124"/>
      <c r="R69" s="124"/>
      <c r="S69" s="336" t="str">
        <f>IF(AND(G69=Polarity!L$6,I69=Polarity!L$6,H69=Polarity!L$6),Polarity!L$6,"")</f>
        <v/>
      </c>
      <c r="Z69" s="450"/>
      <c r="AA69" s="41"/>
      <c r="AI69" s="41"/>
      <c r="AJ69" s="41"/>
    </row>
    <row r="70" spans="1:36" x14ac:dyDescent="0.2">
      <c r="B70" s="6" t="s">
        <v>88</v>
      </c>
      <c r="C70" s="310">
        <v>16.5</v>
      </c>
      <c r="D70" s="310">
        <v>8.4</v>
      </c>
      <c r="E70" s="310">
        <v>2.2999999999999998</v>
      </c>
      <c r="F70" s="310">
        <v>6.24</v>
      </c>
      <c r="G70" s="181" t="s">
        <v>235</v>
      </c>
      <c r="H70" s="97" t="s">
        <v>236</v>
      </c>
      <c r="I70" s="97" t="s">
        <v>236</v>
      </c>
      <c r="K70" s="344" t="str">
        <f>IF(AND(G70=Polarity!L$4,I70=Polarity!L$4,H70=Polarity!L$4),Polarity!L$4,Polarity!L$6)</f>
        <v>Fail</v>
      </c>
      <c r="L70" s="345" t="str">
        <f>IF(K70=Polarity!L$4,B70,"")</f>
        <v/>
      </c>
      <c r="M70" s="346" t="str">
        <f>IF(AND(B70=L70,F70&gt;5),Polarity!L$5,"")</f>
        <v/>
      </c>
      <c r="O70" s="49"/>
      <c r="P70" s="174" t="str">
        <f t="shared" si="0"/>
        <v/>
      </c>
      <c r="Q70" s="124"/>
      <c r="R70" s="124"/>
      <c r="S70" s="336" t="str">
        <f>IF(AND(G70=Polarity!L$6,I70=Polarity!L$6,H70=Polarity!L$6),Polarity!L$6,"")</f>
        <v/>
      </c>
      <c r="Z70" s="450"/>
      <c r="AA70" s="41"/>
      <c r="AI70" s="41"/>
      <c r="AJ70" s="41"/>
    </row>
    <row r="71" spans="1:36" x14ac:dyDescent="0.2">
      <c r="B71" s="3" t="s">
        <v>113</v>
      </c>
      <c r="C71" s="332">
        <v>15.8</v>
      </c>
      <c r="D71" s="332">
        <v>3.7</v>
      </c>
      <c r="E71" s="332">
        <v>6.3</v>
      </c>
      <c r="F71" s="332">
        <v>7.26</v>
      </c>
      <c r="G71" s="97" t="s">
        <v>236</v>
      </c>
      <c r="H71" s="97" t="s">
        <v>236</v>
      </c>
      <c r="I71" s="97" t="s">
        <v>236</v>
      </c>
      <c r="K71" s="344" t="str">
        <f>IF(AND(G71=Polarity!L$4,I71=Polarity!L$4,H71=Polarity!L$4),Polarity!L$4,Polarity!L$6)</f>
        <v>Fail</v>
      </c>
      <c r="L71" s="345" t="str">
        <f>IF(K71=Polarity!L$4,B71,"")</f>
        <v/>
      </c>
      <c r="M71" s="346" t="str">
        <f>IF(AND(B71=L71,F71&gt;5),Polarity!L$5,"")</f>
        <v/>
      </c>
      <c r="O71" s="49"/>
      <c r="P71" s="174" t="str">
        <f t="shared" ref="P71:P134" si="2">IF(O71="no warnings",L71,"")</f>
        <v/>
      </c>
      <c r="Q71" s="124"/>
      <c r="R71" s="124"/>
      <c r="S71" s="336" t="str">
        <f>IF(AND(G71=Polarity!L$6,I71=Polarity!L$6,H71=Polarity!L$6),Polarity!L$6,"")</f>
        <v>Fail</v>
      </c>
      <c r="Z71" s="450"/>
      <c r="AA71" s="41"/>
      <c r="AI71" s="41"/>
      <c r="AJ71" s="41"/>
    </row>
    <row r="72" spans="1:36" x14ac:dyDescent="0.2">
      <c r="A72" s="407"/>
      <c r="B72" s="4" t="s">
        <v>36</v>
      </c>
      <c r="C72" s="312">
        <v>15.8</v>
      </c>
      <c r="D72" s="312">
        <v>6.5</v>
      </c>
      <c r="E72" s="312">
        <v>10.199999999999999</v>
      </c>
      <c r="F72" s="312">
        <v>5.78</v>
      </c>
      <c r="G72" s="181" t="s">
        <v>235</v>
      </c>
      <c r="H72" s="98" t="s">
        <v>235</v>
      </c>
      <c r="I72" s="98" t="s">
        <v>235</v>
      </c>
      <c r="K72" s="344" t="str">
        <f>IF(AND(G72=Polarity!L$4,I72=Polarity!L$4,H72=Polarity!L$4),Polarity!L$4,Polarity!L$6)</f>
        <v>Pass</v>
      </c>
      <c r="L72" s="345" t="str">
        <f>IF(K72=Polarity!L$4,B72,"")</f>
        <v>Butyl lactate</v>
      </c>
      <c r="M72" s="346" t="str">
        <f>IF(AND(B72=L72,F72&gt;5),Polarity!L$5,"")</f>
        <v>Borderline (still considered a pass)</v>
      </c>
      <c r="O72" s="44" t="s">
        <v>241</v>
      </c>
      <c r="P72" s="174" t="str">
        <f t="shared" si="2"/>
        <v>Butyl lactate</v>
      </c>
      <c r="Q72" s="414">
        <v>0.111</v>
      </c>
      <c r="R72" s="411" t="s">
        <v>463</v>
      </c>
      <c r="S72" s="336" t="str">
        <f>IF(AND(G72=Polarity!L$6,I72=Polarity!L$6,H72=Polarity!L$6),Polarity!L$6,"")</f>
        <v/>
      </c>
      <c r="Z72" s="450"/>
      <c r="AA72" s="41"/>
      <c r="AI72" s="41"/>
      <c r="AJ72" s="41"/>
    </row>
    <row r="73" spans="1:36" x14ac:dyDescent="0.2">
      <c r="B73" s="5" t="s">
        <v>74</v>
      </c>
      <c r="C73" s="312">
        <v>16.2</v>
      </c>
      <c r="D73" s="312">
        <v>4.5</v>
      </c>
      <c r="E73" s="312">
        <v>8</v>
      </c>
      <c r="F73" s="312">
        <v>6.01</v>
      </c>
      <c r="G73" s="181" t="s">
        <v>235</v>
      </c>
      <c r="H73" s="97" t="s">
        <v>236</v>
      </c>
      <c r="I73" s="97" t="s">
        <v>236</v>
      </c>
      <c r="K73" s="344" t="str">
        <f>IF(AND(G73=Polarity!L$4,I73=Polarity!L$4,H73=Polarity!L$4),Polarity!L$4,Polarity!L$6)</f>
        <v>Fail</v>
      </c>
      <c r="L73" s="345" t="str">
        <f>IF(K73=Polarity!L$4,B73,"")</f>
        <v/>
      </c>
      <c r="M73" s="346" t="str">
        <f>IF(AND(B73=L73,F73&gt;5),Polarity!L$5,"")</f>
        <v/>
      </c>
      <c r="O73" s="49"/>
      <c r="P73" s="174" t="str">
        <f t="shared" si="2"/>
        <v/>
      </c>
      <c r="Q73" s="124"/>
      <c r="R73" s="124"/>
      <c r="S73" s="336" t="str">
        <f>IF(AND(G73=Polarity!L$6,I73=Polarity!L$6,H73=Polarity!L$6),Polarity!L$6,"")</f>
        <v/>
      </c>
      <c r="Z73" s="450"/>
      <c r="AA73" s="41"/>
      <c r="AI73" s="41"/>
      <c r="AJ73" s="41"/>
    </row>
    <row r="74" spans="1:36" x14ac:dyDescent="0.2">
      <c r="A74" s="407"/>
      <c r="B74" s="3" t="s">
        <v>2</v>
      </c>
      <c r="C74" s="309">
        <v>15.7</v>
      </c>
      <c r="D74" s="309">
        <v>4.8</v>
      </c>
      <c r="E74" s="309">
        <v>12</v>
      </c>
      <c r="F74" s="309">
        <v>7.74</v>
      </c>
      <c r="G74" s="97" t="s">
        <v>236</v>
      </c>
      <c r="H74" s="97" t="s">
        <v>236</v>
      </c>
      <c r="I74" s="98" t="s">
        <v>235</v>
      </c>
      <c r="K74" s="344" t="str">
        <f>IF(AND(G74=Polarity!L$4,I74=Polarity!L$4,H74=Polarity!L$4),Polarity!L$4,Polarity!L$6)</f>
        <v>Fail</v>
      </c>
      <c r="L74" s="345" t="str">
        <f>IF(K74=Polarity!L$4,B74,"")</f>
        <v/>
      </c>
      <c r="M74" s="346" t="str">
        <f>IF(AND(B74=L74,F74&gt;5),Polarity!L$5,"")</f>
        <v/>
      </c>
      <c r="O74" s="49"/>
      <c r="P74" s="174" t="str">
        <f t="shared" si="2"/>
        <v/>
      </c>
      <c r="Q74" s="124"/>
      <c r="R74" s="124"/>
      <c r="S74" s="336" t="str">
        <f>IF(AND(G74=Polarity!L$6,I74=Polarity!L$6,H74=Polarity!L$6),Polarity!L$6,"")</f>
        <v/>
      </c>
      <c r="Z74" s="450"/>
      <c r="AA74" s="41"/>
      <c r="AI74" s="41"/>
      <c r="AJ74" s="41"/>
    </row>
    <row r="75" spans="1:36" x14ac:dyDescent="0.2">
      <c r="B75" s="2" t="s">
        <v>196</v>
      </c>
      <c r="C75" s="332">
        <v>15.3</v>
      </c>
      <c r="D75" s="332">
        <v>12.4</v>
      </c>
      <c r="E75" s="332">
        <v>5.0999999999999996</v>
      </c>
      <c r="F75" s="332">
        <v>6.75</v>
      </c>
      <c r="G75" s="97" t="s">
        <v>236</v>
      </c>
      <c r="H75" s="97" t="s">
        <v>236</v>
      </c>
      <c r="I75" s="97" t="s">
        <v>236</v>
      </c>
      <c r="K75" s="344" t="str">
        <f>IF(AND(G75=Polarity!L$4,I75=Polarity!L$4,H75=Polarity!L$4),Polarity!L$4,Polarity!L$6)</f>
        <v>Fail</v>
      </c>
      <c r="L75" s="345" t="str">
        <f>IF(K75=Polarity!L$4,B75,"")</f>
        <v/>
      </c>
      <c r="M75" s="346" t="str">
        <f>IF(AND(B75=L75,F75&gt;5),Polarity!L$5,"")</f>
        <v/>
      </c>
      <c r="O75" s="49"/>
      <c r="P75" s="174" t="str">
        <f t="shared" si="2"/>
        <v/>
      </c>
      <c r="Q75" s="124"/>
      <c r="R75" s="124"/>
      <c r="S75" s="336" t="str">
        <f>IF(AND(G75=Polarity!L$6,I75=Polarity!L$6,H75=Polarity!L$6),Polarity!L$6,"")</f>
        <v>Fail</v>
      </c>
      <c r="Z75" s="450"/>
      <c r="AA75" s="41"/>
      <c r="AI75" s="41"/>
      <c r="AJ75" s="41"/>
    </row>
    <row r="76" spans="1:36" x14ac:dyDescent="0.2">
      <c r="B76" s="5" t="s">
        <v>89</v>
      </c>
      <c r="C76" s="309">
        <v>20.2</v>
      </c>
      <c r="D76" s="309">
        <v>0</v>
      </c>
      <c r="E76" s="309">
        <v>0.6</v>
      </c>
      <c r="F76" s="309">
        <v>12.5</v>
      </c>
      <c r="G76" s="97" t="s">
        <v>236</v>
      </c>
      <c r="H76" s="97" t="s">
        <v>236</v>
      </c>
      <c r="I76" s="97" t="s">
        <v>236</v>
      </c>
      <c r="K76" s="344" t="str">
        <f>IF(AND(G76=Polarity!L$4,I76=Polarity!L$4,H76=Polarity!L$4),Polarity!L$4,Polarity!L$6)</f>
        <v>Fail</v>
      </c>
      <c r="L76" s="345" t="str">
        <f>IF(K76=Polarity!L$4,B76,"")</f>
        <v/>
      </c>
      <c r="M76" s="346" t="str">
        <f>IF(AND(B76=L76,F76&gt;5),Polarity!L$5,"")</f>
        <v/>
      </c>
      <c r="O76" s="49"/>
      <c r="P76" s="174" t="str">
        <f t="shared" si="2"/>
        <v/>
      </c>
      <c r="Q76" s="124"/>
      <c r="R76" s="124"/>
      <c r="S76" s="336" t="str">
        <f>IF(AND(G76=Polarity!L$6,I76=Polarity!L$6,H76=Polarity!L$6),Polarity!L$6,"")</f>
        <v>Fail</v>
      </c>
      <c r="Z76" s="450"/>
      <c r="AA76" s="41"/>
      <c r="AB76" s="231"/>
      <c r="AC76" s="231"/>
      <c r="AD76" s="231"/>
      <c r="AE76" s="231"/>
      <c r="AF76" s="231"/>
      <c r="AG76" s="231"/>
      <c r="AH76" s="231"/>
      <c r="AI76" s="41"/>
      <c r="AJ76" s="41"/>
    </row>
    <row r="77" spans="1:36" x14ac:dyDescent="0.2">
      <c r="B77" s="5" t="s">
        <v>104</v>
      </c>
      <c r="C77" s="309">
        <v>17.8</v>
      </c>
      <c r="D77" s="309">
        <v>0</v>
      </c>
      <c r="E77" s="309">
        <v>0.6</v>
      </c>
      <c r="F77" s="309">
        <v>11.71</v>
      </c>
      <c r="G77" s="97" t="s">
        <v>236</v>
      </c>
      <c r="H77" s="97" t="s">
        <v>236</v>
      </c>
      <c r="I77" s="97" t="s">
        <v>236</v>
      </c>
      <c r="K77" s="344" t="str">
        <f>IF(AND(G77=Polarity!L$4,I77=Polarity!L$4,H77=Polarity!L$4),Polarity!L$4,Polarity!L$6)</f>
        <v>Fail</v>
      </c>
      <c r="L77" s="345" t="str">
        <f>IF(K77=Polarity!L$4,B77,"")</f>
        <v/>
      </c>
      <c r="M77" s="346" t="str">
        <f>IF(AND(B77=L77,F77&gt;5),Polarity!L$5,"")</f>
        <v/>
      </c>
      <c r="O77" s="49"/>
      <c r="P77" s="174" t="str">
        <f t="shared" si="2"/>
        <v/>
      </c>
      <c r="Q77" s="124"/>
      <c r="R77" s="124"/>
      <c r="S77" s="336" t="str">
        <f>IF(AND(G77=Polarity!L$6,I77=Polarity!L$6,H77=Polarity!L$6),Polarity!L$6,"")</f>
        <v>Fail</v>
      </c>
      <c r="AI77" s="41"/>
      <c r="AJ77" s="41"/>
    </row>
    <row r="78" spans="1:36" x14ac:dyDescent="0.2">
      <c r="A78" s="407"/>
      <c r="B78" s="3" t="s">
        <v>9</v>
      </c>
      <c r="C78" s="309">
        <v>17.600000000000001</v>
      </c>
      <c r="D78" s="309">
        <v>11</v>
      </c>
      <c r="E78" s="309">
        <v>15.9</v>
      </c>
      <c r="F78" s="309">
        <v>8.4124907132192419</v>
      </c>
      <c r="G78" s="97" t="s">
        <v>236</v>
      </c>
      <c r="H78" s="98" t="s">
        <v>235</v>
      </c>
      <c r="I78" s="98" t="s">
        <v>235</v>
      </c>
      <c r="K78" s="344" t="str">
        <f>IF(AND(G78=Polarity!L$4,I78=Polarity!L$4,H78=Polarity!L$4),Polarity!L$4,Polarity!L$6)</f>
        <v>Fail</v>
      </c>
      <c r="L78" s="345" t="str">
        <f>IF(K78=Polarity!L$4,B78,"")</f>
        <v/>
      </c>
      <c r="M78" s="346" t="str">
        <f>IF(AND(B78=L78,F78&gt;5),Polarity!L$5,"")</f>
        <v/>
      </c>
      <c r="O78" s="49"/>
      <c r="P78" s="174" t="str">
        <f t="shared" si="2"/>
        <v/>
      </c>
      <c r="Q78" s="124"/>
      <c r="R78" s="124"/>
      <c r="S78" s="336" t="str">
        <f>IF(AND(G78=Polarity!L$6,I78=Polarity!L$6,H78=Polarity!L$6),Polarity!L$6,"")</f>
        <v/>
      </c>
    </row>
    <row r="79" spans="1:36" x14ac:dyDescent="0.2">
      <c r="B79" s="5" t="s">
        <v>95</v>
      </c>
      <c r="C79" s="309">
        <v>19</v>
      </c>
      <c r="D79" s="309">
        <v>4.3</v>
      </c>
      <c r="E79" s="309">
        <v>2</v>
      </c>
      <c r="F79" s="309">
        <v>7.84</v>
      </c>
      <c r="G79" s="97" t="s">
        <v>236</v>
      </c>
      <c r="H79" s="98" t="s">
        <v>235</v>
      </c>
      <c r="I79" s="97" t="s">
        <v>236</v>
      </c>
      <c r="K79" s="344" t="str">
        <f>IF(AND(G79=Polarity!L$4,I79=Polarity!L$4,H79=Polarity!L$4),Polarity!L$4,Polarity!L$6)</f>
        <v>Fail</v>
      </c>
      <c r="L79" s="345" t="str">
        <f>IF(K79=Polarity!L$4,B79,"")</f>
        <v/>
      </c>
      <c r="M79" s="346" t="str">
        <f>IF(AND(B79=L79,F79&gt;5),Polarity!L$5,"")</f>
        <v/>
      </c>
      <c r="O79" s="49"/>
      <c r="P79" s="174" t="str">
        <f t="shared" si="2"/>
        <v/>
      </c>
      <c r="Q79" s="124"/>
      <c r="R79" s="124"/>
      <c r="S79" s="336" t="str">
        <f>IF(AND(G79=Polarity!L$6,I79=Polarity!L$6,H79=Polarity!L$6),Polarity!L$6,"")</f>
        <v/>
      </c>
    </row>
    <row r="80" spans="1:36" x14ac:dyDescent="0.2">
      <c r="B80" s="2" t="s">
        <v>105</v>
      </c>
      <c r="C80" s="310">
        <v>17.8</v>
      </c>
      <c r="D80" s="310">
        <v>3.1</v>
      </c>
      <c r="E80" s="310">
        <v>5.7</v>
      </c>
      <c r="F80" s="310">
        <v>6.53</v>
      </c>
      <c r="G80" s="181" t="s">
        <v>235</v>
      </c>
      <c r="H80" s="97" t="s">
        <v>236</v>
      </c>
      <c r="I80" s="97" t="s">
        <v>236</v>
      </c>
      <c r="K80" s="344" t="str">
        <f>IF(AND(G80=Polarity!L$4,I80=Polarity!L$4,H80=Polarity!L$4),Polarity!L$4,Polarity!L$6)</f>
        <v>Fail</v>
      </c>
      <c r="L80" s="345" t="str">
        <f>IF(K80=Polarity!L$4,B80,"")</f>
        <v/>
      </c>
      <c r="M80" s="346" t="str">
        <f>IF(AND(B80=L80,F80&gt;5),Polarity!L$5,"")</f>
        <v/>
      </c>
      <c r="O80" s="49"/>
      <c r="P80" s="174" t="str">
        <f t="shared" si="2"/>
        <v/>
      </c>
      <c r="Q80" s="124"/>
      <c r="R80" s="124"/>
      <c r="S80" s="336" t="str">
        <f>IF(AND(G80=Polarity!L$6,I80=Polarity!L$6,H80=Polarity!L$6),Polarity!L$6,"")</f>
        <v/>
      </c>
    </row>
    <row r="81" spans="1:19" x14ac:dyDescent="0.2">
      <c r="A81" s="407"/>
      <c r="B81" s="3" t="s">
        <v>156</v>
      </c>
      <c r="C81" s="309">
        <v>17.600000000000001</v>
      </c>
      <c r="D81" s="309">
        <v>0</v>
      </c>
      <c r="E81" s="309">
        <v>0</v>
      </c>
      <c r="F81" s="309">
        <v>12.1</v>
      </c>
      <c r="G81" s="97" t="s">
        <v>236</v>
      </c>
      <c r="H81" s="100" t="s">
        <v>237</v>
      </c>
      <c r="I81" s="98" t="s">
        <v>235</v>
      </c>
      <c r="K81" s="344" t="str">
        <f>IF(AND(G81=Polarity!L$4,I81=Polarity!L$4,H81=Polarity!L$4),Polarity!L$4,Polarity!L$6)</f>
        <v>Fail</v>
      </c>
      <c r="L81" s="345" t="str">
        <f>IF(K81=Polarity!L$4,B81,"")</f>
        <v/>
      </c>
      <c r="M81" s="346" t="str">
        <f>IF(AND(B81=L81,F81&gt;5),Polarity!L$5,"")</f>
        <v/>
      </c>
      <c r="O81" s="49"/>
      <c r="P81" s="174" t="str">
        <f t="shared" si="2"/>
        <v/>
      </c>
      <c r="Q81" s="124"/>
      <c r="R81" s="124"/>
      <c r="S81" s="336" t="str">
        <f>IF(AND(G81=Polarity!L$6,I81=Polarity!L$6,H81=Polarity!L$6),Polarity!L$6,"")</f>
        <v/>
      </c>
    </row>
    <row r="82" spans="1:19" x14ac:dyDescent="0.2">
      <c r="A82" s="407"/>
      <c r="B82" s="3" t="s">
        <v>157</v>
      </c>
      <c r="C82" s="309">
        <v>18.100000000000001</v>
      </c>
      <c r="D82" s="309">
        <v>1.2</v>
      </c>
      <c r="E82" s="309">
        <v>1.2</v>
      </c>
      <c r="F82" s="309">
        <v>10.39</v>
      </c>
      <c r="G82" s="97" t="s">
        <v>236</v>
      </c>
      <c r="H82" s="97" t="s">
        <v>236</v>
      </c>
      <c r="I82" s="98" t="s">
        <v>235</v>
      </c>
      <c r="K82" s="344" t="str">
        <f>IF(AND(G82=Polarity!L$4,I82=Polarity!L$4,H82=Polarity!L$4),Polarity!L$4,Polarity!L$6)</f>
        <v>Fail</v>
      </c>
      <c r="L82" s="345" t="str">
        <f>IF(K82=Polarity!L$4,B82,"")</f>
        <v/>
      </c>
      <c r="M82" s="346" t="str">
        <f>IF(AND(B82=L82,F82&gt;5),Polarity!L$5,"")</f>
        <v/>
      </c>
      <c r="O82" s="49"/>
      <c r="P82" s="174" t="str">
        <f t="shared" si="2"/>
        <v/>
      </c>
      <c r="Q82" s="124"/>
      <c r="R82" s="124"/>
      <c r="S82" s="336" t="str">
        <f>IF(AND(G82=Polarity!L$6,I82=Polarity!L$6,H82=Polarity!L$6),Polarity!L$6,"")</f>
        <v/>
      </c>
    </row>
    <row r="83" spans="1:19" x14ac:dyDescent="0.2">
      <c r="A83" s="407"/>
      <c r="B83" s="6" t="s">
        <v>158</v>
      </c>
      <c r="C83" s="309">
        <v>16.8</v>
      </c>
      <c r="D83" s="309">
        <v>0</v>
      </c>
      <c r="E83" s="309">
        <v>0.2</v>
      </c>
      <c r="F83" s="309">
        <v>12.19</v>
      </c>
      <c r="G83" s="97" t="s">
        <v>236</v>
      </c>
      <c r="H83" s="97" t="s">
        <v>236</v>
      </c>
      <c r="I83" s="98" t="s">
        <v>235</v>
      </c>
      <c r="K83" s="344" t="str">
        <f>IF(AND(G83=Polarity!L$4,I83=Polarity!L$4,H83=Polarity!L$4),Polarity!L$4,Polarity!L$6)</f>
        <v>Fail</v>
      </c>
      <c r="L83" s="345" t="str">
        <f>IF(K83=Polarity!L$4,B83,"")</f>
        <v/>
      </c>
      <c r="M83" s="346" t="str">
        <f>IF(AND(B83=L83,F83&gt;5),Polarity!L$5,"")</f>
        <v/>
      </c>
      <c r="O83" s="49"/>
      <c r="P83" s="174" t="str">
        <f t="shared" si="2"/>
        <v/>
      </c>
      <c r="Q83" s="124"/>
      <c r="R83" s="124"/>
      <c r="S83" s="336" t="str">
        <f>IF(AND(G83=Polarity!L$6,I83=Polarity!L$6,H83=Polarity!L$6),Polarity!L$6,"")</f>
        <v/>
      </c>
    </row>
    <row r="84" spans="1:19" x14ac:dyDescent="0.2">
      <c r="A84" s="407"/>
      <c r="B84" s="5" t="s">
        <v>24</v>
      </c>
      <c r="C84" s="309">
        <v>17.399999999999999</v>
      </c>
      <c r="D84" s="309">
        <v>4.0999999999999996</v>
      </c>
      <c r="E84" s="309">
        <v>13.5</v>
      </c>
      <c r="F84" s="309">
        <v>7.88</v>
      </c>
      <c r="G84" s="97" t="s">
        <v>236</v>
      </c>
      <c r="H84" s="98" t="s">
        <v>235</v>
      </c>
      <c r="I84" s="98" t="s">
        <v>235</v>
      </c>
      <c r="K84" s="344" t="str">
        <f>IF(AND(G84=Polarity!L$4,I84=Polarity!L$4,H84=Polarity!L$4),Polarity!L$4,Polarity!L$6)</f>
        <v>Fail</v>
      </c>
      <c r="L84" s="345" t="str">
        <f>IF(K84=Polarity!L$4,B84,"")</f>
        <v/>
      </c>
      <c r="M84" s="346" t="str">
        <f>IF(AND(B84=L84,F84&gt;5),Polarity!L$5,"")</f>
        <v/>
      </c>
      <c r="O84" s="49"/>
      <c r="P84" s="174" t="str">
        <f t="shared" si="2"/>
        <v/>
      </c>
      <c r="Q84" s="124"/>
      <c r="R84" s="124"/>
      <c r="S84" s="336" t="str">
        <f>IF(AND(G84=Polarity!L$6,I84=Polarity!L$6,H84=Polarity!L$6),Polarity!L$6,"")</f>
        <v/>
      </c>
    </row>
    <row r="85" spans="1:19" x14ac:dyDescent="0.2">
      <c r="A85" s="407"/>
      <c r="B85" s="5" t="s">
        <v>189</v>
      </c>
      <c r="C85" s="311">
        <v>17.8</v>
      </c>
      <c r="D85" s="311">
        <v>8.4</v>
      </c>
      <c r="E85" s="311">
        <v>5.0999999999999996</v>
      </c>
      <c r="F85" s="311">
        <v>2.78</v>
      </c>
      <c r="G85" s="98" t="s">
        <v>235</v>
      </c>
      <c r="H85" s="98" t="s">
        <v>235</v>
      </c>
      <c r="I85" s="98" t="s">
        <v>235</v>
      </c>
      <c r="K85" s="344" t="str">
        <f>IF(AND(G85=Polarity!L$4,I85=Polarity!L$4,H85=Polarity!L$4),Polarity!L$4,Polarity!L$6)</f>
        <v>Pass</v>
      </c>
      <c r="L85" s="345" t="str">
        <f>IF(K85=Polarity!L$4,B85,"")</f>
        <v>Cyclohexanone</v>
      </c>
      <c r="M85" s="421" t="s">
        <v>558</v>
      </c>
      <c r="O85" s="44" t="s">
        <v>241</v>
      </c>
      <c r="P85" s="174" t="str">
        <f t="shared" si="2"/>
        <v>Cyclohexanone</v>
      </c>
      <c r="Q85" s="339">
        <f>'Literature data'!D10</f>
        <v>1.553191489361702</v>
      </c>
      <c r="R85" s="339" t="s">
        <v>462</v>
      </c>
      <c r="S85" s="336" t="str">
        <f>IF(AND(G85=Polarity!L$6,I85=Polarity!L$6,H85=Polarity!L$6),Polarity!L$6,"")</f>
        <v/>
      </c>
    </row>
    <row r="86" spans="1:19" x14ac:dyDescent="0.2">
      <c r="B86" s="6" t="s">
        <v>159</v>
      </c>
      <c r="C86" s="309">
        <v>17.2</v>
      </c>
      <c r="D86" s="309">
        <v>1</v>
      </c>
      <c r="E86" s="309">
        <v>2</v>
      </c>
      <c r="F86" s="309">
        <v>10.199999999999999</v>
      </c>
      <c r="G86" s="97" t="s">
        <v>236</v>
      </c>
      <c r="H86" s="97" t="s">
        <v>236</v>
      </c>
      <c r="I86" s="97" t="s">
        <v>236</v>
      </c>
      <c r="K86" s="344" t="str">
        <f>IF(AND(G86=Polarity!L$4,I86=Polarity!L$4,H86=Polarity!L$4),Polarity!L$4,Polarity!L$6)</f>
        <v>Fail</v>
      </c>
      <c r="L86" s="345" t="str">
        <f>IF(K86=Polarity!L$4,B86,"")</f>
        <v/>
      </c>
      <c r="M86" s="346" t="str">
        <f>IF(AND(B86=L86,F86&gt;5),Polarity!L$5,"")</f>
        <v/>
      </c>
      <c r="O86" s="49"/>
      <c r="P86" s="174" t="str">
        <f t="shared" si="2"/>
        <v/>
      </c>
      <c r="Q86" s="339"/>
      <c r="R86" s="339"/>
      <c r="S86" s="336" t="str">
        <f>IF(AND(G86=Polarity!L$6,I86=Polarity!L$6,H86=Polarity!L$6),Polarity!L$6,"")</f>
        <v>Fail</v>
      </c>
    </row>
    <row r="87" spans="1:19" x14ac:dyDescent="0.2">
      <c r="B87" s="2" t="s">
        <v>160</v>
      </c>
      <c r="C87" s="309">
        <v>16.399999999999999</v>
      </c>
      <c r="D87" s="309">
        <v>0</v>
      </c>
      <c r="E87" s="309">
        <v>1.8</v>
      </c>
      <c r="F87" s="309">
        <v>11.47</v>
      </c>
      <c r="G87" s="97" t="s">
        <v>236</v>
      </c>
      <c r="H87" s="100" t="s">
        <v>237</v>
      </c>
      <c r="I87" s="97" t="s">
        <v>236</v>
      </c>
      <c r="K87" s="344" t="str">
        <f>IF(AND(G87=Polarity!L$4,I87=Polarity!L$4,H87=Polarity!L$4),Polarity!L$4,Polarity!L$6)</f>
        <v>Fail</v>
      </c>
      <c r="L87" s="345" t="str">
        <f>IF(K87=Polarity!L$4,B87,"")</f>
        <v/>
      </c>
      <c r="M87" s="346" t="str">
        <f>IF(AND(B87=L87,F87&gt;5),Polarity!L$5,"")</f>
        <v/>
      </c>
      <c r="O87" s="49"/>
      <c r="P87" s="174" t="str">
        <f t="shared" si="2"/>
        <v/>
      </c>
      <c r="Q87" s="339"/>
      <c r="R87" s="339"/>
      <c r="S87" s="336" t="str">
        <f>IF(AND(G87=Polarity!L$6,I87=Polarity!L$6,H87=Polarity!L$6),Polarity!L$6,"")</f>
        <v/>
      </c>
    </row>
    <row r="88" spans="1:19" x14ac:dyDescent="0.2">
      <c r="A88" s="407"/>
      <c r="B88" s="5" t="s">
        <v>190</v>
      </c>
      <c r="C88" s="311">
        <v>17.899999999999999</v>
      </c>
      <c r="D88" s="311">
        <v>11.9</v>
      </c>
      <c r="E88" s="311">
        <v>5.2</v>
      </c>
      <c r="F88" s="311">
        <v>3.61</v>
      </c>
      <c r="G88" s="98" t="s">
        <v>235</v>
      </c>
      <c r="H88" s="98" t="s">
        <v>235</v>
      </c>
      <c r="I88" s="98" t="s">
        <v>235</v>
      </c>
      <c r="K88" s="344" t="str">
        <f>IF(AND(G88=Polarity!L$4,I88=Polarity!L$4,H88=Polarity!L$4),Polarity!L$4,Polarity!L$6)</f>
        <v>Pass</v>
      </c>
      <c r="L88" s="345" t="str">
        <f>IF(K88=Polarity!L$4,B88,"")</f>
        <v>Cyclopentanone</v>
      </c>
      <c r="M88" s="421" t="s">
        <v>558</v>
      </c>
      <c r="O88" s="44" t="s">
        <v>241</v>
      </c>
      <c r="P88" s="174" t="str">
        <f t="shared" si="2"/>
        <v>Cyclopentanone</v>
      </c>
      <c r="Q88" s="339">
        <f>'Literature data'!D9</f>
        <v>1.8085106382978722</v>
      </c>
      <c r="R88" s="339" t="s">
        <v>462</v>
      </c>
      <c r="S88" s="336" t="str">
        <f>IF(AND(G88=Polarity!L$6,I88=Polarity!L$6,H88=Polarity!L$6),Polarity!L$6,"")</f>
        <v/>
      </c>
    </row>
    <row r="89" spans="1:19" x14ac:dyDescent="0.2">
      <c r="A89" s="407"/>
      <c r="B89" s="5" t="s">
        <v>227</v>
      </c>
      <c r="C89" s="334">
        <v>18.8</v>
      </c>
      <c r="D89" s="334">
        <v>10.6</v>
      </c>
      <c r="E89" s="334">
        <v>6.9</v>
      </c>
      <c r="F89" s="334">
        <v>2.2113344387495983</v>
      </c>
      <c r="G89" s="98" t="s">
        <v>235</v>
      </c>
      <c r="H89" s="98" t="s">
        <v>235</v>
      </c>
      <c r="I89" s="98" t="s">
        <v>235</v>
      </c>
      <c r="K89" s="344" t="str">
        <f>IF(AND(G89=Polarity!L$4,I89=Polarity!L$4,H89=Polarity!L$4),Polarity!L$4,Polarity!L$6)</f>
        <v>Pass</v>
      </c>
      <c r="L89" s="345" t="str">
        <f>IF(K89=Polarity!L$4,B89,"")</f>
        <v>Cyrene</v>
      </c>
      <c r="M89" s="421" t="s">
        <v>558</v>
      </c>
      <c r="O89" s="44" t="s">
        <v>241</v>
      </c>
      <c r="P89" s="174" t="str">
        <f t="shared" si="2"/>
        <v>Cyrene</v>
      </c>
      <c r="Q89" s="410">
        <v>13.3</v>
      </c>
      <c r="R89" s="411" t="s">
        <v>463</v>
      </c>
      <c r="S89" s="336" t="str">
        <f>IF(AND(G89=Polarity!L$6,I89=Polarity!L$6,H89=Polarity!L$6),Polarity!L$6,"")</f>
        <v/>
      </c>
    </row>
    <row r="90" spans="1:19" x14ac:dyDescent="0.2">
      <c r="B90" s="5" t="s">
        <v>228</v>
      </c>
      <c r="C90" s="311">
        <v>17</v>
      </c>
      <c r="D90" s="311">
        <v>7.3</v>
      </c>
      <c r="E90" s="311">
        <v>7.1</v>
      </c>
      <c r="F90" s="311">
        <v>2.89</v>
      </c>
      <c r="G90" s="98" t="s">
        <v>235</v>
      </c>
      <c r="H90" s="97" t="s">
        <v>236</v>
      </c>
      <c r="I90" s="97" t="s">
        <v>236</v>
      </c>
      <c r="K90" s="344" t="str">
        <f>IF(AND(G90=Polarity!L$4,I90=Polarity!L$4,H90=Polarity!L$4),Polarity!L$4,Polarity!L$6)</f>
        <v>Fail</v>
      </c>
      <c r="L90" s="345" t="str">
        <f>IF(K90=Polarity!L$4,B90,"")</f>
        <v/>
      </c>
      <c r="M90" s="346" t="str">
        <f>IF(AND(B90=L90,F90&gt;5),Polarity!L$5,"")</f>
        <v/>
      </c>
      <c r="O90" s="49"/>
      <c r="P90" s="174" t="str">
        <f t="shared" si="2"/>
        <v/>
      </c>
      <c r="Q90" s="124"/>
      <c r="R90" s="124"/>
      <c r="S90" s="336" t="str">
        <f>IF(AND(G90=Polarity!L$6,I90=Polarity!L$6,H90=Polarity!L$6),Polarity!L$6,"")</f>
        <v/>
      </c>
    </row>
    <row r="91" spans="1:19" x14ac:dyDescent="0.2">
      <c r="A91" s="407"/>
      <c r="B91" s="6" t="s">
        <v>204</v>
      </c>
      <c r="C91" s="309">
        <v>12.9</v>
      </c>
      <c r="D91" s="309">
        <v>1.3</v>
      </c>
      <c r="E91" s="309">
        <v>1</v>
      </c>
      <c r="F91" s="309">
        <v>14.59</v>
      </c>
      <c r="G91" s="97" t="s">
        <v>236</v>
      </c>
      <c r="H91" s="97" t="s">
        <v>236</v>
      </c>
      <c r="I91" s="98" t="s">
        <v>235</v>
      </c>
      <c r="K91" s="344" t="str">
        <f>IF(AND(G91=Polarity!L$4,I91=Polarity!L$4,H91=Polarity!L$4),Polarity!L$4,Polarity!L$6)</f>
        <v>Fail</v>
      </c>
      <c r="L91" s="345" t="str">
        <f>IF(K91=Polarity!L$4,B91,"")</f>
        <v/>
      </c>
      <c r="M91" s="346" t="str">
        <f>IF(AND(B91=L91,F91&gt;5),Polarity!L$5,"")</f>
        <v/>
      </c>
      <c r="O91" s="49"/>
      <c r="P91" s="174" t="str">
        <f t="shared" si="2"/>
        <v/>
      </c>
      <c r="Q91" s="124"/>
      <c r="R91" s="124"/>
      <c r="S91" s="336" t="str">
        <f>IF(AND(G91=Polarity!L$6,I91=Polarity!L$6,H91=Polarity!L$6),Polarity!L$6,"")</f>
        <v/>
      </c>
    </row>
    <row r="92" spans="1:19" x14ac:dyDescent="0.2">
      <c r="A92" s="407"/>
      <c r="B92" s="3" t="s">
        <v>52</v>
      </c>
      <c r="C92" s="309">
        <v>16.600000000000001</v>
      </c>
      <c r="D92" s="309">
        <v>12</v>
      </c>
      <c r="E92" s="309">
        <v>19</v>
      </c>
      <c r="F92" s="309">
        <v>11.95</v>
      </c>
      <c r="G92" s="97" t="s">
        <v>236</v>
      </c>
      <c r="H92" s="97" t="s">
        <v>236</v>
      </c>
      <c r="I92" s="98" t="s">
        <v>235</v>
      </c>
      <c r="K92" s="344" t="str">
        <f>IF(AND(G92=Polarity!L$4,I92=Polarity!L$4,H92=Polarity!L$4),Polarity!L$4,Polarity!L$6)</f>
        <v>Fail</v>
      </c>
      <c r="L92" s="345" t="str">
        <f>IF(K92=Polarity!L$4,B92,"")</f>
        <v/>
      </c>
      <c r="M92" s="346" t="str">
        <f>IF(AND(B92=L92,F92&gt;5),Polarity!L$5,"")</f>
        <v/>
      </c>
      <c r="O92" s="49"/>
      <c r="P92" s="174" t="str">
        <f t="shared" si="2"/>
        <v/>
      </c>
      <c r="Q92" s="124"/>
      <c r="R92" s="124"/>
      <c r="S92" s="336" t="str">
        <f>IF(AND(G92=Polarity!L$6,I92=Polarity!L$6,H92=Polarity!L$6),Polarity!L$6,"")</f>
        <v/>
      </c>
    </row>
    <row r="93" spans="1:19" x14ac:dyDescent="0.2">
      <c r="A93" s="407"/>
      <c r="B93" s="2" t="s">
        <v>133</v>
      </c>
      <c r="C93" s="309">
        <v>19.600000000000001</v>
      </c>
      <c r="D93" s="309">
        <v>3.4</v>
      </c>
      <c r="E93" s="309">
        <v>5.2</v>
      </c>
      <c r="F93" s="309">
        <v>7.16</v>
      </c>
      <c r="G93" s="97" t="s">
        <v>236</v>
      </c>
      <c r="H93" s="100" t="s">
        <v>237</v>
      </c>
      <c r="I93" s="98" t="s">
        <v>235</v>
      </c>
      <c r="K93" s="344" t="str">
        <f>IF(AND(G93=Polarity!L$4,I93=Polarity!L$4,H93=Polarity!L$4),Polarity!L$4,Polarity!L$6)</f>
        <v>Fail</v>
      </c>
      <c r="L93" s="345" t="str">
        <f>IF(K93=Polarity!L$4,B93,"")</f>
        <v/>
      </c>
      <c r="M93" s="346" t="str">
        <f>IF(AND(B93=L93,F93&gt;5),Polarity!L$5,"")</f>
        <v/>
      </c>
      <c r="O93" s="49"/>
      <c r="P93" s="174" t="str">
        <f t="shared" si="2"/>
        <v/>
      </c>
      <c r="Q93" s="124"/>
      <c r="R93" s="124"/>
      <c r="S93" s="336" t="str">
        <f>IF(AND(G93=Polarity!L$6,I93=Polarity!L$6,H93=Polarity!L$6),Polarity!L$6,"")</f>
        <v/>
      </c>
    </row>
    <row r="94" spans="1:19" x14ac:dyDescent="0.2">
      <c r="A94" s="407"/>
      <c r="B94" s="3" t="s">
        <v>146</v>
      </c>
      <c r="C94" s="309">
        <v>15.7</v>
      </c>
      <c r="D94" s="309">
        <v>4</v>
      </c>
      <c r="E94" s="309">
        <v>3.9</v>
      </c>
      <c r="F94" s="309">
        <v>7.9806014810915116</v>
      </c>
      <c r="G94" s="97" t="s">
        <v>236</v>
      </c>
      <c r="H94" s="100" t="s">
        <v>237</v>
      </c>
      <c r="I94" s="98" t="s">
        <v>235</v>
      </c>
      <c r="K94" s="344" t="str">
        <f>IF(AND(G94=Polarity!L$4,I94=Polarity!L$4,H94=Polarity!L$4),Polarity!L$4,Polarity!L$6)</f>
        <v>Fail</v>
      </c>
      <c r="L94" s="345" t="str">
        <f>IF(K94=Polarity!L$4,B94,"")</f>
        <v/>
      </c>
      <c r="M94" s="346" t="str">
        <f>IF(AND(B94=L94,F94&gt;5),Polarity!L$5,"")</f>
        <v/>
      </c>
      <c r="O94" s="49"/>
      <c r="P94" s="174" t="str">
        <f t="shared" si="2"/>
        <v/>
      </c>
      <c r="Q94" s="124"/>
      <c r="R94" s="124"/>
      <c r="S94" s="336" t="str">
        <f>IF(AND(G94=Polarity!L$6,I94=Polarity!L$6,H94=Polarity!L$6),Polarity!L$6,"")</f>
        <v/>
      </c>
    </row>
    <row r="95" spans="1:19" x14ac:dyDescent="0.2">
      <c r="B95" s="3" t="s">
        <v>134</v>
      </c>
      <c r="C95" s="309">
        <v>15.2</v>
      </c>
      <c r="D95" s="309">
        <v>3.4</v>
      </c>
      <c r="E95" s="309">
        <v>3.2</v>
      </c>
      <c r="F95" s="309">
        <f>((4*((C95-18)^2)+((D95-9.3)^2)+((E95-7.7)^2))^0.5)</f>
        <v>9.2962357973536811</v>
      </c>
      <c r="G95" s="97" t="s">
        <v>236</v>
      </c>
      <c r="H95" s="97" t="s">
        <v>236</v>
      </c>
      <c r="I95" s="97" t="s">
        <v>236</v>
      </c>
      <c r="K95" s="344" t="str">
        <f>IF(AND(G95=Polarity!L$4,I95=Polarity!L$4,H95=Polarity!L$4),Polarity!L$4,Polarity!L$6)</f>
        <v>Fail</v>
      </c>
      <c r="L95" s="345" t="str">
        <f>IF(K95=Polarity!L$4,B95,"")</f>
        <v/>
      </c>
      <c r="M95" s="346" t="str">
        <f>IF(AND(B95=L95,F95&gt;5),Polarity!L$5,"")</f>
        <v/>
      </c>
      <c r="O95" s="49"/>
      <c r="P95" s="174" t="str">
        <f t="shared" si="2"/>
        <v/>
      </c>
      <c r="Q95" s="124"/>
      <c r="R95" s="124"/>
      <c r="S95" s="336" t="str">
        <f>IF(AND(G95=Polarity!L$6,I95=Polarity!L$6,H95=Polarity!L$6),Polarity!L$6,"")</f>
        <v>Fail</v>
      </c>
    </row>
    <row r="96" spans="1:19" x14ac:dyDescent="0.2">
      <c r="B96" s="5" t="s">
        <v>147</v>
      </c>
      <c r="C96" s="309">
        <v>15.4</v>
      </c>
      <c r="D96" s="309">
        <v>5.7</v>
      </c>
      <c r="E96" s="309">
        <v>5.0999999999999996</v>
      </c>
      <c r="F96" s="309">
        <f>((4*((C96-18)^2)+((D96-9.3)^2)+((E96-7.7)^2))^0.5)</f>
        <v>6.838128398911504</v>
      </c>
      <c r="G96" s="97" t="s">
        <v>236</v>
      </c>
      <c r="H96" s="97" t="s">
        <v>236</v>
      </c>
      <c r="I96" s="100" t="s">
        <v>237</v>
      </c>
      <c r="K96" s="344" t="str">
        <f>IF(AND(G96=Polarity!L$4,I96=Polarity!L$4,H96=Polarity!L$4),Polarity!L$4,Polarity!L$6)</f>
        <v>Fail</v>
      </c>
      <c r="L96" s="345" t="str">
        <f>IF(K96=Polarity!L$4,B96,"")</f>
        <v/>
      </c>
      <c r="M96" s="346" t="str">
        <f>IF(AND(B96=L96,F96&gt;5),Polarity!L$5,"")</f>
        <v/>
      </c>
      <c r="O96" s="49"/>
      <c r="P96" s="174" t="str">
        <f t="shared" si="2"/>
        <v/>
      </c>
      <c r="Q96" s="124"/>
      <c r="R96" s="124"/>
      <c r="S96" s="336" t="str">
        <f>IF(AND(G96=Polarity!L$6,I96=Polarity!L$6,H96=Polarity!L$6),Polarity!L$6,"")</f>
        <v/>
      </c>
    </row>
    <row r="97" spans="1:19" x14ac:dyDescent="0.2">
      <c r="B97" s="2" t="s">
        <v>135</v>
      </c>
      <c r="C97" s="309">
        <v>14.5</v>
      </c>
      <c r="D97" s="309">
        <v>2.9</v>
      </c>
      <c r="E97" s="309">
        <v>4.5999999999999996</v>
      </c>
      <c r="F97" s="309">
        <f>((4*((C97-18)^2)+((D97-9.3)^2)+((E97-7.7)^2))^0.5)</f>
        <v>9.9784768376741759</v>
      </c>
      <c r="G97" s="97" t="s">
        <v>236</v>
      </c>
      <c r="H97" s="97" t="s">
        <v>236</v>
      </c>
      <c r="I97" s="97" t="s">
        <v>236</v>
      </c>
      <c r="K97" s="344" t="str">
        <f>IF(AND(G97=Polarity!L$4,I97=Polarity!L$4,H97=Polarity!L$4),Polarity!L$4,Polarity!L$6)</f>
        <v>Fail</v>
      </c>
      <c r="L97" s="345" t="str">
        <f>IF(K97=Polarity!L$4,B97,"")</f>
        <v/>
      </c>
      <c r="M97" s="346" t="str">
        <f>IF(AND(B97=L97,F97&gt;5),Polarity!L$5,"")</f>
        <v/>
      </c>
      <c r="O97" s="49"/>
      <c r="P97" s="174" t="str">
        <f t="shared" si="2"/>
        <v/>
      </c>
      <c r="Q97" s="124"/>
      <c r="R97" s="124"/>
      <c r="S97" s="336" t="str">
        <f>IF(AND(G97=Polarity!L$6,I97=Polarity!L$6,H97=Polarity!L$6),Polarity!L$6,"")</f>
        <v>Fail</v>
      </c>
    </row>
    <row r="98" spans="1:19" x14ac:dyDescent="0.2">
      <c r="A98" s="407"/>
      <c r="B98" s="6" t="s">
        <v>128</v>
      </c>
      <c r="C98" s="311">
        <v>17.600000000000001</v>
      </c>
      <c r="D98" s="311">
        <v>9.6</v>
      </c>
      <c r="E98" s="311">
        <v>4.5</v>
      </c>
      <c r="F98" s="311">
        <v>3.31</v>
      </c>
      <c r="G98" s="98" t="s">
        <v>235</v>
      </c>
      <c r="H98" s="98" t="s">
        <v>235</v>
      </c>
      <c r="I98" s="98" t="s">
        <v>235</v>
      </c>
      <c r="K98" s="344" t="str">
        <f>IF(AND(G98=Polarity!L$4,I98=Polarity!L$4,H98=Polarity!L$4),Polarity!L$4,Polarity!L$6)</f>
        <v>Pass</v>
      </c>
      <c r="L98" s="345" t="str">
        <f>IF(K98=Polarity!L$4,B98,"")</f>
        <v xml:space="preserve">Diethyl phthalate </v>
      </c>
      <c r="M98" s="421" t="s">
        <v>558</v>
      </c>
      <c r="O98" s="99" t="s">
        <v>238</v>
      </c>
      <c r="P98" s="174" t="str">
        <f t="shared" si="2"/>
        <v/>
      </c>
      <c r="Q98" s="124"/>
      <c r="R98" s="124"/>
      <c r="S98" s="336" t="str">
        <f>IF(AND(G98=Polarity!L$6,I98=Polarity!L$6,H98=Polarity!L$6),Polarity!L$6,"")</f>
        <v/>
      </c>
    </row>
    <row r="99" spans="1:19" x14ac:dyDescent="0.2">
      <c r="A99" s="407"/>
      <c r="B99" s="2" t="s">
        <v>75</v>
      </c>
      <c r="C99" s="309">
        <v>14.9</v>
      </c>
      <c r="D99" s="309">
        <v>2.2999999999999998</v>
      </c>
      <c r="E99" s="309">
        <v>6.1</v>
      </c>
      <c r="F99" s="309">
        <v>9.49</v>
      </c>
      <c r="G99" s="97" t="s">
        <v>236</v>
      </c>
      <c r="H99" s="97" t="s">
        <v>236</v>
      </c>
      <c r="I99" s="98" t="s">
        <v>235</v>
      </c>
      <c r="K99" s="344" t="str">
        <f>IF(AND(G99=Polarity!L$4,I99=Polarity!L$4,H99=Polarity!L$4),Polarity!L$4,Polarity!L$6)</f>
        <v>Fail</v>
      </c>
      <c r="L99" s="345" t="str">
        <f>IF(K99=Polarity!L$4,B99,"")</f>
        <v/>
      </c>
      <c r="M99" s="346" t="str">
        <f>IF(AND(B99=L99,F99&gt;5),Polarity!L$5,"")</f>
        <v/>
      </c>
      <c r="O99" s="49"/>
      <c r="P99" s="174" t="str">
        <f t="shared" si="2"/>
        <v/>
      </c>
      <c r="Q99" s="124"/>
      <c r="R99" s="124"/>
      <c r="S99" s="336" t="str">
        <f>IF(AND(G99=Polarity!L$6,I99=Polarity!L$6,H99=Polarity!L$6),Polarity!L$6,"")</f>
        <v/>
      </c>
    </row>
    <row r="100" spans="1:19" x14ac:dyDescent="0.2">
      <c r="A100" s="407"/>
      <c r="B100" s="4" t="s">
        <v>148</v>
      </c>
      <c r="C100" s="309">
        <v>15.8</v>
      </c>
      <c r="D100" s="309">
        <v>4.7</v>
      </c>
      <c r="E100" s="309">
        <v>4.4000000000000004</v>
      </c>
      <c r="F100" s="309">
        <v>7.17</v>
      </c>
      <c r="G100" s="97" t="s">
        <v>236</v>
      </c>
      <c r="H100" s="97" t="s">
        <v>236</v>
      </c>
      <c r="I100" s="98" t="s">
        <v>235</v>
      </c>
      <c r="K100" s="344" t="str">
        <f>IF(AND(G100=Polarity!L$4,I100=Polarity!L$4,H100=Polarity!L$4),Polarity!L$4,Polarity!L$6)</f>
        <v>Fail</v>
      </c>
      <c r="L100" s="345" t="str">
        <f>IF(K100=Polarity!L$4,B100,"")</f>
        <v/>
      </c>
      <c r="M100" s="346" t="str">
        <f>IF(AND(B100=L100,F100&gt;5),Polarity!L$5,"")</f>
        <v/>
      </c>
      <c r="O100" s="49"/>
      <c r="P100" s="174" t="str">
        <f t="shared" si="2"/>
        <v/>
      </c>
      <c r="Q100" s="124"/>
      <c r="R100" s="124"/>
      <c r="S100" s="336" t="str">
        <f>IF(AND(G100=Polarity!L$6,I100=Polarity!L$6,H100=Polarity!L$6),Polarity!L$6,"")</f>
        <v/>
      </c>
    </row>
    <row r="101" spans="1:19" x14ac:dyDescent="0.2">
      <c r="A101" s="407"/>
      <c r="B101" s="3" t="s">
        <v>149</v>
      </c>
      <c r="C101" s="312">
        <v>15.8</v>
      </c>
      <c r="D101" s="312">
        <v>5.9</v>
      </c>
      <c r="E101" s="312">
        <v>5.6</v>
      </c>
      <c r="F101" s="312">
        <v>5.94</v>
      </c>
      <c r="G101" s="181" t="s">
        <v>235</v>
      </c>
      <c r="H101" s="97" t="s">
        <v>236</v>
      </c>
      <c r="I101" s="98" t="s">
        <v>235</v>
      </c>
      <c r="K101" s="344" t="str">
        <f>IF(AND(G101=Polarity!L$4,I101=Polarity!L$4,H101=Polarity!L$4),Polarity!L$4,Polarity!L$6)</f>
        <v>Fail</v>
      </c>
      <c r="L101" s="345" t="str">
        <f>IF(K101=Polarity!L$4,B101,"")</f>
        <v/>
      </c>
      <c r="M101" s="346" t="str">
        <f>IF(AND(B101=L101,F101&gt;5),Polarity!L$5,"")</f>
        <v/>
      </c>
      <c r="O101" s="49"/>
      <c r="P101" s="174" t="str">
        <f t="shared" si="2"/>
        <v/>
      </c>
      <c r="Q101" s="124"/>
      <c r="R101" s="124"/>
      <c r="S101" s="336" t="str">
        <f>IF(AND(G101=Polarity!L$6,I101=Polarity!L$6,H101=Polarity!L$6),Polarity!L$6,"")</f>
        <v/>
      </c>
    </row>
    <row r="102" spans="1:19" x14ac:dyDescent="0.2">
      <c r="A102" s="407"/>
      <c r="B102" s="4" t="s">
        <v>150</v>
      </c>
      <c r="C102" s="310">
        <v>16</v>
      </c>
      <c r="D102" s="310">
        <v>5.9</v>
      </c>
      <c r="E102" s="310">
        <v>6.2</v>
      </c>
      <c r="F102" s="310">
        <v>5.4598534778874788</v>
      </c>
      <c r="G102" s="181" t="s">
        <v>235</v>
      </c>
      <c r="H102" s="97" t="s">
        <v>236</v>
      </c>
      <c r="I102" s="98" t="s">
        <v>235</v>
      </c>
      <c r="K102" s="344" t="str">
        <f>IF(AND(G102=Polarity!L$4,I102=Polarity!L$4,H102=Polarity!L$4),Polarity!L$4,Polarity!L$6)</f>
        <v>Fail</v>
      </c>
      <c r="L102" s="345" t="str">
        <f>IF(K102=Polarity!L$4,B102,"")</f>
        <v/>
      </c>
      <c r="M102" s="346" t="str">
        <f>IF(AND(B102=L102,F102&gt;5),Polarity!L$5,"")</f>
        <v/>
      </c>
      <c r="O102" s="49"/>
      <c r="P102" s="174" t="str">
        <f t="shared" si="2"/>
        <v/>
      </c>
      <c r="Q102" s="124"/>
      <c r="R102" s="124"/>
      <c r="S102" s="336" t="str">
        <f>IF(AND(G102=Polarity!L$6,I102=Polarity!L$6,H102=Polarity!L$6),Polarity!L$6,"")</f>
        <v/>
      </c>
    </row>
    <row r="103" spans="1:19" x14ac:dyDescent="0.2">
      <c r="A103" s="407"/>
      <c r="B103" s="2" t="s">
        <v>37</v>
      </c>
      <c r="C103" s="312">
        <v>16</v>
      </c>
      <c r="D103" s="312">
        <v>7</v>
      </c>
      <c r="E103" s="312">
        <v>10.6</v>
      </c>
      <c r="F103" s="312">
        <v>5.45</v>
      </c>
      <c r="G103" s="181" t="s">
        <v>235</v>
      </c>
      <c r="H103" s="98" t="s">
        <v>235</v>
      </c>
      <c r="I103" s="98" t="s">
        <v>235</v>
      </c>
      <c r="K103" s="344" t="str">
        <f>IF(AND(G103=Polarity!L$4,I103=Polarity!L$4,H103=Polarity!L$4),Polarity!L$4,Polarity!L$6)</f>
        <v>Pass</v>
      </c>
      <c r="L103" s="345" t="str">
        <f>IF(K103=Polarity!L$4,B103,"")</f>
        <v>Diethylene glycol monobutyl ether</v>
      </c>
      <c r="M103" s="346" t="str">
        <f>IF(AND(B103=L103,F103&gt;5),Polarity!L$5,"")</f>
        <v>Borderline (still considered a pass)</v>
      </c>
      <c r="O103" s="99" t="s">
        <v>359</v>
      </c>
      <c r="P103" s="174" t="str">
        <f t="shared" si="2"/>
        <v/>
      </c>
      <c r="Q103" s="124"/>
      <c r="R103" s="124"/>
      <c r="S103" s="336" t="str">
        <f>IF(AND(G103=Polarity!L$6,I103=Polarity!L$6,H103=Polarity!L$6),Polarity!L$6,"")</f>
        <v/>
      </c>
    </row>
    <row r="104" spans="1:19" x14ac:dyDescent="0.2">
      <c r="A104" s="407"/>
      <c r="B104" s="4" t="s">
        <v>38</v>
      </c>
      <c r="C104" s="312">
        <v>16.100000000000001</v>
      </c>
      <c r="D104" s="312">
        <v>9.1999999999999993</v>
      </c>
      <c r="E104" s="312">
        <v>12.2</v>
      </c>
      <c r="F104" s="312">
        <v>5.89</v>
      </c>
      <c r="G104" s="181" t="s">
        <v>235</v>
      </c>
      <c r="H104" s="97" t="s">
        <v>236</v>
      </c>
      <c r="I104" s="98" t="s">
        <v>235</v>
      </c>
      <c r="K104" s="344" t="str">
        <f>IF(AND(G104=Polarity!L$4,I104=Polarity!L$4,H104=Polarity!L$4),Polarity!L$4,Polarity!L$6)</f>
        <v>Fail</v>
      </c>
      <c r="L104" s="345" t="str">
        <f>IF(K104=Polarity!L$4,B104,"")</f>
        <v/>
      </c>
      <c r="M104" s="346" t="str">
        <f>IF(AND(B104=L104,F104&gt;5),Polarity!L$5,"")</f>
        <v/>
      </c>
      <c r="O104" s="49"/>
      <c r="P104" s="174" t="str">
        <f t="shared" si="2"/>
        <v/>
      </c>
      <c r="Q104" s="124"/>
      <c r="R104" s="124"/>
      <c r="S104" s="336" t="str">
        <f>IF(AND(G104=Polarity!L$6,I104=Polarity!L$6,H104=Polarity!L$6),Polarity!L$6,"")</f>
        <v/>
      </c>
    </row>
    <row r="105" spans="1:19" x14ac:dyDescent="0.2">
      <c r="A105" s="407"/>
      <c r="B105" s="4" t="s">
        <v>39</v>
      </c>
      <c r="C105" s="310">
        <v>16.2</v>
      </c>
      <c r="D105" s="310">
        <v>7.8</v>
      </c>
      <c r="E105" s="310">
        <v>12.6</v>
      </c>
      <c r="F105" s="310">
        <v>6.26</v>
      </c>
      <c r="G105" s="181" t="s">
        <v>235</v>
      </c>
      <c r="H105" s="97" t="s">
        <v>236</v>
      </c>
      <c r="I105" s="98" t="s">
        <v>235</v>
      </c>
      <c r="K105" s="344" t="str">
        <f>IF(AND(G105=Polarity!L$4,I105=Polarity!L$4,H105=Polarity!L$4),Polarity!L$4,Polarity!L$6)</f>
        <v>Fail</v>
      </c>
      <c r="L105" s="345" t="str">
        <f>IF(K105=Polarity!L$4,B105,"")</f>
        <v/>
      </c>
      <c r="M105" s="346" t="str">
        <f>IF(AND(B105=L105,F105&gt;5),Polarity!L$5,"")</f>
        <v/>
      </c>
      <c r="O105" s="49"/>
      <c r="P105" s="174" t="str">
        <f t="shared" si="2"/>
        <v/>
      </c>
      <c r="Q105" s="124"/>
      <c r="R105" s="124"/>
      <c r="S105" s="336" t="str">
        <f>IF(AND(G105=Polarity!L$6,I105=Polarity!L$6,H105=Polarity!L$6),Polarity!L$6,"")</f>
        <v/>
      </c>
    </row>
    <row r="106" spans="1:19" x14ac:dyDescent="0.2">
      <c r="B106" s="6" t="s">
        <v>136</v>
      </c>
      <c r="C106" s="309">
        <v>15.1</v>
      </c>
      <c r="D106" s="309">
        <v>3.2</v>
      </c>
      <c r="E106" s="309">
        <v>3.2</v>
      </c>
      <c r="F106" s="309">
        <v>9.5399999999999991</v>
      </c>
      <c r="G106" s="97" t="s">
        <v>236</v>
      </c>
      <c r="H106" s="97" t="s">
        <v>236</v>
      </c>
      <c r="I106" s="97" t="s">
        <v>236</v>
      </c>
      <c r="K106" s="344" t="str">
        <f>IF(AND(G106=Polarity!L$4,I106=Polarity!L$4,H106=Polarity!L$4),Polarity!L$4,Polarity!L$6)</f>
        <v>Fail</v>
      </c>
      <c r="L106" s="345" t="str">
        <f>IF(K106=Polarity!L$4,B106,"")</f>
        <v/>
      </c>
      <c r="M106" s="346" t="str">
        <f>IF(AND(B106=L106,F106&gt;5),Polarity!L$5,"")</f>
        <v/>
      </c>
      <c r="O106" s="49"/>
      <c r="P106" s="174" t="str">
        <f t="shared" si="2"/>
        <v/>
      </c>
      <c r="Q106" s="124"/>
      <c r="R106" s="124"/>
      <c r="S106" s="336" t="str">
        <f>IF(AND(G106=Polarity!L$6,I106=Polarity!L$6,H106=Polarity!L$6),Polarity!L$6,"")</f>
        <v>Fail</v>
      </c>
    </row>
    <row r="107" spans="1:19" x14ac:dyDescent="0.2">
      <c r="B107" s="2" t="s">
        <v>151</v>
      </c>
      <c r="C107" s="309">
        <v>15</v>
      </c>
      <c r="D107" s="309">
        <v>1.8</v>
      </c>
      <c r="E107" s="309">
        <v>8.6</v>
      </c>
      <c r="F107" s="309">
        <v>9.65</v>
      </c>
      <c r="G107" s="97" t="s">
        <v>236</v>
      </c>
      <c r="H107" s="97" t="s">
        <v>236</v>
      </c>
      <c r="I107" s="100" t="s">
        <v>237</v>
      </c>
      <c r="K107" s="344" t="str">
        <f>IF(AND(G107=Polarity!L$4,I107=Polarity!L$4,H107=Polarity!L$4),Polarity!L$4,Polarity!L$6)</f>
        <v>Fail</v>
      </c>
      <c r="L107" s="345" t="str">
        <f>IF(K107=Polarity!L$4,B107,"")</f>
        <v/>
      </c>
      <c r="M107" s="346" t="str">
        <f>IF(AND(B107=L107,F107&gt;5),Polarity!L$5,"")</f>
        <v/>
      </c>
      <c r="O107" s="49"/>
      <c r="P107" s="174" t="str">
        <f t="shared" si="2"/>
        <v/>
      </c>
      <c r="Q107" s="124"/>
      <c r="R107" s="124"/>
      <c r="S107" s="336" t="str">
        <f>IF(AND(G107=Polarity!L$6,I107=Polarity!L$6,H107=Polarity!L$6),Polarity!L$6,"")</f>
        <v/>
      </c>
    </row>
    <row r="108" spans="1:19" x14ac:dyDescent="0.2">
      <c r="B108" s="6" t="s">
        <v>90</v>
      </c>
      <c r="C108" s="312">
        <v>15.5</v>
      </c>
      <c r="D108" s="312">
        <v>8.6</v>
      </c>
      <c r="E108" s="312">
        <v>9.6999999999999993</v>
      </c>
      <c r="F108" s="312">
        <v>5.43</v>
      </c>
      <c r="G108" s="181" t="s">
        <v>235</v>
      </c>
      <c r="H108" s="97" t="s">
        <v>236</v>
      </c>
      <c r="I108" s="97" t="s">
        <v>236</v>
      </c>
      <c r="K108" s="344" t="str">
        <f>IF(AND(G108=Polarity!L$4,I108=Polarity!L$4,H108=Polarity!L$4),Polarity!L$4,Polarity!L$6)</f>
        <v>Fail</v>
      </c>
      <c r="L108" s="345" t="str">
        <f>IF(K108=Polarity!L$4,B108,"")</f>
        <v/>
      </c>
      <c r="M108" s="346" t="str">
        <f>IF(AND(B108=L108,F108&gt;5),Polarity!L$5,"")</f>
        <v/>
      </c>
      <c r="O108" s="49"/>
      <c r="P108" s="174" t="str">
        <f t="shared" si="2"/>
        <v/>
      </c>
      <c r="Q108" s="124"/>
      <c r="R108" s="124"/>
      <c r="S108" s="336" t="str">
        <f>IF(AND(G108=Polarity!L$6,I108=Polarity!L$6,H108=Polarity!L$6),Polarity!L$6,"")</f>
        <v/>
      </c>
    </row>
    <row r="109" spans="1:19" x14ac:dyDescent="0.2">
      <c r="B109" s="2" t="s">
        <v>137</v>
      </c>
      <c r="C109" s="309">
        <v>15.2</v>
      </c>
      <c r="D109" s="309">
        <v>6.1</v>
      </c>
      <c r="E109" s="309">
        <v>5.7</v>
      </c>
      <c r="F109" s="309">
        <f>((4*((C109-18)^2)+((D109-9.3)^2)+((E109-7.7)^2))^0.5)</f>
        <v>6.7527772064536542</v>
      </c>
      <c r="G109" s="97" t="s">
        <v>236</v>
      </c>
      <c r="H109" s="97" t="s">
        <v>236</v>
      </c>
      <c r="I109" s="100" t="s">
        <v>237</v>
      </c>
      <c r="K109" s="344" t="str">
        <f>IF(AND(G109=Polarity!L$4,I109=Polarity!L$4,H109=Polarity!L$4),Polarity!L$4,Polarity!L$6)</f>
        <v>Fail</v>
      </c>
      <c r="L109" s="345" t="str">
        <f>IF(K109=Polarity!L$4,B109,"")</f>
        <v/>
      </c>
      <c r="M109" s="346" t="str">
        <f>IF(AND(B109=L109,F109&gt;5),Polarity!L$5,"")</f>
        <v/>
      </c>
      <c r="O109" s="49"/>
      <c r="P109" s="174" t="str">
        <f t="shared" si="2"/>
        <v/>
      </c>
      <c r="Q109" s="124"/>
      <c r="R109" s="124"/>
      <c r="S109" s="336" t="str">
        <f>IF(AND(G109=Polarity!L$6,I109=Polarity!L$6,H109=Polarity!L$6),Polarity!L$6,"")</f>
        <v/>
      </c>
    </row>
    <row r="110" spans="1:19" x14ac:dyDescent="0.2">
      <c r="A110" s="407"/>
      <c r="B110" s="2" t="s">
        <v>129</v>
      </c>
      <c r="C110" s="311">
        <v>16.100000000000001</v>
      </c>
      <c r="D110" s="311">
        <v>7.7</v>
      </c>
      <c r="E110" s="311">
        <v>8.3000000000000007</v>
      </c>
      <c r="F110" s="311">
        <v>4.17</v>
      </c>
      <c r="G110" s="98" t="s">
        <v>235</v>
      </c>
      <c r="H110" s="97" t="s">
        <v>236</v>
      </c>
      <c r="I110" s="98" t="s">
        <v>235</v>
      </c>
      <c r="K110" s="344" t="str">
        <f>IF(AND(G110=Polarity!L$4,I110=Polarity!L$4,H110=Polarity!L$4),Polarity!L$4,Polarity!L$6)</f>
        <v>Fail</v>
      </c>
      <c r="L110" s="345" t="str">
        <f>IF(K110=Polarity!L$4,B110,"")</f>
        <v/>
      </c>
      <c r="M110" s="346" t="str">
        <f>IF(AND(B110=L110,F110&gt;5),Polarity!L$5,"")</f>
        <v/>
      </c>
      <c r="O110" s="49"/>
      <c r="P110" s="174" t="str">
        <f t="shared" si="2"/>
        <v/>
      </c>
      <c r="Q110" s="124"/>
      <c r="R110" s="124"/>
      <c r="S110" s="336" t="str">
        <f>IF(AND(G110=Polarity!L$6,I110=Polarity!L$6,H110=Polarity!L$6),Polarity!L$6,"")</f>
        <v/>
      </c>
    </row>
    <row r="111" spans="1:19" x14ac:dyDescent="0.2">
      <c r="A111" s="407"/>
      <c r="B111" s="31" t="s">
        <v>331</v>
      </c>
      <c r="C111" s="311">
        <v>17.600000000000001</v>
      </c>
      <c r="D111" s="311">
        <v>7.1</v>
      </c>
      <c r="E111" s="311">
        <v>7.5</v>
      </c>
      <c r="F111" s="311">
        <v>2.35</v>
      </c>
      <c r="G111" s="98" t="s">
        <v>235</v>
      </c>
      <c r="H111" s="100" t="s">
        <v>237</v>
      </c>
      <c r="I111" s="98" t="s">
        <v>235</v>
      </c>
      <c r="K111" s="344" t="str">
        <f>IF(AND(G111=Polarity!L$4,I111=Polarity!L$4,H111=Polarity!L$4),Polarity!L$4,Polarity!L$6)</f>
        <v>Fail</v>
      </c>
      <c r="L111" s="345" t="str">
        <f>IF(K111=Polarity!L$4,B111,"")</f>
        <v/>
      </c>
      <c r="M111" s="346" t="str">
        <f>IF(AND(B111=L111,F111&gt;5),Polarity!L$5,"")</f>
        <v/>
      </c>
      <c r="O111" s="49"/>
      <c r="P111" s="174" t="str">
        <f t="shared" si="2"/>
        <v/>
      </c>
      <c r="Q111" s="124"/>
      <c r="R111" s="124"/>
      <c r="S111" s="336" t="str">
        <f>IF(AND(G111=Polarity!L$6,I111=Polarity!L$6,H111=Polarity!L$6),Polarity!L$6,"")</f>
        <v/>
      </c>
    </row>
    <row r="112" spans="1:19" x14ac:dyDescent="0.2">
      <c r="A112" s="407"/>
      <c r="B112" s="6" t="s">
        <v>130</v>
      </c>
      <c r="C112" s="311">
        <v>18.600000000000001</v>
      </c>
      <c r="D112" s="311">
        <v>10.8</v>
      </c>
      <c r="E112" s="311">
        <v>4.9000000000000004</v>
      </c>
      <c r="F112" s="311">
        <v>3.4</v>
      </c>
      <c r="G112" s="98" t="s">
        <v>235</v>
      </c>
      <c r="H112" s="100" t="s">
        <v>237</v>
      </c>
      <c r="I112" s="98" t="s">
        <v>235</v>
      </c>
      <c r="K112" s="344" t="str">
        <f>IF(AND(G112=Polarity!L$4,I112=Polarity!L$4,H112=Polarity!L$4),Polarity!L$4,Polarity!L$6)</f>
        <v>Fail</v>
      </c>
      <c r="L112" s="345" t="str">
        <f>IF(K112=Polarity!L$4,B112,"")</f>
        <v/>
      </c>
      <c r="M112" s="346" t="str">
        <f>IF(AND(B112=L112,F112&gt;5),Polarity!L$5,"")</f>
        <v/>
      </c>
      <c r="O112" s="49"/>
      <c r="P112" s="174" t="str">
        <f t="shared" si="2"/>
        <v/>
      </c>
      <c r="Q112" s="124"/>
      <c r="R112" s="124"/>
      <c r="S112" s="336" t="str">
        <f>IF(AND(G112=Polarity!L$6,I112=Polarity!L$6,H112=Polarity!L$6),Polarity!L$6,"")</f>
        <v/>
      </c>
    </row>
    <row r="113" spans="1:19" x14ac:dyDescent="0.2">
      <c r="B113" s="5" t="s">
        <v>210</v>
      </c>
      <c r="C113" s="311">
        <v>16.100000000000001</v>
      </c>
      <c r="D113" s="311">
        <v>6.4</v>
      </c>
      <c r="E113" s="311">
        <v>7.4</v>
      </c>
      <c r="F113" s="311">
        <v>4.79</v>
      </c>
      <c r="G113" s="98" t="s">
        <v>235</v>
      </c>
      <c r="H113" s="97" t="s">
        <v>236</v>
      </c>
      <c r="I113" s="100" t="s">
        <v>237</v>
      </c>
      <c r="K113" s="344" t="str">
        <f>IF(AND(G113=Polarity!L$4,I113=Polarity!L$4,H113=Polarity!L$4),Polarity!L$4,Polarity!L$6)</f>
        <v>Fail</v>
      </c>
      <c r="L113" s="345" t="str">
        <f>IF(K113=Polarity!L$4,B113,"")</f>
        <v/>
      </c>
      <c r="M113" s="346" t="str">
        <f>IF(AND(B113=L113,F113&gt;5),Polarity!L$5,"")</f>
        <v/>
      </c>
      <c r="O113" s="49"/>
      <c r="P113" s="174" t="str">
        <f t="shared" si="2"/>
        <v/>
      </c>
      <c r="Q113" s="124"/>
      <c r="R113" s="124"/>
      <c r="S113" s="336" t="str">
        <f>IF(AND(G113=Polarity!L$6,I113=Polarity!L$6,H113=Polarity!L$6),Polarity!L$6,"")</f>
        <v/>
      </c>
    </row>
    <row r="114" spans="1:19" x14ac:dyDescent="0.2">
      <c r="A114" s="407"/>
      <c r="B114" s="6" t="s">
        <v>208</v>
      </c>
      <c r="C114" s="309">
        <v>18.399999999999999</v>
      </c>
      <c r="D114" s="309">
        <v>16.399999999999999</v>
      </c>
      <c r="E114" s="309">
        <v>10.199999999999999</v>
      </c>
      <c r="F114" s="309">
        <v>7.57</v>
      </c>
      <c r="G114" s="97" t="s">
        <v>236</v>
      </c>
      <c r="H114" s="98" t="s">
        <v>235</v>
      </c>
      <c r="I114" s="98" t="s">
        <v>235</v>
      </c>
      <c r="K114" s="344" t="str">
        <f>IF(AND(G114=Polarity!L$4,I114=Polarity!L$4,H114=Polarity!L$4),Polarity!L$4,Polarity!L$6)</f>
        <v>Fail</v>
      </c>
      <c r="L114" s="345" t="str">
        <f>IF(K114=Polarity!L$4,B114,"")</f>
        <v/>
      </c>
      <c r="M114" s="346" t="str">
        <f>IF(AND(B114=L114,F114&gt;5),Polarity!L$5,"")</f>
        <v/>
      </c>
      <c r="O114" s="49"/>
      <c r="P114" s="174" t="str">
        <f t="shared" si="2"/>
        <v/>
      </c>
      <c r="Q114" s="124"/>
      <c r="R114" s="124"/>
      <c r="S114" s="336" t="str">
        <f>IF(AND(G114=Polarity!L$6,I114=Polarity!L$6,H114=Polarity!L$6),Polarity!L$6,"")</f>
        <v/>
      </c>
    </row>
    <row r="115" spans="1:19" x14ac:dyDescent="0.2">
      <c r="A115" s="407"/>
      <c r="B115" s="2" t="s">
        <v>138</v>
      </c>
      <c r="C115" s="309">
        <v>19.399999999999999</v>
      </c>
      <c r="D115" s="309">
        <v>3.4</v>
      </c>
      <c r="E115" s="309">
        <v>4</v>
      </c>
      <c r="F115" s="309">
        <v>7.51</v>
      </c>
      <c r="G115" s="97" t="s">
        <v>236</v>
      </c>
      <c r="H115" s="98" t="s">
        <v>235</v>
      </c>
      <c r="I115" s="98" t="s">
        <v>235</v>
      </c>
      <c r="K115" s="344" t="str">
        <f>IF(AND(G115=Polarity!L$4,I115=Polarity!L$4,H115=Polarity!L$4),Polarity!L$4,Polarity!L$6)</f>
        <v>Fail</v>
      </c>
      <c r="L115" s="345" t="str">
        <f>IF(K115=Polarity!L$4,B115,"")</f>
        <v/>
      </c>
      <c r="M115" s="346" t="str">
        <f>IF(AND(B115=L115,F115&gt;5),Polarity!L$5,"")</f>
        <v/>
      </c>
      <c r="O115" s="49"/>
      <c r="P115" s="174" t="str">
        <f t="shared" si="2"/>
        <v/>
      </c>
      <c r="Q115" s="124"/>
      <c r="R115" s="124"/>
      <c r="S115" s="336" t="str">
        <f>IF(AND(G115=Polarity!L$6,I115=Polarity!L$6,H115=Polarity!L$6),Polarity!L$6,"")</f>
        <v/>
      </c>
    </row>
    <row r="116" spans="1:19" x14ac:dyDescent="0.2">
      <c r="A116" s="407"/>
      <c r="B116" s="2" t="s">
        <v>53</v>
      </c>
      <c r="C116" s="309">
        <v>16.5</v>
      </c>
      <c r="D116" s="309">
        <v>10.6</v>
      </c>
      <c r="E116" s="309">
        <v>17.7</v>
      </c>
      <c r="F116" s="309">
        <v>10.52</v>
      </c>
      <c r="G116" s="97" t="s">
        <v>236</v>
      </c>
      <c r="H116" s="100" t="s">
        <v>237</v>
      </c>
      <c r="I116" s="98" t="s">
        <v>235</v>
      </c>
      <c r="K116" s="344" t="str">
        <f>IF(AND(G116=Polarity!L$4,I116=Polarity!L$4,H116=Polarity!L$4),Polarity!L$4,Polarity!L$6)</f>
        <v>Fail</v>
      </c>
      <c r="L116" s="345" t="str">
        <f>IF(K116=Polarity!L$4,B116,"")</f>
        <v/>
      </c>
      <c r="M116" s="346" t="str">
        <f>IF(AND(B116=L116,F116&gt;5),Polarity!L$5,"")</f>
        <v/>
      </c>
      <c r="O116" s="49"/>
      <c r="P116" s="174" t="str">
        <f t="shared" si="2"/>
        <v/>
      </c>
      <c r="Q116" s="124"/>
      <c r="R116" s="124"/>
      <c r="S116" s="336" t="str">
        <f>IF(AND(G116=Polarity!L$6,I116=Polarity!L$6,H116=Polarity!L$6),Polarity!L$6,"")</f>
        <v/>
      </c>
    </row>
    <row r="117" spans="1:19" x14ac:dyDescent="0.2">
      <c r="A117" s="407"/>
      <c r="B117" s="4" t="s">
        <v>40</v>
      </c>
      <c r="C117" s="309">
        <v>15.5</v>
      </c>
      <c r="D117" s="309">
        <v>5.7</v>
      </c>
      <c r="E117" s="309">
        <v>11.2</v>
      </c>
      <c r="F117" s="309">
        <v>7.09</v>
      </c>
      <c r="G117" s="97" t="s">
        <v>236</v>
      </c>
      <c r="H117" s="97" t="s">
        <v>236</v>
      </c>
      <c r="I117" s="98" t="s">
        <v>235</v>
      </c>
      <c r="K117" s="344" t="str">
        <f>IF(AND(G117=Polarity!L$4,I117=Polarity!L$4,H117=Polarity!L$4),Polarity!L$4,Polarity!L$6)</f>
        <v>Fail</v>
      </c>
      <c r="L117" s="345" t="str">
        <f>IF(K117=Polarity!L$4,B117,"")</f>
        <v/>
      </c>
      <c r="M117" s="346" t="str">
        <f>IF(AND(B117=L117,F117&gt;5),Polarity!L$5,"")</f>
        <v/>
      </c>
      <c r="O117" s="49"/>
      <c r="P117" s="174" t="str">
        <f t="shared" si="2"/>
        <v/>
      </c>
      <c r="Q117" s="124"/>
      <c r="R117" s="124"/>
      <c r="S117" s="336" t="str">
        <f>IF(AND(G117=Polarity!L$6,I117=Polarity!L$6,H117=Polarity!L$6),Polarity!L$6,"")</f>
        <v/>
      </c>
    </row>
    <row r="118" spans="1:19" x14ac:dyDescent="0.2">
      <c r="A118" s="407"/>
      <c r="B118" s="6" t="s">
        <v>161</v>
      </c>
      <c r="C118" s="309">
        <v>17.2</v>
      </c>
      <c r="D118" s="309">
        <v>1.8</v>
      </c>
      <c r="E118" s="309">
        <v>4.3</v>
      </c>
      <c r="F118" s="309">
        <v>8.39</v>
      </c>
      <c r="G118" s="97" t="s">
        <v>236</v>
      </c>
      <c r="H118" s="97" t="s">
        <v>236</v>
      </c>
      <c r="I118" s="98" t="s">
        <v>235</v>
      </c>
      <c r="K118" s="344" t="str">
        <f>IF(AND(G118=Polarity!L$4,I118=Polarity!L$4,H118=Polarity!L$4),Polarity!L$4,Polarity!L$6)</f>
        <v>Fail</v>
      </c>
      <c r="L118" s="345" t="str">
        <f>IF(K118=Polarity!L$4,B118,"")</f>
        <v/>
      </c>
      <c r="M118" s="346" t="str">
        <f>IF(AND(B118=L118,F118&gt;5),Polarity!L$5,"")</f>
        <v/>
      </c>
      <c r="O118" s="49"/>
      <c r="P118" s="174" t="str">
        <f t="shared" si="2"/>
        <v/>
      </c>
      <c r="Q118" s="124"/>
      <c r="R118" s="124"/>
      <c r="S118" s="336" t="str">
        <f>IF(AND(G118=Polarity!L$6,I118=Polarity!L$6,H118=Polarity!L$6),Polarity!L$6,"")</f>
        <v/>
      </c>
    </row>
    <row r="119" spans="1:19" x14ac:dyDescent="0.2">
      <c r="B119" s="2" t="s">
        <v>211</v>
      </c>
      <c r="C119" s="312">
        <v>15.7</v>
      </c>
      <c r="D119" s="312">
        <v>6.5</v>
      </c>
      <c r="E119" s="312">
        <v>7.1</v>
      </c>
      <c r="F119" s="312">
        <v>5.42</v>
      </c>
      <c r="G119" s="181" t="s">
        <v>235</v>
      </c>
      <c r="H119" s="97" t="s">
        <v>236</v>
      </c>
      <c r="I119" s="100" t="s">
        <v>237</v>
      </c>
      <c r="K119" s="344" t="str">
        <f>IF(AND(G119=Polarity!L$4,I119=Polarity!L$4,H119=Polarity!L$4),Polarity!L$4,Polarity!L$6)</f>
        <v>Fail</v>
      </c>
      <c r="L119" s="345" t="str">
        <f>IF(K119=Polarity!L$4,B119,"")</f>
        <v/>
      </c>
      <c r="M119" s="346" t="str">
        <f>IF(AND(B119=L119,F119&gt;5),Polarity!L$5,"")</f>
        <v/>
      </c>
      <c r="O119" s="49"/>
      <c r="P119" s="174" t="str">
        <f t="shared" si="2"/>
        <v/>
      </c>
      <c r="Q119" s="124"/>
      <c r="R119" s="124"/>
      <c r="S119" s="336" t="str">
        <f>IF(AND(G119=Polarity!L$6,I119=Polarity!L$6,H119=Polarity!L$6),Polarity!L$6,"")</f>
        <v/>
      </c>
    </row>
    <row r="120" spans="1:19" x14ac:dyDescent="0.2">
      <c r="A120" s="407"/>
      <c r="B120" s="2" t="s">
        <v>25</v>
      </c>
      <c r="C120" s="309">
        <v>15.8</v>
      </c>
      <c r="D120" s="309">
        <v>8.8000000000000007</v>
      </c>
      <c r="E120" s="309">
        <v>19.399999999999999</v>
      </c>
      <c r="F120" s="309">
        <v>12.51</v>
      </c>
      <c r="G120" s="97" t="s">
        <v>236</v>
      </c>
      <c r="H120" s="97" t="s">
        <v>236</v>
      </c>
      <c r="I120" s="98" t="s">
        <v>235</v>
      </c>
      <c r="K120" s="344" t="str">
        <f>IF(AND(G120=Polarity!L$4,I120=Polarity!L$4,H120=Polarity!L$4),Polarity!L$4,Polarity!L$6)</f>
        <v>Fail</v>
      </c>
      <c r="L120" s="345" t="str">
        <f>IF(K120=Polarity!L$4,B120,"")</f>
        <v/>
      </c>
      <c r="M120" s="346" t="str">
        <f>IF(AND(B120=L120,F120&gt;5),Polarity!L$5,"")</f>
        <v/>
      </c>
      <c r="O120" s="49"/>
      <c r="P120" s="174" t="str">
        <f t="shared" si="2"/>
        <v/>
      </c>
      <c r="Q120" s="124"/>
      <c r="R120" s="124"/>
      <c r="S120" s="336" t="str">
        <f>IF(AND(G120=Polarity!L$6,I120=Polarity!L$6,H120=Polarity!L$6),Polarity!L$6,"")</f>
        <v/>
      </c>
    </row>
    <row r="121" spans="1:19" x14ac:dyDescent="0.2">
      <c r="A121" s="407"/>
      <c r="B121" s="2" t="s">
        <v>139</v>
      </c>
      <c r="C121" s="310">
        <v>18.399999999999999</v>
      </c>
      <c r="D121" s="310">
        <v>4.5</v>
      </c>
      <c r="E121" s="310">
        <v>4</v>
      </c>
      <c r="F121" s="310">
        <v>6.11</v>
      </c>
      <c r="G121" s="181" t="s">
        <v>235</v>
      </c>
      <c r="H121" s="100" t="s">
        <v>237</v>
      </c>
      <c r="I121" s="98" t="s">
        <v>235</v>
      </c>
      <c r="K121" s="344" t="str">
        <f>IF(AND(G121=Polarity!L$4,I121=Polarity!L$4,H121=Polarity!L$4),Polarity!L$4,Polarity!L$6)</f>
        <v>Fail</v>
      </c>
      <c r="L121" s="345" t="str">
        <f>IF(K121=Polarity!L$4,B121,"")</f>
        <v/>
      </c>
      <c r="M121" s="346" t="str">
        <f>IF(AND(B121=L121,F121&gt;5),Polarity!L$5,"")</f>
        <v/>
      </c>
      <c r="O121" s="49"/>
      <c r="P121" s="174" t="str">
        <f t="shared" si="2"/>
        <v/>
      </c>
      <c r="Q121" s="124"/>
      <c r="R121" s="124"/>
      <c r="S121" s="336" t="str">
        <f>IF(AND(G121=Polarity!L$6,I121=Polarity!L$6,H121=Polarity!L$6),Polarity!L$6,"")</f>
        <v/>
      </c>
    </row>
    <row r="122" spans="1:19" x14ac:dyDescent="0.2">
      <c r="B122" s="6" t="s">
        <v>114</v>
      </c>
      <c r="C122" s="312">
        <v>15.8</v>
      </c>
      <c r="D122" s="312">
        <v>5.3</v>
      </c>
      <c r="E122" s="312">
        <v>7.2</v>
      </c>
      <c r="F122" s="312">
        <v>5.97</v>
      </c>
      <c r="G122" s="181" t="s">
        <v>235</v>
      </c>
      <c r="H122" s="97" t="s">
        <v>236</v>
      </c>
      <c r="I122" s="97" t="s">
        <v>236</v>
      </c>
      <c r="K122" s="344" t="str">
        <f>IF(AND(G122=Polarity!L$4,I122=Polarity!L$4,H122=Polarity!L$4),Polarity!L$4,Polarity!L$6)</f>
        <v>Fail</v>
      </c>
      <c r="L122" s="345" t="str">
        <f>IF(K122=Polarity!L$4,B122,"")</f>
        <v/>
      </c>
      <c r="M122" s="346" t="str">
        <f>IF(AND(B122=L122,F122&gt;5),Polarity!L$5,"")</f>
        <v/>
      </c>
      <c r="O122" s="49"/>
      <c r="P122" s="174" t="str">
        <f t="shared" si="2"/>
        <v/>
      </c>
      <c r="Q122" s="124"/>
      <c r="R122" s="124"/>
      <c r="S122" s="336" t="str">
        <f>IF(AND(G122=Polarity!L$6,I122=Polarity!L$6,H122=Polarity!L$6),Polarity!L$6,"")</f>
        <v/>
      </c>
    </row>
    <row r="123" spans="1:19" x14ac:dyDescent="0.2">
      <c r="B123" s="5" t="s">
        <v>162</v>
      </c>
      <c r="C123" s="309">
        <v>17.8</v>
      </c>
      <c r="D123" s="309">
        <v>0.6</v>
      </c>
      <c r="E123" s="309">
        <v>1.4</v>
      </c>
      <c r="F123" s="309">
        <v>10.7</v>
      </c>
      <c r="G123" s="97" t="s">
        <v>236</v>
      </c>
      <c r="H123" s="97" t="s">
        <v>236</v>
      </c>
      <c r="I123" s="97" t="s">
        <v>236</v>
      </c>
      <c r="K123" s="344" t="str">
        <f>IF(AND(G123=Polarity!L$4,I123=Polarity!L$4,H123=Polarity!L$4),Polarity!L$4,Polarity!L$6)</f>
        <v>Fail</v>
      </c>
      <c r="L123" s="345" t="str">
        <f>IF(K123=Polarity!L$4,B123,"")</f>
        <v/>
      </c>
      <c r="M123" s="346" t="str">
        <f>IF(AND(B123=L123,F123&gt;5),Polarity!L$5,"")</f>
        <v/>
      </c>
      <c r="O123" s="49"/>
      <c r="P123" s="174" t="str">
        <f t="shared" si="2"/>
        <v/>
      </c>
      <c r="Q123" s="124"/>
      <c r="R123" s="124"/>
      <c r="S123" s="336" t="str">
        <f>IF(AND(G123=Polarity!L$6,I123=Polarity!L$6,H123=Polarity!L$6),Polarity!L$6,"")</f>
        <v>Fail</v>
      </c>
    </row>
    <row r="124" spans="1:19" x14ac:dyDescent="0.2">
      <c r="A124" s="407"/>
      <c r="B124" s="3" t="s">
        <v>115</v>
      </c>
      <c r="C124" s="309">
        <v>15.5</v>
      </c>
      <c r="D124" s="309">
        <v>5.6</v>
      </c>
      <c r="E124" s="309">
        <v>5</v>
      </c>
      <c r="F124" s="309">
        <v>6.78</v>
      </c>
      <c r="G124" s="97" t="s">
        <v>236</v>
      </c>
      <c r="H124" s="97" t="s">
        <v>236</v>
      </c>
      <c r="I124" s="98" t="s">
        <v>235</v>
      </c>
      <c r="K124" s="344" t="str">
        <f>IF(AND(G124=Polarity!L$4,I124=Polarity!L$4,H124=Polarity!L$4),Polarity!L$4,Polarity!L$6)</f>
        <v>Fail</v>
      </c>
      <c r="L124" s="345" t="str">
        <f>IF(K124=Polarity!L$4,B124,"")</f>
        <v/>
      </c>
      <c r="M124" s="346" t="str">
        <f>IF(AND(B124=L124,F124&gt;5),Polarity!L$5,"")</f>
        <v/>
      </c>
      <c r="O124" s="49"/>
      <c r="P124" s="174" t="str">
        <f t="shared" si="2"/>
        <v/>
      </c>
      <c r="Q124" s="124"/>
      <c r="R124" s="124"/>
      <c r="S124" s="336" t="str">
        <f>IF(AND(G124=Polarity!L$6,I124=Polarity!L$6,H124=Polarity!L$6),Polarity!L$6,"")</f>
        <v/>
      </c>
    </row>
    <row r="125" spans="1:19" x14ac:dyDescent="0.2">
      <c r="B125" s="2" t="s">
        <v>116</v>
      </c>
      <c r="C125" s="312">
        <v>15.5</v>
      </c>
      <c r="D125" s="312">
        <v>8.4</v>
      </c>
      <c r="E125" s="312">
        <v>8.4</v>
      </c>
      <c r="F125" s="312">
        <v>5.13</v>
      </c>
      <c r="G125" s="181" t="s">
        <v>235</v>
      </c>
      <c r="H125" s="97" t="s">
        <v>236</v>
      </c>
      <c r="I125" s="100" t="s">
        <v>237</v>
      </c>
      <c r="K125" s="344" t="str">
        <f>IF(AND(G125=Polarity!L$4,I125=Polarity!L$4,H125=Polarity!L$4),Polarity!L$4,Polarity!L$6)</f>
        <v>Fail</v>
      </c>
      <c r="L125" s="345" t="str">
        <f>IF(K125=Polarity!L$4,B125,"")</f>
        <v/>
      </c>
      <c r="M125" s="346" t="str">
        <f>IF(AND(B125=L125,F125&gt;5),Polarity!L$5,"")</f>
        <v/>
      </c>
      <c r="O125" s="49"/>
      <c r="P125" s="174" t="str">
        <f t="shared" si="2"/>
        <v/>
      </c>
      <c r="Q125" s="124"/>
      <c r="R125" s="124"/>
      <c r="S125" s="336" t="str">
        <f>IF(AND(G125=Polarity!L$6,I125=Polarity!L$6,H125=Polarity!L$6),Polarity!L$6,"")</f>
        <v/>
      </c>
    </row>
    <row r="126" spans="1:19" x14ac:dyDescent="0.2">
      <c r="A126" s="407"/>
      <c r="B126" s="6" t="s">
        <v>41</v>
      </c>
      <c r="C126" s="310">
        <v>16</v>
      </c>
      <c r="D126" s="310">
        <v>7.6</v>
      </c>
      <c r="E126" s="310">
        <v>12.5</v>
      </c>
      <c r="F126" s="310">
        <v>6.48</v>
      </c>
      <c r="G126" s="181" t="s">
        <v>235</v>
      </c>
      <c r="H126" s="97" t="s">
        <v>236</v>
      </c>
      <c r="I126" s="98" t="s">
        <v>235</v>
      </c>
      <c r="K126" s="344" t="str">
        <f>IF(AND(G126=Polarity!L$4,I126=Polarity!L$4,H126=Polarity!L$4),Polarity!L$4,Polarity!L$6)</f>
        <v>Fail</v>
      </c>
      <c r="L126" s="345" t="str">
        <f>IF(K126=Polarity!L$4,B126,"")</f>
        <v/>
      </c>
      <c r="M126" s="346" t="str">
        <f>IF(AND(B126=L126,F126&gt;5),Polarity!L$5,"")</f>
        <v/>
      </c>
      <c r="O126" s="49"/>
      <c r="P126" s="174" t="str">
        <f t="shared" si="2"/>
        <v/>
      </c>
      <c r="Q126" s="124"/>
      <c r="R126" s="124"/>
      <c r="S126" s="336" t="str">
        <f>IF(AND(G126=Polarity!L$6,I126=Polarity!L$6,H126=Polarity!L$6),Polarity!L$6,"")</f>
        <v/>
      </c>
    </row>
    <row r="127" spans="1:19" x14ac:dyDescent="0.2">
      <c r="A127" s="407"/>
      <c r="B127" s="3" t="s">
        <v>76</v>
      </c>
      <c r="C127" s="311">
        <v>17.7</v>
      </c>
      <c r="D127" s="311">
        <v>5</v>
      </c>
      <c r="E127" s="311">
        <v>6.6</v>
      </c>
      <c r="F127" s="311">
        <v>4.4800000000000004</v>
      </c>
      <c r="G127" s="98" t="s">
        <v>235</v>
      </c>
      <c r="H127" s="100" t="s">
        <v>237</v>
      </c>
      <c r="I127" s="98" t="s">
        <v>235</v>
      </c>
      <c r="K127" s="344" t="str">
        <f>IF(AND(G127=Polarity!L$4,I127=Polarity!L$4,H127=Polarity!L$4),Polarity!L$4,Polarity!L$6)</f>
        <v>Fail</v>
      </c>
      <c r="L127" s="345" t="str">
        <f>IF(K127=Polarity!L$4,B127,"")</f>
        <v/>
      </c>
      <c r="M127" s="346" t="str">
        <f>IF(AND(B127=L127,F127&gt;5),Polarity!L$5,"")</f>
        <v/>
      </c>
      <c r="O127" s="49"/>
      <c r="P127" s="174" t="str">
        <f t="shared" si="2"/>
        <v/>
      </c>
      <c r="Q127" s="124"/>
      <c r="R127" s="124"/>
      <c r="S127" s="336" t="str">
        <f>IF(AND(G127=Polarity!L$6,I127=Polarity!L$6,H127=Polarity!L$6),Polarity!L$6,"")</f>
        <v/>
      </c>
    </row>
    <row r="128" spans="1:19" x14ac:dyDescent="0.2">
      <c r="B128" s="3" t="s">
        <v>117</v>
      </c>
      <c r="C128" s="310">
        <v>15.5</v>
      </c>
      <c r="D128" s="310">
        <v>6.1</v>
      </c>
      <c r="E128" s="310">
        <v>4.9000000000000004</v>
      </c>
      <c r="F128" s="310">
        <v>6.56</v>
      </c>
      <c r="G128" s="181" t="s">
        <v>235</v>
      </c>
      <c r="H128" s="97" t="s">
        <v>236</v>
      </c>
      <c r="I128" s="97" t="s">
        <v>236</v>
      </c>
      <c r="K128" s="344" t="str">
        <f>IF(AND(G128=Polarity!L$4,I128=Polarity!L$4,H128=Polarity!L$4),Polarity!L$4,Polarity!L$6)</f>
        <v>Fail</v>
      </c>
      <c r="L128" s="345" t="str">
        <f>IF(K128=Polarity!L$4,B128,"")</f>
        <v/>
      </c>
      <c r="M128" s="346" t="str">
        <f>IF(AND(B128=L128,F128&gt;5),Polarity!L$5,"")</f>
        <v/>
      </c>
      <c r="O128" s="49"/>
      <c r="P128" s="174" t="str">
        <f t="shared" si="2"/>
        <v/>
      </c>
      <c r="Q128" s="124"/>
      <c r="R128" s="124"/>
      <c r="S128" s="336" t="str">
        <f>IF(AND(G128=Polarity!L$6,I128=Polarity!L$6,H128=Polarity!L$6),Polarity!L$6,"")</f>
        <v/>
      </c>
    </row>
    <row r="129" spans="1:19" x14ac:dyDescent="0.2">
      <c r="A129" s="407"/>
      <c r="B129" s="6" t="s">
        <v>54</v>
      </c>
      <c r="C129" s="309">
        <v>17</v>
      </c>
      <c r="D129" s="309">
        <v>11</v>
      </c>
      <c r="E129" s="309">
        <v>26</v>
      </c>
      <c r="F129" s="309">
        <v>18.489999999999998</v>
      </c>
      <c r="G129" s="97" t="s">
        <v>236</v>
      </c>
      <c r="H129" s="97" t="s">
        <v>236</v>
      </c>
      <c r="I129" s="98" t="s">
        <v>235</v>
      </c>
      <c r="K129" s="344" t="str">
        <f>IF(AND(G129=Polarity!L$4,I129=Polarity!L$4,H129=Polarity!L$4),Polarity!L$4,Polarity!L$6)</f>
        <v>Fail</v>
      </c>
      <c r="L129" s="345" t="str">
        <f>IF(K129=Polarity!L$4,B129,"")</f>
        <v/>
      </c>
      <c r="M129" s="346" t="str">
        <f>IF(AND(B129=L129,F129&gt;5),Polarity!L$5,"")</f>
        <v/>
      </c>
      <c r="O129" s="49"/>
      <c r="P129" s="174" t="str">
        <f t="shared" si="2"/>
        <v/>
      </c>
      <c r="Q129" s="124"/>
      <c r="R129" s="124"/>
      <c r="S129" s="336" t="str">
        <f>IF(AND(G129=Polarity!L$6,I129=Polarity!L$6,H129=Polarity!L$6),Polarity!L$6,"")</f>
        <v/>
      </c>
    </row>
    <row r="130" spans="1:19" x14ac:dyDescent="0.2">
      <c r="A130" s="407"/>
      <c r="B130" s="4" t="s">
        <v>152</v>
      </c>
      <c r="C130" s="309">
        <v>15.7</v>
      </c>
      <c r="D130" s="309">
        <v>4.5</v>
      </c>
      <c r="E130" s="309">
        <v>4.2</v>
      </c>
      <c r="F130" s="309">
        <v>7.51</v>
      </c>
      <c r="G130" s="97" t="s">
        <v>236</v>
      </c>
      <c r="H130" s="100" t="s">
        <v>237</v>
      </c>
      <c r="I130" s="98" t="s">
        <v>235</v>
      </c>
      <c r="K130" s="344" t="str">
        <f>IF(AND(G130=Polarity!L$4,I130=Polarity!L$4,H130=Polarity!L$4),Polarity!L$4,Polarity!L$6)</f>
        <v>Fail</v>
      </c>
      <c r="L130" s="345" t="str">
        <f>IF(K130=Polarity!L$4,B130,"")</f>
        <v/>
      </c>
      <c r="M130" s="346" t="str">
        <f>IF(AND(B130=L130,F130&gt;5),Polarity!L$5,"")</f>
        <v/>
      </c>
      <c r="O130" s="49"/>
      <c r="P130" s="174" t="str">
        <f t="shared" si="2"/>
        <v/>
      </c>
      <c r="Q130" s="124"/>
      <c r="R130" s="124"/>
      <c r="S130" s="336" t="str">
        <f>IF(AND(G130=Polarity!L$6,I130=Polarity!L$6,H130=Polarity!L$6),Polarity!L$6,"")</f>
        <v/>
      </c>
    </row>
    <row r="131" spans="1:19" x14ac:dyDescent="0.2">
      <c r="A131" s="407"/>
      <c r="B131" s="4" t="s">
        <v>153</v>
      </c>
      <c r="C131" s="309">
        <v>15.4</v>
      </c>
      <c r="D131" s="309">
        <v>5.4</v>
      </c>
      <c r="E131" s="309">
        <v>5.2</v>
      </c>
      <c r="F131" s="309">
        <v>6.96</v>
      </c>
      <c r="G131" s="97" t="s">
        <v>236</v>
      </c>
      <c r="H131" s="100" t="s">
        <v>237</v>
      </c>
      <c r="I131" s="98" t="s">
        <v>235</v>
      </c>
      <c r="K131" s="344" t="str">
        <f>IF(AND(G131=Polarity!L$4,I131=Polarity!L$4,H131=Polarity!L$4),Polarity!L$4,Polarity!L$6)</f>
        <v>Fail</v>
      </c>
      <c r="L131" s="345" t="str">
        <f>IF(K131=Polarity!L$4,B131,"")</f>
        <v/>
      </c>
      <c r="M131" s="346" t="str">
        <f>IF(AND(B131=L131,F131&gt;5),Polarity!L$5,"")</f>
        <v/>
      </c>
      <c r="O131" s="49"/>
      <c r="P131" s="174" t="str">
        <f t="shared" si="2"/>
        <v/>
      </c>
      <c r="Q131" s="124"/>
      <c r="R131" s="124"/>
      <c r="S131" s="336" t="str">
        <f>IF(AND(G131=Polarity!L$6,I131=Polarity!L$6,H131=Polarity!L$6),Polarity!L$6,"")</f>
        <v/>
      </c>
    </row>
    <row r="132" spans="1:19" x14ac:dyDescent="0.2">
      <c r="A132" s="407"/>
      <c r="B132" s="2" t="s">
        <v>77</v>
      </c>
      <c r="C132" s="309">
        <v>16.600000000000001</v>
      </c>
      <c r="D132" s="309">
        <v>8.8000000000000007</v>
      </c>
      <c r="E132" s="309">
        <v>17</v>
      </c>
      <c r="F132" s="309">
        <v>9.73</v>
      </c>
      <c r="G132" s="97" t="s">
        <v>236</v>
      </c>
      <c r="H132" s="100" t="s">
        <v>237</v>
      </c>
      <c r="I132" s="98" t="s">
        <v>235</v>
      </c>
      <c r="K132" s="344" t="str">
        <f>IF(AND(G132=Polarity!L$4,I132=Polarity!L$4,H132=Polarity!L$4),Polarity!L$4,Polarity!L$6)</f>
        <v>Fail</v>
      </c>
      <c r="L132" s="345" t="str">
        <f>IF(K132=Polarity!L$4,B132,"")</f>
        <v/>
      </c>
      <c r="M132" s="346" t="str">
        <f>IF(AND(B132=L132,F132&gt;5),Polarity!L$5,"")</f>
        <v/>
      </c>
      <c r="O132" s="49"/>
      <c r="P132" s="174" t="str">
        <f t="shared" si="2"/>
        <v/>
      </c>
      <c r="Q132" s="124"/>
      <c r="R132" s="124"/>
      <c r="S132" s="336" t="str">
        <f>IF(AND(G132=Polarity!L$6,I132=Polarity!L$6,H132=Polarity!L$6),Polarity!L$6,"")</f>
        <v/>
      </c>
    </row>
    <row r="133" spans="1:19" x14ac:dyDescent="0.2">
      <c r="A133" s="407"/>
      <c r="B133" s="2" t="s">
        <v>59</v>
      </c>
      <c r="C133" s="312">
        <v>19</v>
      </c>
      <c r="D133" s="312">
        <v>7.5</v>
      </c>
      <c r="E133" s="312">
        <v>13</v>
      </c>
      <c r="F133" s="312">
        <v>5.94</v>
      </c>
      <c r="G133" s="181" t="s">
        <v>235</v>
      </c>
      <c r="H133" s="97" t="s">
        <v>236</v>
      </c>
      <c r="I133" s="98" t="s">
        <v>235</v>
      </c>
      <c r="K133" s="344" t="str">
        <f>IF(AND(G133=Polarity!L$4,I133=Polarity!L$4,H133=Polarity!L$4),Polarity!L$4,Polarity!L$6)</f>
        <v>Fail</v>
      </c>
      <c r="L133" s="345" t="str">
        <f>IF(K133=Polarity!L$4,B133,"")</f>
        <v/>
      </c>
      <c r="M133" s="346" t="str">
        <f>IF(AND(B133=L133,F133&gt;5),Polarity!L$5,"")</f>
        <v/>
      </c>
      <c r="O133" s="49"/>
      <c r="P133" s="174" t="str">
        <f t="shared" si="2"/>
        <v/>
      </c>
      <c r="Q133" s="124"/>
      <c r="R133" s="124"/>
      <c r="S133" s="336" t="str">
        <f>IF(AND(G133=Polarity!L$6,I133=Polarity!L$6,H133=Polarity!L$6),Polarity!L$6,"")</f>
        <v/>
      </c>
    </row>
    <row r="134" spans="1:19" x14ac:dyDescent="0.2">
      <c r="B134" s="6" t="s">
        <v>67</v>
      </c>
      <c r="C134" s="309">
        <v>17.2</v>
      </c>
      <c r="D134" s="309">
        <v>26.2</v>
      </c>
      <c r="E134" s="309">
        <v>19</v>
      </c>
      <c r="F134" s="309">
        <v>20.39</v>
      </c>
      <c r="G134" s="97" t="s">
        <v>236</v>
      </c>
      <c r="H134" s="97" t="s">
        <v>236</v>
      </c>
      <c r="I134" s="100" t="s">
        <v>237</v>
      </c>
      <c r="K134" s="344" t="str">
        <f>IF(AND(G134=Polarity!L$4,I134=Polarity!L$4,H134=Polarity!L$4),Polarity!L$4,Polarity!L$6)</f>
        <v>Fail</v>
      </c>
      <c r="L134" s="345" t="str">
        <f>IF(K134=Polarity!L$4,B134,"")</f>
        <v/>
      </c>
      <c r="M134" s="346" t="str">
        <f>IF(AND(B134=L134,F134&gt;5),Polarity!L$5,"")</f>
        <v/>
      </c>
      <c r="O134" s="49"/>
      <c r="P134" s="174" t="str">
        <f t="shared" si="2"/>
        <v/>
      </c>
      <c r="Q134" s="124"/>
      <c r="R134" s="124"/>
      <c r="S134" s="336" t="str">
        <f>IF(AND(G134=Polarity!L$6,I134=Polarity!L$6,H134=Polarity!L$6),Polarity!L$6,"")</f>
        <v/>
      </c>
    </row>
    <row r="135" spans="1:19" x14ac:dyDescent="0.2">
      <c r="A135" s="407"/>
      <c r="B135" s="4" t="s">
        <v>3</v>
      </c>
      <c r="C135" s="309">
        <v>14.6</v>
      </c>
      <c r="D135" s="309">
        <v>10</v>
      </c>
      <c r="E135" s="309">
        <v>14</v>
      </c>
      <c r="F135" s="309">
        <v>9.3000000000000007</v>
      </c>
      <c r="G135" s="97" t="s">
        <v>236</v>
      </c>
      <c r="H135" s="98" t="s">
        <v>235</v>
      </c>
      <c r="I135" s="98" t="s">
        <v>235</v>
      </c>
      <c r="K135" s="344" t="str">
        <f>IF(AND(G135=Polarity!L$4,I135=Polarity!L$4,H135=Polarity!L$4),Polarity!L$4,Polarity!L$6)</f>
        <v>Fail</v>
      </c>
      <c r="L135" s="345" t="str">
        <f>IF(K135=Polarity!L$4,B135,"")</f>
        <v/>
      </c>
      <c r="M135" s="346" t="str">
        <f>IF(AND(B135=L135,F135&gt;5),Polarity!L$5,"")</f>
        <v/>
      </c>
      <c r="O135" s="49"/>
      <c r="P135" s="174" t="str">
        <f t="shared" ref="P135:P199" si="3">IF(O135="no warnings",L135,"")</f>
        <v/>
      </c>
      <c r="Q135" s="124"/>
      <c r="R135" s="124"/>
      <c r="S135" s="336" t="str">
        <f>IF(AND(G135=Polarity!L$6,I135=Polarity!L$6,H135=Polarity!L$6),Polarity!L$6,"")</f>
        <v/>
      </c>
    </row>
    <row r="136" spans="1:19" x14ac:dyDescent="0.2">
      <c r="B136" s="6" t="s">
        <v>140</v>
      </c>
      <c r="C136" s="309">
        <v>17</v>
      </c>
      <c r="D136" s="309">
        <v>1.8</v>
      </c>
      <c r="E136" s="309">
        <v>5.3</v>
      </c>
      <c r="F136" s="309">
        <v>8.1199999999999992</v>
      </c>
      <c r="G136" s="97" t="s">
        <v>236</v>
      </c>
      <c r="H136" s="100" t="s">
        <v>237</v>
      </c>
      <c r="I136" s="97" t="s">
        <v>236</v>
      </c>
      <c r="K136" s="344" t="str">
        <f>IF(AND(G136=Polarity!L$4,I136=Polarity!L$4,H136=Polarity!L$4),Polarity!L$4,Polarity!L$6)</f>
        <v>Fail</v>
      </c>
      <c r="L136" s="345" t="str">
        <f>IF(K136=Polarity!L$4,B136,"")</f>
        <v/>
      </c>
      <c r="M136" s="346" t="str">
        <f>IF(AND(B136=L136,F136&gt;5),Polarity!L$5,"")</f>
        <v/>
      </c>
      <c r="O136" s="49"/>
      <c r="P136" s="174" t="str">
        <f t="shared" si="3"/>
        <v/>
      </c>
      <c r="Q136" s="124"/>
      <c r="R136" s="124"/>
      <c r="S136" s="336" t="str">
        <f>IF(AND(G136=Polarity!L$6,I136=Polarity!L$6,H136=Polarity!L$6),Polarity!L$6,"")</f>
        <v/>
      </c>
    </row>
    <row r="137" spans="1:19" x14ac:dyDescent="0.2">
      <c r="A137" s="407"/>
      <c r="B137" s="2" t="s">
        <v>65</v>
      </c>
      <c r="C137" s="310">
        <v>18.600000000000001</v>
      </c>
      <c r="D137" s="310">
        <v>14.9</v>
      </c>
      <c r="E137" s="310">
        <v>5.0999999999999996</v>
      </c>
      <c r="F137" s="310">
        <v>6.29</v>
      </c>
      <c r="G137" s="181" t="s">
        <v>235</v>
      </c>
      <c r="H137" s="98" t="s">
        <v>235</v>
      </c>
      <c r="I137" s="98" t="s">
        <v>235</v>
      </c>
      <c r="K137" s="344" t="str">
        <f>IF(AND(G137=Polarity!L$4,I137=Polarity!L$4,H137=Polarity!L$4),Polarity!L$4,Polarity!L$6)</f>
        <v>Pass</v>
      </c>
      <c r="L137" s="345" t="str">
        <f>IF(K137=Polarity!L$4,B137,"")</f>
        <v>Furfural</v>
      </c>
      <c r="M137" s="346" t="str">
        <f>IF(AND(B137=L137,F137&gt;5),Polarity!L$5,"")</f>
        <v>Borderline (still considered a pass)</v>
      </c>
      <c r="O137" s="99" t="s">
        <v>240</v>
      </c>
      <c r="P137" s="174" t="str">
        <f t="shared" si="3"/>
        <v/>
      </c>
      <c r="Q137" s="124"/>
      <c r="R137" s="124"/>
      <c r="S137" s="336" t="str">
        <f>IF(AND(G137=Polarity!L$6,I137=Polarity!L$6,H137=Polarity!L$6),Polarity!L$6,"")</f>
        <v/>
      </c>
    </row>
    <row r="138" spans="1:19" x14ac:dyDescent="0.2">
      <c r="A138" s="407"/>
      <c r="B138" s="6" t="s">
        <v>42</v>
      </c>
      <c r="C138" s="309">
        <v>17.399999999999999</v>
      </c>
      <c r="D138" s="309">
        <v>7.6</v>
      </c>
      <c r="E138" s="309">
        <v>15.1</v>
      </c>
      <c r="F138" s="309">
        <v>7.69</v>
      </c>
      <c r="G138" s="97" t="s">
        <v>236</v>
      </c>
      <c r="H138" s="98" t="s">
        <v>235</v>
      </c>
      <c r="I138" s="98" t="s">
        <v>235</v>
      </c>
      <c r="K138" s="344" t="str">
        <f>IF(AND(G138=Polarity!L$4,I138=Polarity!L$4,H138=Polarity!L$4),Polarity!L$4,Polarity!L$6)</f>
        <v>Fail</v>
      </c>
      <c r="L138" s="345" t="str">
        <f>IF(K138=Polarity!L$4,B138,"")</f>
        <v/>
      </c>
      <c r="M138" s="346" t="str">
        <f>IF(AND(B138=L138,F138&gt;5),Polarity!L$5,"")</f>
        <v/>
      </c>
      <c r="O138" s="49"/>
      <c r="P138" s="174" t="str">
        <f t="shared" si="3"/>
        <v/>
      </c>
      <c r="Q138" s="124"/>
      <c r="R138" s="124"/>
      <c r="S138" s="336" t="str">
        <f>IF(AND(G138=Polarity!L$6,I138=Polarity!L$6,H138=Polarity!L$6),Polarity!L$6,"")</f>
        <v/>
      </c>
    </row>
    <row r="139" spans="1:19" x14ac:dyDescent="0.2">
      <c r="A139" s="407"/>
      <c r="B139" s="6" t="s">
        <v>55</v>
      </c>
      <c r="C139" s="309">
        <v>17.399999999999999</v>
      </c>
      <c r="D139" s="309">
        <v>11.3</v>
      </c>
      <c r="E139" s="309">
        <v>27.2</v>
      </c>
      <c r="F139" s="309">
        <v>19.64</v>
      </c>
      <c r="G139" s="97" t="s">
        <v>236</v>
      </c>
      <c r="H139" s="97" t="s">
        <v>236</v>
      </c>
      <c r="I139" s="98" t="s">
        <v>235</v>
      </c>
      <c r="K139" s="344" t="str">
        <f>IF(AND(G139=Polarity!L$4,I139=Polarity!L$4,H139=Polarity!L$4),Polarity!L$4,Polarity!L$6)</f>
        <v>Fail</v>
      </c>
      <c r="L139" s="345" t="str">
        <f>IF(K139=Polarity!L$4,B139,"")</f>
        <v/>
      </c>
      <c r="M139" s="346" t="str">
        <f>IF(AND(B139=L139,F139&gt;5),Polarity!L$5,"")</f>
        <v/>
      </c>
      <c r="O139" s="49"/>
      <c r="P139" s="174" t="str">
        <f t="shared" si="3"/>
        <v/>
      </c>
      <c r="Q139" s="124"/>
      <c r="R139" s="124"/>
      <c r="S139" s="336" t="str">
        <f>IF(AND(G139=Polarity!L$6,I139=Polarity!L$6,H139=Polarity!L$6),Polarity!L$6,"")</f>
        <v/>
      </c>
    </row>
    <row r="140" spans="1:19" x14ac:dyDescent="0.2">
      <c r="A140" s="407"/>
      <c r="B140" s="2" t="s">
        <v>43</v>
      </c>
      <c r="C140" s="309">
        <v>17.899999999999999</v>
      </c>
      <c r="D140" s="309">
        <v>25.5</v>
      </c>
      <c r="E140" s="309">
        <v>17.399999999999999</v>
      </c>
      <c r="F140" s="309">
        <v>18.88</v>
      </c>
      <c r="G140" s="97" t="s">
        <v>236</v>
      </c>
      <c r="H140" s="100" t="s">
        <v>237</v>
      </c>
      <c r="I140" s="98" t="s">
        <v>235</v>
      </c>
      <c r="K140" s="344" t="str">
        <f>IF(AND(G140=Polarity!L$4,I140=Polarity!L$4,H140=Polarity!L$4),Polarity!L$4,Polarity!L$6)</f>
        <v>Fail</v>
      </c>
      <c r="L140" s="345" t="str">
        <f>IF(K140=Polarity!L$4,B140,"")</f>
        <v/>
      </c>
      <c r="M140" s="346" t="str">
        <f>IF(AND(B140=L140,F140&gt;5),Polarity!L$5,"")</f>
        <v/>
      </c>
      <c r="O140" s="49"/>
      <c r="P140" s="174" t="str">
        <f t="shared" si="3"/>
        <v/>
      </c>
      <c r="Q140" s="124"/>
      <c r="R140" s="124"/>
      <c r="S140" s="336" t="str">
        <f>IF(AND(G140=Polarity!L$6,I140=Polarity!L$6,H140=Polarity!L$6),Polarity!L$6,"")</f>
        <v/>
      </c>
    </row>
    <row r="141" spans="1:19" x14ac:dyDescent="0.2">
      <c r="A141" s="407"/>
      <c r="B141" s="3" t="s">
        <v>4</v>
      </c>
      <c r="C141" s="310">
        <v>16.100000000000001</v>
      </c>
      <c r="D141" s="310">
        <v>5.2</v>
      </c>
      <c r="E141" s="310">
        <v>10.3</v>
      </c>
      <c r="F141" s="310">
        <v>6.17</v>
      </c>
      <c r="G141" s="181" t="s">
        <v>235</v>
      </c>
      <c r="H141" s="100" t="s">
        <v>237</v>
      </c>
      <c r="I141" s="98" t="s">
        <v>235</v>
      </c>
      <c r="K141" s="344" t="str">
        <f>IF(AND(G141=Polarity!L$4,I141=Polarity!L$4,H141=Polarity!L$4),Polarity!L$4,Polarity!L$6)</f>
        <v>Fail</v>
      </c>
      <c r="L141" s="345" t="str">
        <f>IF(K141=Polarity!L$4,B141,"")</f>
        <v/>
      </c>
      <c r="M141" s="346" t="str">
        <f>IF(AND(B141=L141,F141&gt;5),Polarity!L$5,"")</f>
        <v/>
      </c>
      <c r="O141" s="49"/>
      <c r="P141" s="174" t="str">
        <f t="shared" si="3"/>
        <v/>
      </c>
      <c r="Q141" s="124"/>
      <c r="R141" s="124"/>
      <c r="S141" s="336" t="str">
        <f>IF(AND(G141=Polarity!L$6,I141=Polarity!L$6,H141=Polarity!L$6),Polarity!L$6,"")</f>
        <v/>
      </c>
    </row>
    <row r="142" spans="1:19" x14ac:dyDescent="0.2">
      <c r="B142" s="2" t="s">
        <v>205</v>
      </c>
      <c r="C142" s="309">
        <v>12.6</v>
      </c>
      <c r="D142" s="309">
        <v>2</v>
      </c>
      <c r="E142" s="309">
        <v>0</v>
      </c>
      <c r="F142" s="309">
        <v>15.14</v>
      </c>
      <c r="G142" s="97" t="s">
        <v>236</v>
      </c>
      <c r="H142" s="97" t="s">
        <v>236</v>
      </c>
      <c r="I142" s="97" t="s">
        <v>236</v>
      </c>
      <c r="K142" s="344" t="str">
        <f>IF(AND(G142=Polarity!L$4,I142=Polarity!L$4,H142=Polarity!L$4),Polarity!L$4,Polarity!L$6)</f>
        <v>Fail</v>
      </c>
      <c r="L142" s="345" t="str">
        <f>IF(K142=Polarity!L$4,B142,"")</f>
        <v/>
      </c>
      <c r="M142" s="346" t="str">
        <f>IF(AND(B142=L142,F142&gt;5),Polarity!L$5,"")</f>
        <v/>
      </c>
      <c r="O142" s="49"/>
      <c r="P142" s="174" t="str">
        <f t="shared" si="3"/>
        <v/>
      </c>
      <c r="Q142" s="124"/>
      <c r="R142" s="124"/>
      <c r="S142" s="336" t="str">
        <f>IF(AND(G142=Polarity!L$6,I142=Polarity!L$6,H142=Polarity!L$6),Polarity!L$6,"")</f>
        <v>Fail</v>
      </c>
    </row>
    <row r="143" spans="1:19" x14ac:dyDescent="0.2">
      <c r="A143" s="407"/>
      <c r="B143" s="6" t="s">
        <v>118</v>
      </c>
      <c r="C143" s="309">
        <v>15.3</v>
      </c>
      <c r="D143" s="309">
        <v>3.1</v>
      </c>
      <c r="E143" s="309">
        <v>7</v>
      </c>
      <c r="F143" s="309">
        <v>8.25</v>
      </c>
      <c r="G143" s="97" t="s">
        <v>236</v>
      </c>
      <c r="H143" s="100" t="s">
        <v>237</v>
      </c>
      <c r="I143" s="98" t="s">
        <v>235</v>
      </c>
      <c r="K143" s="344" t="str">
        <f>IF(AND(G143=Polarity!L$4,I143=Polarity!L$4,H143=Polarity!L$4),Polarity!L$4,Polarity!L$6)</f>
        <v>Fail</v>
      </c>
      <c r="L143" s="345" t="str">
        <f>IF(K143=Polarity!L$4,B143,"")</f>
        <v/>
      </c>
      <c r="M143" s="346" t="str">
        <f>IF(AND(B143=L143,F143&gt;5),Polarity!L$5,"")</f>
        <v/>
      </c>
      <c r="O143" s="49"/>
      <c r="P143" s="174" t="str">
        <f t="shared" si="3"/>
        <v/>
      </c>
      <c r="Q143" s="124"/>
      <c r="R143" s="124"/>
      <c r="S143" s="336" t="str">
        <f>IF(AND(G143=Polarity!L$6,I143=Polarity!L$6,H143=Polarity!L$6),Polarity!L$6,"")</f>
        <v/>
      </c>
    </row>
    <row r="144" spans="1:19" x14ac:dyDescent="0.2">
      <c r="A144" s="407"/>
      <c r="B144" s="6" t="s">
        <v>26</v>
      </c>
      <c r="C144" s="309">
        <v>15.8</v>
      </c>
      <c r="D144" s="309">
        <v>5.2</v>
      </c>
      <c r="E144" s="309">
        <v>13.3</v>
      </c>
      <c r="F144" s="309">
        <v>8.2200000000000006</v>
      </c>
      <c r="G144" s="97" t="s">
        <v>236</v>
      </c>
      <c r="H144" s="97" t="s">
        <v>236</v>
      </c>
      <c r="I144" s="98" t="s">
        <v>235</v>
      </c>
      <c r="K144" s="344" t="str">
        <f>IF(AND(G144=Polarity!L$4,I144=Polarity!L$4,H144=Polarity!L$4),Polarity!L$4,Polarity!L$6)</f>
        <v>Fail</v>
      </c>
      <c r="L144" s="345" t="str">
        <f>IF(K144=Polarity!L$4,B144,"")</f>
        <v/>
      </c>
      <c r="M144" s="346" t="str">
        <f>IF(AND(B144=L144,F144&gt;5),Polarity!L$5,"")</f>
        <v/>
      </c>
      <c r="O144" s="49"/>
      <c r="P144" s="174" t="str">
        <f t="shared" si="3"/>
        <v/>
      </c>
      <c r="Q144" s="124"/>
      <c r="R144" s="124"/>
      <c r="S144" s="336" t="str">
        <f>IF(AND(G144=Polarity!L$6,I144=Polarity!L$6,H144=Polarity!L$6),Polarity!L$6,"")</f>
        <v/>
      </c>
    </row>
    <row r="145" spans="1:19" x14ac:dyDescent="0.2">
      <c r="A145" s="407"/>
      <c r="B145" s="3" t="s">
        <v>27</v>
      </c>
      <c r="C145" s="309">
        <v>15.1</v>
      </c>
      <c r="D145" s="309">
        <v>5.7</v>
      </c>
      <c r="E145" s="309">
        <v>15.9</v>
      </c>
      <c r="F145" s="309">
        <v>10.67</v>
      </c>
      <c r="G145" s="97" t="s">
        <v>236</v>
      </c>
      <c r="H145" s="97" t="s">
        <v>236</v>
      </c>
      <c r="I145" s="98" t="s">
        <v>235</v>
      </c>
      <c r="K145" s="344" t="str">
        <f>IF(AND(G145=Polarity!L$4,I145=Polarity!L$4,H145=Polarity!L$4),Polarity!L$4,Polarity!L$6)</f>
        <v>Fail</v>
      </c>
      <c r="L145" s="345" t="str">
        <f>IF(K145=Polarity!L$4,B145,"")</f>
        <v/>
      </c>
      <c r="M145" s="346" t="str">
        <f>IF(AND(B145=L145,F145&gt;5),Polarity!L$5,"")</f>
        <v/>
      </c>
      <c r="O145" s="49"/>
      <c r="P145" s="174" t="str">
        <f t="shared" si="3"/>
        <v/>
      </c>
      <c r="Q145" s="124"/>
      <c r="R145" s="124"/>
      <c r="S145" s="336" t="str">
        <f>IF(AND(G145=Polarity!L$6,I145=Polarity!L$6,H145=Polarity!L$6),Polarity!L$6,"")</f>
        <v/>
      </c>
    </row>
    <row r="146" spans="1:19" x14ac:dyDescent="0.2">
      <c r="B146" s="6" t="s">
        <v>119</v>
      </c>
      <c r="C146" s="309">
        <v>15.1</v>
      </c>
      <c r="D146" s="309">
        <v>3.7</v>
      </c>
      <c r="E146" s="309">
        <v>6.3</v>
      </c>
      <c r="F146" s="309">
        <v>8.18</v>
      </c>
      <c r="G146" s="97" t="s">
        <v>236</v>
      </c>
      <c r="H146" s="97" t="s">
        <v>236</v>
      </c>
      <c r="I146" s="97" t="s">
        <v>236</v>
      </c>
      <c r="K146" s="344" t="str">
        <f>IF(AND(G146=Polarity!L$4,I146=Polarity!L$4,H146=Polarity!L$4),Polarity!L$4,Polarity!L$6)</f>
        <v>Fail</v>
      </c>
      <c r="L146" s="345" t="str">
        <f>IF(K146=Polarity!L$4,B146,"")</f>
        <v/>
      </c>
      <c r="M146" s="346" t="str">
        <f>IF(AND(B146=L146,F146&gt;5),Polarity!L$5,"")</f>
        <v/>
      </c>
      <c r="O146" s="49"/>
      <c r="P146" s="174" t="str">
        <f t="shared" si="3"/>
        <v/>
      </c>
      <c r="Q146" s="124"/>
      <c r="R146" s="124"/>
      <c r="S146" s="336" t="str">
        <f>IF(AND(G146=Polarity!L$6,I146=Polarity!L$6,H146=Polarity!L$6),Polarity!L$6,"")</f>
        <v>Fail</v>
      </c>
    </row>
    <row r="147" spans="1:19" x14ac:dyDescent="0.2">
      <c r="A147" s="407"/>
      <c r="B147" s="3" t="s">
        <v>60</v>
      </c>
      <c r="C147" s="311">
        <v>18.899999999999999</v>
      </c>
      <c r="D147" s="311">
        <v>5.7</v>
      </c>
      <c r="E147" s="311">
        <v>9.9</v>
      </c>
      <c r="F147" s="311">
        <v>4.59</v>
      </c>
      <c r="G147" s="98" t="s">
        <v>235</v>
      </c>
      <c r="H147" s="97" t="s">
        <v>236</v>
      </c>
      <c r="I147" s="98" t="s">
        <v>235</v>
      </c>
      <c r="K147" s="344" t="str">
        <f>IF(AND(G147=Polarity!L$4,I147=Polarity!L$4,H147=Polarity!L$4),Polarity!L$4,Polarity!L$6)</f>
        <v>Fail</v>
      </c>
      <c r="L147" s="345" t="str">
        <f>IF(K147=Polarity!L$4,B147,"")</f>
        <v/>
      </c>
      <c r="M147" s="346" t="str">
        <f>IF(AND(B147=L147,F147&gt;5),Polarity!L$5,"")</f>
        <v/>
      </c>
      <c r="O147" s="49"/>
      <c r="P147" s="174" t="str">
        <f t="shared" si="3"/>
        <v/>
      </c>
      <c r="Q147" s="124"/>
      <c r="R147" s="124"/>
      <c r="S147" s="336" t="str">
        <f>IF(AND(G147=Polarity!L$6,I147=Polarity!L$6,H147=Polarity!L$6),Polarity!L$6,"")</f>
        <v/>
      </c>
    </row>
    <row r="148" spans="1:19" x14ac:dyDescent="0.2">
      <c r="B148" s="3" t="s">
        <v>163</v>
      </c>
      <c r="C148" s="309">
        <v>14.1</v>
      </c>
      <c r="D148" s="309">
        <v>0</v>
      </c>
      <c r="E148" s="309">
        <v>0</v>
      </c>
      <c r="F148" s="309">
        <v>14.37</v>
      </c>
      <c r="G148" s="97" t="s">
        <v>236</v>
      </c>
      <c r="H148" s="97" t="s">
        <v>236</v>
      </c>
      <c r="I148" s="97" t="s">
        <v>236</v>
      </c>
      <c r="K148" s="344" t="str">
        <f>IF(AND(G148=Polarity!L$4,I148=Polarity!L$4,H148=Polarity!L$4),Polarity!L$4,Polarity!L$6)</f>
        <v>Fail</v>
      </c>
      <c r="L148" s="345" t="str">
        <f>IF(K148=Polarity!L$4,B148,"")</f>
        <v/>
      </c>
      <c r="M148" s="346" t="str">
        <f>IF(AND(B148=L148,F148&gt;5),Polarity!L$5,"")</f>
        <v/>
      </c>
      <c r="O148" s="49"/>
      <c r="P148" s="174" t="str">
        <f t="shared" si="3"/>
        <v/>
      </c>
      <c r="Q148" s="124"/>
      <c r="R148" s="124"/>
      <c r="S148" s="336" t="str">
        <f>IF(AND(G148=Polarity!L$6,I148=Polarity!L$6,H148=Polarity!L$6),Polarity!L$6,"")</f>
        <v>Fail</v>
      </c>
    </row>
    <row r="149" spans="1:19" x14ac:dyDescent="0.2">
      <c r="A149" s="407"/>
      <c r="B149" s="6" t="s">
        <v>120</v>
      </c>
      <c r="C149" s="309">
        <v>14.9</v>
      </c>
      <c r="D149" s="309">
        <v>4.5</v>
      </c>
      <c r="E149" s="309">
        <v>8.1999999999999993</v>
      </c>
      <c r="F149" s="309">
        <v>7.86</v>
      </c>
      <c r="G149" s="97" t="s">
        <v>236</v>
      </c>
      <c r="H149" s="97" t="s">
        <v>236</v>
      </c>
      <c r="I149" s="97" t="s">
        <v>236</v>
      </c>
      <c r="K149" s="344" t="str">
        <f>IF(AND(G149=Polarity!L$4,I149=Polarity!L$4,H149=Polarity!L$4),Polarity!L$4,Polarity!L$6)</f>
        <v>Fail</v>
      </c>
      <c r="L149" s="345" t="str">
        <f>IF(K149=Polarity!L$4,B149,"")</f>
        <v/>
      </c>
      <c r="M149" s="346" t="str">
        <f>IF(AND(B149=L149,F149&gt;5),Polarity!L$5,"")</f>
        <v/>
      </c>
      <c r="O149" s="49"/>
      <c r="P149" s="174" t="str">
        <f t="shared" si="3"/>
        <v/>
      </c>
      <c r="Q149" s="124"/>
      <c r="R149" s="124"/>
      <c r="S149" s="336" t="str">
        <f>IF(AND(G149=Polarity!L$6,I149=Polarity!L$6,H149=Polarity!L$6),Polarity!L$6,"")</f>
        <v>Fail</v>
      </c>
    </row>
    <row r="150" spans="1:19" x14ac:dyDescent="0.2">
      <c r="A150" s="407"/>
      <c r="B150" s="5" t="s">
        <v>5</v>
      </c>
      <c r="C150" s="310">
        <v>16.2</v>
      </c>
      <c r="D150" s="310">
        <v>4.0999999999999996</v>
      </c>
      <c r="E150" s="310">
        <v>7.4</v>
      </c>
      <c r="F150" s="310">
        <v>6.33</v>
      </c>
      <c r="G150" s="181" t="s">
        <v>235</v>
      </c>
      <c r="H150" s="97" t="s">
        <v>236</v>
      </c>
      <c r="I150" s="98" t="s">
        <v>235</v>
      </c>
      <c r="K150" s="344" t="str">
        <f>IF(AND(G150=Polarity!L$4,I150=Polarity!L$4,H150=Polarity!L$4),Polarity!L$4,Polarity!L$6)</f>
        <v>Fail</v>
      </c>
      <c r="L150" s="345" t="str">
        <f>IF(K150=Polarity!L$4,B150,"")</f>
        <v/>
      </c>
      <c r="M150" s="346" t="str">
        <f>IF(AND(B150=L150,F150&gt;5),Polarity!L$5,"")</f>
        <v/>
      </c>
      <c r="O150" s="49"/>
      <c r="P150" s="174" t="str">
        <f t="shared" si="3"/>
        <v/>
      </c>
      <c r="Q150" s="124"/>
      <c r="R150" s="124"/>
      <c r="S150" s="336" t="str">
        <f>IF(AND(G150=Polarity!L$6,I150=Polarity!L$6,H150=Polarity!L$6),Polarity!L$6,"")</f>
        <v/>
      </c>
    </row>
    <row r="151" spans="1:19" x14ac:dyDescent="0.2">
      <c r="A151" s="407"/>
      <c r="B151" s="5" t="s">
        <v>577</v>
      </c>
      <c r="C151" s="429">
        <v>17.100000000000001</v>
      </c>
      <c r="D151" s="429">
        <v>10.4</v>
      </c>
      <c r="E151" s="429">
        <v>13.5</v>
      </c>
      <c r="F151" s="429">
        <v>6.17</v>
      </c>
      <c r="G151" s="430" t="s">
        <v>235</v>
      </c>
      <c r="H151" s="98" t="s">
        <v>235</v>
      </c>
      <c r="I151" s="100" t="s">
        <v>237</v>
      </c>
      <c r="K151" s="344" t="str">
        <f>IF(AND(G151=Polarity!L$4,I151=Polarity!L$4,H151=Polarity!L$4),Polarity!L$4,Polarity!L$6)</f>
        <v>Fail</v>
      </c>
      <c r="L151" s="345" t="str">
        <f>IF(K151=Polarity!L$4,B151,"")</f>
        <v/>
      </c>
      <c r="M151" s="346" t="str">
        <f>IF(AND(B151=L151,F151&gt;5),Polarity!L$5,"")</f>
        <v/>
      </c>
      <c r="O151" s="49"/>
      <c r="P151" s="174" t="str">
        <f t="shared" si="3"/>
        <v/>
      </c>
      <c r="Q151" s="124"/>
      <c r="R151" s="124"/>
    </row>
    <row r="152" spans="1:19" x14ac:dyDescent="0.2">
      <c r="A152" s="407"/>
      <c r="B152" s="6" t="s">
        <v>61</v>
      </c>
      <c r="C152" s="309">
        <v>18.5</v>
      </c>
      <c r="D152" s="309">
        <v>6.5</v>
      </c>
      <c r="E152" s="309">
        <v>13.7</v>
      </c>
      <c r="F152" s="309">
        <v>6.7</v>
      </c>
      <c r="G152" s="97" t="s">
        <v>236</v>
      </c>
      <c r="H152" s="100" t="s">
        <v>237</v>
      </c>
      <c r="I152" s="98" t="s">
        <v>235</v>
      </c>
      <c r="K152" s="344" t="str">
        <f>IF(AND(G152=Polarity!L$4,I152=Polarity!L$4,H152=Polarity!L$4),Polarity!L$4,Polarity!L$6)</f>
        <v>Fail</v>
      </c>
      <c r="L152" s="345" t="str">
        <f>IF(K152=Polarity!L$4,B152,"")</f>
        <v/>
      </c>
      <c r="M152" s="346" t="str">
        <f>IF(AND(B152=L152,F152&gt;5),Polarity!L$5,"")</f>
        <v/>
      </c>
      <c r="O152" s="49"/>
      <c r="P152" s="174" t="str">
        <f t="shared" si="3"/>
        <v/>
      </c>
      <c r="Q152" s="124"/>
      <c r="R152" s="124"/>
      <c r="S152" s="336" t="str">
        <f>IF(AND(G152=Polarity!L$6,I152=Polarity!L$6,H152=Polarity!L$6),Polarity!L$6,"")</f>
        <v/>
      </c>
    </row>
    <row r="153" spans="1:19" x14ac:dyDescent="0.2">
      <c r="A153" s="407"/>
      <c r="B153" s="2" t="s">
        <v>106</v>
      </c>
      <c r="C153" s="309">
        <v>19.2</v>
      </c>
      <c r="D153" s="309">
        <v>5.0999999999999996</v>
      </c>
      <c r="E153" s="309">
        <v>2.7</v>
      </c>
      <c r="F153" s="309">
        <v>6.96</v>
      </c>
      <c r="G153" s="97" t="s">
        <v>236</v>
      </c>
      <c r="H153" s="98" t="s">
        <v>235</v>
      </c>
      <c r="I153" s="98" t="s">
        <v>235</v>
      </c>
      <c r="K153" s="344" t="str">
        <f>IF(AND(G153=Polarity!L$4,I153=Polarity!L$4,H153=Polarity!L$4),Polarity!L$4,Polarity!L$6)</f>
        <v>Fail</v>
      </c>
      <c r="L153" s="345" t="str">
        <f>IF(K153=Polarity!L$4,B153,"")</f>
        <v/>
      </c>
      <c r="M153" s="346" t="str">
        <f>IF(AND(B153=L153,F153&gt;5),Polarity!L$5,"")</f>
        <v/>
      </c>
      <c r="O153" s="49"/>
      <c r="P153" s="174" t="str">
        <f t="shared" si="3"/>
        <v/>
      </c>
      <c r="Q153" s="124"/>
      <c r="R153" s="124"/>
      <c r="S153" s="336" t="str">
        <f>IF(AND(G153=Polarity!L$6,I153=Polarity!L$6,H153=Polarity!L$6),Polarity!L$6,"")</f>
        <v/>
      </c>
    </row>
    <row r="154" spans="1:19" x14ac:dyDescent="0.2">
      <c r="B154" s="6" t="s">
        <v>164</v>
      </c>
      <c r="C154" s="309">
        <v>18</v>
      </c>
      <c r="D154" s="309">
        <v>0.6</v>
      </c>
      <c r="E154" s="309">
        <v>0.6</v>
      </c>
      <c r="F154" s="309">
        <v>11.23</v>
      </c>
      <c r="G154" s="97" t="s">
        <v>236</v>
      </c>
      <c r="H154" s="97" t="s">
        <v>236</v>
      </c>
      <c r="I154" s="100" t="s">
        <v>237</v>
      </c>
      <c r="K154" s="344" t="str">
        <f>IF(AND(G154=Polarity!L$4,I154=Polarity!L$4,H154=Polarity!L$4),Polarity!L$4,Polarity!L$6)</f>
        <v>Fail</v>
      </c>
      <c r="L154" s="345" t="str">
        <f>IF(K154=Polarity!L$4,B154,"")</f>
        <v/>
      </c>
      <c r="M154" s="346" t="str">
        <f>IF(AND(B154=L154,F154&gt;5),Polarity!L$5,"")</f>
        <v/>
      </c>
      <c r="O154" s="49"/>
      <c r="P154" s="174" t="str">
        <f t="shared" si="3"/>
        <v/>
      </c>
      <c r="Q154" s="124"/>
      <c r="R154" s="124"/>
      <c r="S154" s="336" t="str">
        <f>IF(AND(G154=Polarity!L$6,I154=Polarity!L$6,H154=Polarity!L$6),Polarity!L$6,"")</f>
        <v/>
      </c>
    </row>
    <row r="155" spans="1:19" x14ac:dyDescent="0.2">
      <c r="B155" s="6" t="s">
        <v>28</v>
      </c>
      <c r="C155" s="309">
        <v>14.7</v>
      </c>
      <c r="D155" s="309">
        <v>12.3</v>
      </c>
      <c r="E155" s="309">
        <v>22.3</v>
      </c>
      <c r="F155" s="309">
        <v>16.3</v>
      </c>
      <c r="G155" s="97" t="s">
        <v>236</v>
      </c>
      <c r="H155" s="97" t="s">
        <v>236</v>
      </c>
      <c r="I155" s="97" t="s">
        <v>236</v>
      </c>
      <c r="K155" s="344" t="str">
        <f>IF(AND(G155=Polarity!L$4,I155=Polarity!L$4,H155=Polarity!L$4),Polarity!L$4,Polarity!L$6)</f>
        <v>Fail</v>
      </c>
      <c r="L155" s="345" t="str">
        <f>IF(K155=Polarity!L$4,B155,"")</f>
        <v/>
      </c>
      <c r="M155" s="346" t="str">
        <f>IF(AND(B155=L155,F155&gt;5),Polarity!L$5,"")</f>
        <v/>
      </c>
      <c r="O155" s="49"/>
      <c r="P155" s="174" t="str">
        <f t="shared" si="3"/>
        <v/>
      </c>
      <c r="Q155" s="124"/>
      <c r="R155" s="124"/>
      <c r="S155" s="336" t="str">
        <f>IF(AND(G155=Polarity!L$6,I155=Polarity!L$6,H155=Polarity!L$6),Polarity!L$6,"")</f>
        <v>Fail</v>
      </c>
    </row>
    <row r="156" spans="1:19" x14ac:dyDescent="0.2">
      <c r="B156" s="2" t="s">
        <v>121</v>
      </c>
      <c r="C156" s="312">
        <v>15.5</v>
      </c>
      <c r="D156" s="312">
        <v>7.2</v>
      </c>
      <c r="E156" s="312">
        <v>7.6</v>
      </c>
      <c r="F156" s="312">
        <v>5.42</v>
      </c>
      <c r="G156" s="181" t="s">
        <v>235</v>
      </c>
      <c r="H156" s="97" t="s">
        <v>236</v>
      </c>
      <c r="I156" s="97" t="s">
        <v>236</v>
      </c>
      <c r="K156" s="344" t="str">
        <f>IF(AND(G156=Polarity!L$4,I156=Polarity!L$4,H156=Polarity!L$4),Polarity!L$4,Polarity!L$6)</f>
        <v>Fail</v>
      </c>
      <c r="L156" s="345" t="str">
        <f>IF(K156=Polarity!L$4,B156,"")</f>
        <v/>
      </c>
      <c r="M156" s="346" t="str">
        <f>IF(AND(B156=L156,F156&gt;5),Polarity!L$5,"")</f>
        <v/>
      </c>
      <c r="O156" s="49"/>
      <c r="P156" s="174" t="str">
        <f t="shared" si="3"/>
        <v/>
      </c>
      <c r="Q156" s="124"/>
      <c r="R156" s="124"/>
      <c r="S156" s="336" t="str">
        <f>IF(AND(G156=Polarity!L$6,I156=Polarity!L$6,H156=Polarity!L$6),Polarity!L$6,"")</f>
        <v/>
      </c>
    </row>
    <row r="157" spans="1:19" x14ac:dyDescent="0.2">
      <c r="B157" s="4" t="s">
        <v>122</v>
      </c>
      <c r="C157" s="310">
        <v>15.8</v>
      </c>
      <c r="D157" s="310">
        <v>4.9000000000000004</v>
      </c>
      <c r="E157" s="310">
        <v>6.2</v>
      </c>
      <c r="F157" s="310">
        <v>6.4007812023221033</v>
      </c>
      <c r="G157" s="181" t="s">
        <v>235</v>
      </c>
      <c r="H157" s="97" t="s">
        <v>236</v>
      </c>
      <c r="I157" s="97" t="s">
        <v>236</v>
      </c>
      <c r="K157" s="344" t="str">
        <f>IF(AND(G157=Polarity!L$4,I157=Polarity!L$4,H157=Polarity!L$4),Polarity!L$4,Polarity!L$6)</f>
        <v>Fail</v>
      </c>
      <c r="L157" s="345" t="str">
        <f>IF(K157=Polarity!L$4,B157,"")</f>
        <v/>
      </c>
      <c r="M157" s="346" t="str">
        <f>IF(AND(B157=L157,F157&gt;5),Polarity!L$5,"")</f>
        <v/>
      </c>
      <c r="O157" s="49"/>
      <c r="P157" s="174" t="str">
        <f t="shared" si="3"/>
        <v/>
      </c>
      <c r="Q157" s="124"/>
      <c r="R157" s="124"/>
      <c r="S157" s="336" t="str">
        <f>IF(AND(G157=Polarity!L$6,I157=Polarity!L$6,H157=Polarity!L$6),Polarity!L$6,"")</f>
        <v/>
      </c>
    </row>
    <row r="158" spans="1:19" x14ac:dyDescent="0.2">
      <c r="B158" s="6" t="s">
        <v>191</v>
      </c>
      <c r="C158" s="311">
        <v>16</v>
      </c>
      <c r="D158" s="311">
        <v>9</v>
      </c>
      <c r="E158" s="311">
        <v>5.0999999999999996</v>
      </c>
      <c r="F158" s="311">
        <v>4.78</v>
      </c>
      <c r="G158" s="98" t="s">
        <v>235</v>
      </c>
      <c r="H158" s="97" t="s">
        <v>236</v>
      </c>
      <c r="I158" s="97" t="s">
        <v>236</v>
      </c>
      <c r="K158" s="344" t="str">
        <f>IF(AND(G158=Polarity!L$4,I158=Polarity!L$4,H158=Polarity!L$4),Polarity!L$4,Polarity!L$6)</f>
        <v>Fail</v>
      </c>
      <c r="L158" s="345" t="str">
        <f>IF(K158=Polarity!L$4,B158,"")</f>
        <v/>
      </c>
      <c r="M158" s="346" t="str">
        <f>IF(AND(B158=L158,F158&gt;5),Polarity!L$5,"")</f>
        <v/>
      </c>
      <c r="O158" s="49"/>
      <c r="P158" s="174" t="str">
        <f t="shared" si="3"/>
        <v/>
      </c>
      <c r="Q158" s="124"/>
      <c r="R158" s="124"/>
      <c r="S158" s="336" t="str">
        <f>IF(AND(G158=Polarity!L$6,I158=Polarity!L$6,H158=Polarity!L$6),Polarity!L$6,"")</f>
        <v/>
      </c>
    </row>
    <row r="159" spans="1:19" x14ac:dyDescent="0.2">
      <c r="B159" s="6" t="s">
        <v>123</v>
      </c>
      <c r="C159" s="312">
        <v>15.3</v>
      </c>
      <c r="D159" s="312">
        <v>8.4</v>
      </c>
      <c r="E159" s="312">
        <v>10.199999999999999</v>
      </c>
      <c r="F159" s="312">
        <v>6.02</v>
      </c>
      <c r="G159" s="181" t="s">
        <v>235</v>
      </c>
      <c r="H159" s="97" t="s">
        <v>236</v>
      </c>
      <c r="I159" s="97" t="s">
        <v>236</v>
      </c>
      <c r="K159" s="344" t="str">
        <f>IF(AND(G159=Polarity!L$4,I159=Polarity!L$4,H159=Polarity!L$4),Polarity!L$4,Polarity!L$6)</f>
        <v>Fail</v>
      </c>
      <c r="L159" s="345" t="str">
        <f>IF(K159=Polarity!L$4,B159,"")</f>
        <v/>
      </c>
      <c r="M159" s="346" t="str">
        <f>IF(AND(B159=L159,F159&gt;5),Polarity!L$5,"")</f>
        <v/>
      </c>
      <c r="O159" s="49"/>
      <c r="P159" s="174" t="str">
        <f t="shared" si="3"/>
        <v/>
      </c>
      <c r="Q159" s="124"/>
      <c r="R159" s="124"/>
      <c r="S159" s="336" t="str">
        <f>IF(AND(G159=Polarity!L$6,I159=Polarity!L$6,H159=Polarity!L$6),Polarity!L$6,"")</f>
        <v/>
      </c>
    </row>
    <row r="160" spans="1:19" x14ac:dyDescent="0.2">
      <c r="A160" s="407"/>
      <c r="B160" s="4" t="s">
        <v>44</v>
      </c>
      <c r="C160" s="309">
        <v>16.899999999999999</v>
      </c>
      <c r="D160" s="309">
        <v>8.3000000000000007</v>
      </c>
      <c r="E160" s="309">
        <v>16.100000000000001</v>
      </c>
      <c r="F160" s="309">
        <v>8.74</v>
      </c>
      <c r="G160" s="97" t="s">
        <v>236</v>
      </c>
      <c r="H160" s="98" t="s">
        <v>235</v>
      </c>
      <c r="I160" s="98" t="s">
        <v>235</v>
      </c>
      <c r="K160" s="344" t="str">
        <f>IF(AND(G160=Polarity!L$4,I160=Polarity!L$4,H160=Polarity!L$4),Polarity!L$4,Polarity!L$6)</f>
        <v>Fail</v>
      </c>
      <c r="L160" s="345" t="str">
        <f>IF(K160=Polarity!L$4,B160,"")</f>
        <v/>
      </c>
      <c r="M160" s="346" t="str">
        <f>IF(AND(B160=L160,F160&gt;5),Polarity!L$5,"")</f>
        <v/>
      </c>
      <c r="O160" s="49"/>
      <c r="P160" s="174" t="str">
        <f t="shared" si="3"/>
        <v/>
      </c>
      <c r="Q160" s="124"/>
      <c r="R160" s="124"/>
      <c r="S160" s="336" t="str">
        <f>IF(AND(G160=Polarity!L$6,I160=Polarity!L$6,H160=Polarity!L$6),Polarity!L$6,"")</f>
        <v/>
      </c>
    </row>
    <row r="161" spans="1:19" x14ac:dyDescent="0.2">
      <c r="A161" s="407"/>
      <c r="B161" s="2" t="s">
        <v>124</v>
      </c>
      <c r="C161" s="309">
        <v>16.2</v>
      </c>
      <c r="D161" s="309">
        <v>3.8</v>
      </c>
      <c r="E161" s="309">
        <v>4.5</v>
      </c>
      <c r="F161" s="309">
        <v>7.31</v>
      </c>
      <c r="G161" s="97" t="s">
        <v>236</v>
      </c>
      <c r="H161" s="97" t="s">
        <v>236</v>
      </c>
      <c r="I161" s="98" t="s">
        <v>235</v>
      </c>
      <c r="K161" s="344" t="str">
        <f>IF(AND(G161=Polarity!L$4,I161=Polarity!L$4,H161=Polarity!L$4),Polarity!L$4,Polarity!L$6)</f>
        <v>Fail</v>
      </c>
      <c r="L161" s="345" t="str">
        <f>IF(K161=Polarity!L$4,B161,"")</f>
        <v/>
      </c>
      <c r="M161" s="346" t="str">
        <f>IF(AND(B161=L161,F161&gt;5),Polarity!L$5,"")</f>
        <v/>
      </c>
      <c r="O161" s="49"/>
      <c r="P161" s="174" t="str">
        <f t="shared" si="3"/>
        <v/>
      </c>
      <c r="Q161" s="124"/>
      <c r="R161" s="124"/>
      <c r="S161" s="336" t="str">
        <f>IF(AND(G161=Polarity!L$6,I161=Polarity!L$6,H161=Polarity!L$6),Polarity!L$6,"")</f>
        <v/>
      </c>
    </row>
    <row r="162" spans="1:19" x14ac:dyDescent="0.2">
      <c r="B162" s="2" t="s">
        <v>165</v>
      </c>
      <c r="C162" s="309">
        <v>16</v>
      </c>
      <c r="D162" s="309">
        <v>0</v>
      </c>
      <c r="E162" s="309">
        <v>1</v>
      </c>
      <c r="F162" s="309">
        <v>12.1</v>
      </c>
      <c r="G162" s="97" t="s">
        <v>236</v>
      </c>
      <c r="H162" s="97" t="s">
        <v>236</v>
      </c>
      <c r="I162" s="100" t="s">
        <v>237</v>
      </c>
      <c r="K162" s="344" t="str">
        <f>IF(AND(G162=Polarity!L$4,I162=Polarity!L$4,H162=Polarity!L$4),Polarity!L$4,Polarity!L$6)</f>
        <v>Fail</v>
      </c>
      <c r="L162" s="345" t="str">
        <f>IF(K162=Polarity!L$4,B162,"")</f>
        <v/>
      </c>
      <c r="M162" s="346" t="str">
        <f>IF(AND(B162=L162,F162&gt;5),Polarity!L$5,"")</f>
        <v/>
      </c>
      <c r="O162" s="49"/>
      <c r="P162" s="174" t="str">
        <f t="shared" si="3"/>
        <v/>
      </c>
      <c r="Q162" s="124"/>
      <c r="R162" s="124"/>
      <c r="S162" s="336" t="str">
        <f>IF(AND(G162=Polarity!L$6,I162=Polarity!L$6,H162=Polarity!L$6),Polarity!L$6,"")</f>
        <v/>
      </c>
    </row>
    <row r="163" spans="1:19" x14ac:dyDescent="0.2">
      <c r="A163" s="407"/>
      <c r="B163" s="6" t="s">
        <v>78</v>
      </c>
      <c r="C163" s="312">
        <v>18</v>
      </c>
      <c r="D163" s="312">
        <v>4.9000000000000004</v>
      </c>
      <c r="E163" s="312">
        <v>11</v>
      </c>
      <c r="F163" s="312">
        <v>5.5</v>
      </c>
      <c r="G163" s="181" t="s">
        <v>235</v>
      </c>
      <c r="H163" s="98" t="s">
        <v>235</v>
      </c>
      <c r="I163" s="98" t="s">
        <v>235</v>
      </c>
      <c r="K163" s="344" t="str">
        <f>IF(AND(G163=Polarity!L$4,I163=Polarity!L$4,H163=Polarity!L$4),Polarity!L$4,Polarity!L$6)</f>
        <v>Pass</v>
      </c>
      <c r="L163" s="345" t="str">
        <f>IF(K163=Polarity!L$4,B163,"")</f>
        <v>Morpholine</v>
      </c>
      <c r="M163" s="346" t="str">
        <f>IF(AND(B163=L163,F163&gt;5),Polarity!L$5,"")</f>
        <v>Borderline (still considered a pass)</v>
      </c>
      <c r="O163" s="101" t="s">
        <v>239</v>
      </c>
      <c r="P163" s="174" t="str">
        <f t="shared" si="3"/>
        <v/>
      </c>
      <c r="Q163" s="124"/>
      <c r="R163" s="124"/>
      <c r="S163" s="336" t="str">
        <f>IF(AND(G163=Polarity!L$6,I163=Polarity!L$6,H163=Polarity!L$6),Polarity!L$6,"")</f>
        <v/>
      </c>
    </row>
    <row r="164" spans="1:19" x14ac:dyDescent="0.2">
      <c r="B164" s="2" t="s">
        <v>166</v>
      </c>
      <c r="C164" s="309">
        <v>17.8</v>
      </c>
      <c r="D164" s="309">
        <v>2.6</v>
      </c>
      <c r="E164" s="309">
        <v>2.8</v>
      </c>
      <c r="F164" s="309">
        <v>8.31</v>
      </c>
      <c r="G164" s="97" t="s">
        <v>236</v>
      </c>
      <c r="H164" s="97" t="s">
        <v>236</v>
      </c>
      <c r="I164" s="97" t="s">
        <v>236</v>
      </c>
      <c r="K164" s="344" t="str">
        <f>IF(AND(G164=Polarity!L$4,I164=Polarity!L$4,H164=Polarity!L$4),Polarity!L$4,Polarity!L$6)</f>
        <v>Fail</v>
      </c>
      <c r="L164" s="345" t="str">
        <f>IF(K164=Polarity!L$4,B164,"")</f>
        <v/>
      </c>
      <c r="M164" s="346" t="str">
        <f>IF(AND(B164=L164,F164&gt;5),Polarity!L$5,"")</f>
        <v/>
      </c>
      <c r="O164" s="49"/>
      <c r="P164" s="174" t="str">
        <f t="shared" si="3"/>
        <v/>
      </c>
      <c r="Q164" s="124"/>
      <c r="R164" s="124"/>
      <c r="S164" s="336" t="str">
        <f>IF(AND(G164=Polarity!L$6,I164=Polarity!L$6,H164=Polarity!L$6),Polarity!L$6,"")</f>
        <v>Fail</v>
      </c>
    </row>
    <row r="165" spans="1:19" x14ac:dyDescent="0.2">
      <c r="A165" s="407"/>
      <c r="B165" s="6" t="s">
        <v>68</v>
      </c>
      <c r="C165" s="311">
        <v>16.8</v>
      </c>
      <c r="D165" s="311">
        <v>11.5</v>
      </c>
      <c r="E165" s="311">
        <v>9.4</v>
      </c>
      <c r="F165" s="311">
        <v>3.67</v>
      </c>
      <c r="G165" s="98" t="s">
        <v>235</v>
      </c>
      <c r="H165" s="98" t="s">
        <v>235</v>
      </c>
      <c r="I165" s="98" t="s">
        <v>235</v>
      </c>
      <c r="K165" s="344" t="str">
        <f>IF(AND(G165=Polarity!L$4,I165=Polarity!L$4,H165=Polarity!L$4),Polarity!L$4,Polarity!L$6)</f>
        <v>Pass</v>
      </c>
      <c r="L165" s="345" t="str">
        <f>IF(K165=Polarity!L$4,B165,"")</f>
        <v>N,N-Dimethyl acetamide</v>
      </c>
      <c r="M165" s="421" t="s">
        <v>558</v>
      </c>
      <c r="O165" s="99" t="s">
        <v>238</v>
      </c>
      <c r="P165" s="174" t="str">
        <f t="shared" si="3"/>
        <v/>
      </c>
      <c r="Q165" s="124"/>
      <c r="R165" s="124"/>
      <c r="S165" s="336" t="str">
        <f>IF(AND(G165=Polarity!L$6,I165=Polarity!L$6,H165=Polarity!L$6),Polarity!L$6,"")</f>
        <v/>
      </c>
    </row>
    <row r="166" spans="1:19" x14ac:dyDescent="0.2">
      <c r="A166" s="407"/>
      <c r="B166" s="6" t="s">
        <v>79</v>
      </c>
      <c r="C166" s="309">
        <v>18.3</v>
      </c>
      <c r="D166" s="309">
        <v>3.2</v>
      </c>
      <c r="E166" s="309">
        <v>5.5</v>
      </c>
      <c r="F166" s="309">
        <v>6.51</v>
      </c>
      <c r="G166" s="97" t="s">
        <v>236</v>
      </c>
      <c r="H166" s="98" t="s">
        <v>235</v>
      </c>
      <c r="I166" s="98" t="s">
        <v>235</v>
      </c>
      <c r="K166" s="344" t="str">
        <f>IF(AND(G166=Polarity!L$4,I166=Polarity!L$4,H166=Polarity!L$4),Polarity!L$4,Polarity!L$6)</f>
        <v>Fail</v>
      </c>
      <c r="L166" s="345" t="str">
        <f>IF(K166=Polarity!L$4,B166,"")</f>
        <v/>
      </c>
      <c r="M166" s="346" t="str">
        <f>IF(AND(B166=L166,F166&gt;5),Polarity!L$5,"")</f>
        <v/>
      </c>
      <c r="O166" s="49"/>
      <c r="P166" s="174" t="str">
        <f t="shared" si="3"/>
        <v/>
      </c>
      <c r="Q166" s="124"/>
      <c r="R166" s="124"/>
      <c r="S166" s="336" t="str">
        <f>IF(AND(G166=Polarity!L$6,I166=Polarity!L$6,H166=Polarity!L$6),Polarity!L$6,"")</f>
        <v/>
      </c>
    </row>
    <row r="167" spans="1:19" x14ac:dyDescent="0.2">
      <c r="A167" s="407"/>
      <c r="B167" s="2" t="s">
        <v>69</v>
      </c>
      <c r="C167" s="312">
        <v>17.399999999999999</v>
      </c>
      <c r="D167" s="312">
        <v>13.7</v>
      </c>
      <c r="E167" s="312">
        <v>11.3</v>
      </c>
      <c r="F167" s="312">
        <v>5.81</v>
      </c>
      <c r="G167" s="181" t="s">
        <v>235</v>
      </c>
      <c r="H167" s="98" t="s">
        <v>235</v>
      </c>
      <c r="I167" s="98" t="s">
        <v>235</v>
      </c>
      <c r="K167" s="344" t="str">
        <f>IF(AND(G167=Polarity!L$4,I167=Polarity!L$4,H167=Polarity!L$4),Polarity!L$4,Polarity!L$6)</f>
        <v>Pass</v>
      </c>
      <c r="L167" s="345" t="str">
        <f>IF(K167=Polarity!L$4,B167,"")</f>
        <v>N,N-Dimethyl formamide</v>
      </c>
      <c r="M167" s="346" t="str">
        <f>IF(AND(B167=L167,F167&gt;5),Polarity!L$5,"")</f>
        <v>Borderline (still considered a pass)</v>
      </c>
      <c r="O167" s="99" t="s">
        <v>238</v>
      </c>
      <c r="P167" s="174" t="str">
        <f t="shared" si="3"/>
        <v/>
      </c>
      <c r="Q167" s="124"/>
      <c r="R167" s="124"/>
      <c r="S167" s="336" t="str">
        <f>IF(AND(G167=Polarity!L$6,I167=Polarity!L$6,H167=Polarity!L$6),Polarity!L$6,"")</f>
        <v/>
      </c>
    </row>
    <row r="168" spans="1:19" x14ac:dyDescent="0.2">
      <c r="A168" s="407"/>
      <c r="B168" s="2" t="s">
        <v>70</v>
      </c>
      <c r="C168" s="334">
        <v>18.2</v>
      </c>
      <c r="D168" s="334">
        <v>10</v>
      </c>
      <c r="E168" s="334">
        <v>8.1</v>
      </c>
      <c r="F168" s="334">
        <v>0.89999999999999858</v>
      </c>
      <c r="G168" s="98" t="s">
        <v>235</v>
      </c>
      <c r="H168" s="100" t="s">
        <v>237</v>
      </c>
      <c r="I168" s="98" t="s">
        <v>235</v>
      </c>
      <c r="K168" s="344" t="str">
        <f>IF(AND(G168=Polarity!L$4,I168=Polarity!L$4,H168=Polarity!L$4),Polarity!L$4,Polarity!L$6)</f>
        <v>Fail</v>
      </c>
      <c r="L168" s="345" t="str">
        <f>IF(K168=Polarity!L$4,B168,"")</f>
        <v/>
      </c>
      <c r="M168" s="346" t="str">
        <f>IF(AND(B168=L168,F168&gt;5),Polarity!L$5,"")</f>
        <v/>
      </c>
      <c r="O168" s="49"/>
      <c r="P168" s="174" t="str">
        <f t="shared" si="3"/>
        <v/>
      </c>
      <c r="Q168" s="124"/>
      <c r="R168" s="124"/>
      <c r="S168" s="336" t="str">
        <f>IF(AND(G168=Polarity!L$6,I168=Polarity!L$6,H168=Polarity!L$6),Polarity!L$6,"")</f>
        <v/>
      </c>
    </row>
    <row r="169" spans="1:19" x14ac:dyDescent="0.2">
      <c r="A169" s="407"/>
      <c r="B169" s="2" t="s">
        <v>167</v>
      </c>
      <c r="C169" s="309">
        <v>15.7</v>
      </c>
      <c r="D169" s="309">
        <v>0</v>
      </c>
      <c r="E169" s="309">
        <v>0</v>
      </c>
      <c r="F169" s="309">
        <v>12.92</v>
      </c>
      <c r="G169" s="97" t="s">
        <v>236</v>
      </c>
      <c r="H169" s="97" t="s">
        <v>236</v>
      </c>
      <c r="I169" s="98" t="s">
        <v>235</v>
      </c>
      <c r="K169" s="344" t="str">
        <f>IF(AND(G169=Polarity!L$4,I169=Polarity!L$4,H169=Polarity!L$4),Polarity!L$4,Polarity!L$6)</f>
        <v>Fail</v>
      </c>
      <c r="L169" s="345" t="str">
        <f>IF(K169=Polarity!L$4,B169,"")</f>
        <v/>
      </c>
      <c r="M169" s="346" t="str">
        <f>IF(AND(B169=L169,F169&gt;5),Polarity!L$5,"")</f>
        <v/>
      </c>
      <c r="O169" s="49"/>
      <c r="P169" s="174" t="str">
        <f t="shared" si="3"/>
        <v/>
      </c>
      <c r="Q169" s="124"/>
      <c r="R169" s="124"/>
      <c r="S169" s="336" t="str">
        <f>IF(AND(G169=Polarity!L$6,I169=Polarity!L$6,H169=Polarity!L$6),Polarity!L$6,"")</f>
        <v/>
      </c>
    </row>
    <row r="170" spans="1:19" x14ac:dyDescent="0.2">
      <c r="B170" s="2" t="s">
        <v>168</v>
      </c>
      <c r="C170" s="309">
        <v>15.3</v>
      </c>
      <c r="D170" s="309">
        <v>0</v>
      </c>
      <c r="E170" s="309">
        <v>0</v>
      </c>
      <c r="F170" s="309">
        <v>13.23</v>
      </c>
      <c r="G170" s="97" t="s">
        <v>236</v>
      </c>
      <c r="H170" s="97" t="s">
        <v>236</v>
      </c>
      <c r="I170" s="97" t="s">
        <v>236</v>
      </c>
      <c r="K170" s="344" t="str">
        <f>IF(AND(G170=Polarity!L$4,I170=Polarity!L$4,H170=Polarity!L$4),Polarity!L$4,Polarity!L$6)</f>
        <v>Fail</v>
      </c>
      <c r="L170" s="345" t="str">
        <f>IF(K170=Polarity!L$4,B170,"")</f>
        <v/>
      </c>
      <c r="M170" s="346" t="str">
        <f>IF(AND(B170=L170,F170&gt;5),Polarity!L$5,"")</f>
        <v/>
      </c>
      <c r="O170" s="49"/>
      <c r="P170" s="174" t="str">
        <f t="shared" si="3"/>
        <v/>
      </c>
      <c r="Q170" s="124"/>
      <c r="R170" s="124"/>
      <c r="S170" s="336" t="str">
        <f>IF(AND(G170=Polarity!L$6,I170=Polarity!L$6,H170=Polarity!L$6),Polarity!L$6,"")</f>
        <v>Fail</v>
      </c>
    </row>
    <row r="171" spans="1:19" x14ac:dyDescent="0.2">
      <c r="B171" s="2" t="s">
        <v>169</v>
      </c>
      <c r="C171" s="309">
        <v>14.9</v>
      </c>
      <c r="D171" s="309">
        <v>0</v>
      </c>
      <c r="E171" s="309">
        <v>0</v>
      </c>
      <c r="F171" s="309">
        <v>13.57</v>
      </c>
      <c r="G171" s="97" t="s">
        <v>236</v>
      </c>
      <c r="H171" s="97" t="s">
        <v>236</v>
      </c>
      <c r="I171" s="97" t="s">
        <v>236</v>
      </c>
      <c r="K171" s="344" t="str">
        <f>IF(AND(G171=Polarity!L$4,I171=Polarity!L$4,H171=Polarity!L$4),Polarity!L$4,Polarity!L$6)</f>
        <v>Fail</v>
      </c>
      <c r="L171" s="345" t="str">
        <f>IF(K171=Polarity!L$4,B171,"")</f>
        <v/>
      </c>
      <c r="M171" s="346" t="str">
        <f>IF(AND(B171=L171,F171&gt;5),Polarity!L$5,"")</f>
        <v/>
      </c>
      <c r="O171" s="49"/>
      <c r="P171" s="174" t="str">
        <f t="shared" si="3"/>
        <v/>
      </c>
      <c r="Q171" s="124"/>
      <c r="R171" s="124"/>
      <c r="S171" s="336" t="str">
        <f>IF(AND(G171=Polarity!L$6,I171=Polarity!L$6,H171=Polarity!L$6),Polarity!L$6,"")</f>
        <v>Fail</v>
      </c>
    </row>
    <row r="172" spans="1:19" x14ac:dyDescent="0.2">
      <c r="A172" s="407"/>
      <c r="B172" s="7" t="s">
        <v>125</v>
      </c>
      <c r="C172" s="309">
        <v>15.8</v>
      </c>
      <c r="D172" s="309">
        <v>2.9</v>
      </c>
      <c r="E172" s="309">
        <v>5.9</v>
      </c>
      <c r="F172" s="309">
        <v>7.97</v>
      </c>
      <c r="G172" s="97" t="s">
        <v>236</v>
      </c>
      <c r="H172" s="97" t="s">
        <v>236</v>
      </c>
      <c r="I172" s="98" t="s">
        <v>235</v>
      </c>
      <c r="K172" s="344" t="str">
        <f>IF(AND(G172=Polarity!L$4,I172=Polarity!L$4,H172=Polarity!L$4),Polarity!L$4,Polarity!L$6)</f>
        <v>Fail</v>
      </c>
      <c r="L172" s="345" t="str">
        <f>IF(K172=Polarity!L$4,B172,"")</f>
        <v/>
      </c>
      <c r="M172" s="346" t="str">
        <f>IF(AND(B172=L172,F172&gt;5),Polarity!L$5,"")</f>
        <v/>
      </c>
      <c r="O172" s="49"/>
      <c r="P172" s="174" t="str">
        <f t="shared" si="3"/>
        <v/>
      </c>
      <c r="Q172" s="124"/>
      <c r="R172" s="124"/>
      <c r="S172" s="336" t="str">
        <f>IF(AND(G172=Polarity!L$6,I172=Polarity!L$6,H172=Polarity!L$6),Polarity!L$6,"")</f>
        <v/>
      </c>
    </row>
    <row r="173" spans="1:19" x14ac:dyDescent="0.2">
      <c r="A173" s="407"/>
      <c r="B173" s="3" t="s">
        <v>199</v>
      </c>
      <c r="C173" s="310">
        <v>20</v>
      </c>
      <c r="D173" s="310">
        <v>10.6</v>
      </c>
      <c r="E173" s="310">
        <v>3.1</v>
      </c>
      <c r="F173" s="310">
        <v>6.23</v>
      </c>
      <c r="G173" s="181" t="s">
        <v>235</v>
      </c>
      <c r="H173" s="98" t="s">
        <v>235</v>
      </c>
      <c r="I173" s="98" t="s">
        <v>235</v>
      </c>
      <c r="K173" s="344" t="str">
        <f>IF(AND(G173=Polarity!L$4,I173=Polarity!L$4,H173=Polarity!L$4),Polarity!L$4,Polarity!L$6)</f>
        <v>Pass</v>
      </c>
      <c r="L173" s="345" t="str">
        <f>IF(K173=Polarity!L$4,B173,"")</f>
        <v>Nitrobenzene</v>
      </c>
      <c r="M173" s="346" t="str">
        <f>IF(AND(B173=L173,F173&gt;5),Polarity!L$5,"")</f>
        <v>Borderline (still considered a pass)</v>
      </c>
      <c r="O173" s="99" t="s">
        <v>358</v>
      </c>
      <c r="P173" s="174" t="str">
        <f t="shared" si="3"/>
        <v/>
      </c>
      <c r="Q173" s="124"/>
      <c r="R173" s="124"/>
      <c r="S173" s="336" t="str">
        <f>IF(AND(G173=Polarity!L$6,I173=Polarity!L$6,H173=Polarity!L$6),Polarity!L$6,"")</f>
        <v/>
      </c>
    </row>
    <row r="174" spans="1:19" x14ac:dyDescent="0.2">
      <c r="B174" s="6" t="s">
        <v>200</v>
      </c>
      <c r="C174" s="309">
        <v>16</v>
      </c>
      <c r="D174" s="309">
        <v>15.5</v>
      </c>
      <c r="E174" s="309">
        <v>4.5</v>
      </c>
      <c r="F174" s="309">
        <v>8.0399999999999991</v>
      </c>
      <c r="G174" s="97" t="s">
        <v>236</v>
      </c>
      <c r="H174" s="98" t="s">
        <v>235</v>
      </c>
      <c r="I174" s="97" t="s">
        <v>236</v>
      </c>
      <c r="K174" s="344" t="str">
        <f>IF(AND(G174=Polarity!L$4,I174=Polarity!L$4,H174=Polarity!L$4),Polarity!L$4,Polarity!L$6)</f>
        <v>Fail</v>
      </c>
      <c r="L174" s="345" t="str">
        <f>IF(K174=Polarity!L$4,B174,"")</f>
        <v/>
      </c>
      <c r="M174" s="346" t="str">
        <f>IF(AND(B174=L174,F174&gt;5),Polarity!L$5,"")</f>
        <v/>
      </c>
      <c r="O174" s="49"/>
      <c r="P174" s="174" t="str">
        <f t="shared" si="3"/>
        <v/>
      </c>
      <c r="Q174" s="124"/>
      <c r="R174" s="124"/>
      <c r="S174" s="336" t="str">
        <f>IF(AND(G174=Polarity!L$6,I174=Polarity!L$6,H174=Polarity!L$6),Polarity!L$6,"")</f>
        <v/>
      </c>
    </row>
    <row r="175" spans="1:19" x14ac:dyDescent="0.2">
      <c r="B175" s="6" t="s">
        <v>201</v>
      </c>
      <c r="C175" s="309">
        <v>15.8</v>
      </c>
      <c r="D175" s="309">
        <v>18.8</v>
      </c>
      <c r="E175" s="309">
        <v>6.1</v>
      </c>
      <c r="F175" s="309">
        <v>10.59</v>
      </c>
      <c r="G175" s="97" t="s">
        <v>236</v>
      </c>
      <c r="H175" s="98" t="s">
        <v>235</v>
      </c>
      <c r="I175" s="97" t="s">
        <v>236</v>
      </c>
      <c r="K175" s="344" t="str">
        <f>IF(AND(G175=Polarity!L$4,I175=Polarity!L$4,H175=Polarity!L$4),Polarity!L$4,Polarity!L$6)</f>
        <v>Fail</v>
      </c>
      <c r="L175" s="345" t="str">
        <f>IF(K175=Polarity!L$4,B175,"")</f>
        <v/>
      </c>
      <c r="M175" s="346" t="str">
        <f>IF(AND(B175=L175,F175&gt;5),Polarity!L$5,"")</f>
        <v/>
      </c>
      <c r="O175" s="49"/>
      <c r="P175" s="174" t="str">
        <f t="shared" si="3"/>
        <v/>
      </c>
      <c r="Q175" s="124"/>
      <c r="R175" s="124"/>
      <c r="S175" s="336" t="str">
        <f>IF(AND(G175=Polarity!L$6,I175=Polarity!L$6,H175=Polarity!L$6),Polarity!L$6,"")</f>
        <v/>
      </c>
    </row>
    <row r="176" spans="1:19" x14ac:dyDescent="0.2">
      <c r="B176" s="2" t="s">
        <v>71</v>
      </c>
      <c r="C176" s="309">
        <v>17.399999999999999</v>
      </c>
      <c r="D176" s="309">
        <v>18.8</v>
      </c>
      <c r="E176" s="309">
        <v>15.9</v>
      </c>
      <c r="F176" s="309">
        <v>12.61</v>
      </c>
      <c r="G176" s="97" t="s">
        <v>236</v>
      </c>
      <c r="H176" s="98" t="s">
        <v>235</v>
      </c>
      <c r="I176" s="100" t="s">
        <v>237</v>
      </c>
      <c r="K176" s="344" t="str">
        <f>IF(AND(G176=Polarity!L$4,I176=Polarity!L$4,H176=Polarity!L$4),Polarity!L$4,Polarity!L$6)</f>
        <v>Fail</v>
      </c>
      <c r="L176" s="345" t="str">
        <f>IF(K176=Polarity!L$4,B176,"")</f>
        <v/>
      </c>
      <c r="M176" s="346" t="str">
        <f>IF(AND(B176=L176,F176&gt;5),Polarity!L$5,"")</f>
        <v/>
      </c>
      <c r="O176" s="49"/>
      <c r="P176" s="174" t="str">
        <f t="shared" si="3"/>
        <v/>
      </c>
      <c r="Q176" s="124"/>
      <c r="R176" s="124"/>
      <c r="S176" s="336" t="str">
        <f>IF(AND(G176=Polarity!L$6,I176=Polarity!L$6,H176=Polarity!L$6),Polarity!L$6,"")</f>
        <v/>
      </c>
    </row>
    <row r="177" spans="1:19" x14ac:dyDescent="0.2">
      <c r="A177" s="407"/>
      <c r="B177" s="2" t="s">
        <v>72</v>
      </c>
      <c r="C177" s="309">
        <v>16.899999999999999</v>
      </c>
      <c r="D177" s="309">
        <v>17</v>
      </c>
      <c r="E177" s="309">
        <v>13</v>
      </c>
      <c r="F177" s="309">
        <v>9.6</v>
      </c>
      <c r="G177" s="97" t="s">
        <v>236</v>
      </c>
      <c r="H177" s="98" t="s">
        <v>235</v>
      </c>
      <c r="I177" s="98" t="s">
        <v>235</v>
      </c>
      <c r="K177" s="344" t="str">
        <f>IF(AND(G177=Polarity!L$4,I177=Polarity!L$4,H177=Polarity!L$4),Polarity!L$4,Polarity!L$6)</f>
        <v>Fail</v>
      </c>
      <c r="L177" s="345" t="str">
        <f>IF(K177=Polarity!L$4,B177,"")</f>
        <v/>
      </c>
      <c r="M177" s="346" t="str">
        <f>IF(AND(B177=L177,F177&gt;5),Polarity!L$5,"")</f>
        <v/>
      </c>
      <c r="O177" s="49"/>
      <c r="P177" s="174" t="str">
        <f t="shared" si="3"/>
        <v/>
      </c>
      <c r="Q177" s="124"/>
      <c r="R177" s="124"/>
      <c r="S177" s="336" t="str">
        <f>IF(AND(G177=Polarity!L$6,I177=Polarity!L$6,H177=Polarity!L$6),Polarity!L$6,"")</f>
        <v/>
      </c>
    </row>
    <row r="178" spans="1:19" x14ac:dyDescent="0.2">
      <c r="A178" s="407"/>
      <c r="B178" s="6" t="s">
        <v>226</v>
      </c>
      <c r="C178" s="311">
        <v>18</v>
      </c>
      <c r="D178" s="311">
        <v>12.3</v>
      </c>
      <c r="E178" s="311">
        <v>7.2</v>
      </c>
      <c r="F178" s="311">
        <v>3.04</v>
      </c>
      <c r="G178" s="98" t="s">
        <v>235</v>
      </c>
      <c r="H178" s="98" t="s">
        <v>235</v>
      </c>
      <c r="I178" s="98" t="s">
        <v>235</v>
      </c>
      <c r="K178" s="344" t="str">
        <f>IF(AND(G178=Polarity!L$4,I178=Polarity!L$4,H178=Polarity!L$4),Polarity!L$4,Polarity!L$6)</f>
        <v>Pass</v>
      </c>
      <c r="L178" s="345" t="str">
        <f>IF(K178=Polarity!L$4,B178,"")</f>
        <v>NMP</v>
      </c>
      <c r="M178" s="421" t="s">
        <v>558</v>
      </c>
      <c r="O178" s="99" t="s">
        <v>238</v>
      </c>
      <c r="P178" s="174" t="str">
        <f t="shared" si="3"/>
        <v/>
      </c>
      <c r="Q178" s="124"/>
      <c r="R178" s="124"/>
      <c r="S178" s="336" t="str">
        <f>IF(AND(G178=Polarity!L$6,I178=Polarity!L$6,H178=Polarity!L$6),Polarity!L$6,"")</f>
        <v/>
      </c>
    </row>
    <row r="179" spans="1:19" x14ac:dyDescent="0.2">
      <c r="B179" s="6" t="s">
        <v>170</v>
      </c>
      <c r="C179" s="309">
        <v>15.5</v>
      </c>
      <c r="D179" s="309">
        <v>0</v>
      </c>
      <c r="E179" s="309">
        <v>0</v>
      </c>
      <c r="F179" s="309">
        <v>13.07</v>
      </c>
      <c r="G179" s="97" t="s">
        <v>236</v>
      </c>
      <c r="H179" s="97" t="s">
        <v>236</v>
      </c>
      <c r="I179" s="97" t="s">
        <v>236</v>
      </c>
      <c r="K179" s="344" t="str">
        <f>IF(AND(G179=Polarity!L$4,I179=Polarity!L$4,H179=Polarity!L$4),Polarity!L$4,Polarity!L$6)</f>
        <v>Fail</v>
      </c>
      <c r="L179" s="345" t="str">
        <f>IF(K179=Polarity!L$4,B179,"")</f>
        <v/>
      </c>
      <c r="M179" s="346" t="str">
        <f>IF(AND(B179=L179,F179&gt;5),Polarity!L$5,"")</f>
        <v/>
      </c>
      <c r="O179" s="49"/>
      <c r="P179" s="174" t="str">
        <f t="shared" si="3"/>
        <v/>
      </c>
      <c r="Q179" s="124"/>
      <c r="R179" s="124"/>
      <c r="S179" s="336" t="str">
        <f>IF(AND(G179=Polarity!L$6,I179=Polarity!L$6,H179=Polarity!L$6),Polarity!L$6,"")</f>
        <v>Fail</v>
      </c>
    </row>
    <row r="180" spans="1:19" x14ac:dyDescent="0.2">
      <c r="B180" s="2" t="s">
        <v>171</v>
      </c>
      <c r="C180" s="309">
        <v>14.5</v>
      </c>
      <c r="D180" s="309">
        <v>0</v>
      </c>
      <c r="E180" s="309">
        <v>0</v>
      </c>
      <c r="F180" s="309">
        <v>14</v>
      </c>
      <c r="G180" s="97" t="s">
        <v>236</v>
      </c>
      <c r="H180" s="97" t="s">
        <v>236</v>
      </c>
      <c r="I180" s="97" t="s">
        <v>236</v>
      </c>
      <c r="K180" s="344" t="str">
        <f>IF(AND(G180=Polarity!L$4,I180=Polarity!L$4,H180=Polarity!L$4),Polarity!L$4,Polarity!L$6)</f>
        <v>Fail</v>
      </c>
      <c r="L180" s="345" t="str">
        <f>IF(K180=Polarity!L$4,B180,"")</f>
        <v/>
      </c>
      <c r="M180" s="346" t="str">
        <f>IF(AND(B180=L180,F180&gt;5),Polarity!L$5,"")</f>
        <v/>
      </c>
      <c r="O180" s="49"/>
      <c r="P180" s="174" t="str">
        <f t="shared" si="3"/>
        <v/>
      </c>
      <c r="Q180" s="124"/>
      <c r="R180" s="124"/>
      <c r="S180" s="336" t="str">
        <f>IF(AND(G180=Polarity!L$6,I180=Polarity!L$6,H180=Polarity!L$6),Polarity!L$6,"")</f>
        <v>Fail</v>
      </c>
    </row>
    <row r="181" spans="1:19" x14ac:dyDescent="0.2">
      <c r="B181" s="6" t="s">
        <v>126</v>
      </c>
      <c r="C181" s="309">
        <v>15.3</v>
      </c>
      <c r="D181" s="309">
        <v>4.3</v>
      </c>
      <c r="E181" s="309">
        <v>7.6</v>
      </c>
      <c r="F181" s="309">
        <v>7.36</v>
      </c>
      <c r="G181" s="97" t="s">
        <v>236</v>
      </c>
      <c r="H181" s="97" t="s">
        <v>236</v>
      </c>
      <c r="I181" s="97" t="s">
        <v>236</v>
      </c>
      <c r="K181" s="344" t="str">
        <f>IF(AND(G181=Polarity!L$4,I181=Polarity!L$4,H181=Polarity!L$4),Polarity!L$4,Polarity!L$6)</f>
        <v>Fail</v>
      </c>
      <c r="L181" s="345" t="str">
        <f>IF(K181=Polarity!L$4,B181,"")</f>
        <v/>
      </c>
      <c r="M181" s="346" t="str">
        <f>IF(AND(B181=L181,F181&gt;5),Polarity!L$5,"")</f>
        <v/>
      </c>
      <c r="O181" s="49"/>
      <c r="P181" s="174" t="str">
        <f t="shared" si="3"/>
        <v/>
      </c>
      <c r="Q181" s="124"/>
      <c r="R181" s="124"/>
      <c r="S181" s="336" t="str">
        <f>IF(AND(G181=Polarity!L$6,I181=Polarity!L$6,H181=Polarity!L$6),Polarity!L$6,"")</f>
        <v>Fail</v>
      </c>
    </row>
    <row r="182" spans="1:19" x14ac:dyDescent="0.2">
      <c r="B182" s="2" t="s">
        <v>80</v>
      </c>
      <c r="C182" s="312">
        <v>16</v>
      </c>
      <c r="D182" s="312">
        <v>4.9000000000000004</v>
      </c>
      <c r="E182" s="312">
        <v>8.6</v>
      </c>
      <c r="F182" s="312">
        <v>6.01</v>
      </c>
      <c r="G182" s="181" t="s">
        <v>235</v>
      </c>
      <c r="H182" s="97" t="s">
        <v>236</v>
      </c>
      <c r="I182" s="100" t="s">
        <v>237</v>
      </c>
      <c r="K182" s="344" t="str">
        <f>IF(AND(G182=Polarity!L$4,I182=Polarity!L$4,H182=Polarity!L$4),Polarity!L$4,Polarity!L$6)</f>
        <v>Fail</v>
      </c>
      <c r="L182" s="345" t="str">
        <f>IF(K182=Polarity!L$4,B182,"")</f>
        <v/>
      </c>
      <c r="M182" s="346" t="str">
        <f>IF(AND(B182=L182,F182&gt;5),Polarity!L$5,"")</f>
        <v/>
      </c>
      <c r="O182" s="49"/>
      <c r="P182" s="174" t="str">
        <f t="shared" si="3"/>
        <v/>
      </c>
      <c r="Q182" s="124"/>
      <c r="R182" s="124"/>
      <c r="S182" s="336" t="str">
        <f>IF(AND(G182=Polarity!L$6,I182=Polarity!L$6,H182=Polarity!L$6),Polarity!L$6,"")</f>
        <v/>
      </c>
    </row>
    <row r="183" spans="1:19" x14ac:dyDescent="0.2">
      <c r="A183" s="407"/>
      <c r="B183" s="6" t="s">
        <v>206</v>
      </c>
      <c r="C183" s="309">
        <v>12.8</v>
      </c>
      <c r="D183" s="309">
        <v>1.3</v>
      </c>
      <c r="E183" s="309">
        <v>1</v>
      </c>
      <c r="F183" s="309">
        <v>14.73</v>
      </c>
      <c r="G183" s="97" t="s">
        <v>236</v>
      </c>
      <c r="H183" s="97" t="s">
        <v>236</v>
      </c>
      <c r="I183" s="98" t="s">
        <v>235</v>
      </c>
      <c r="K183" s="344" t="str">
        <f>IF(AND(G183=Polarity!L$4,I183=Polarity!L$4,H183=Polarity!L$4),Polarity!L$4,Polarity!L$6)</f>
        <v>Fail</v>
      </c>
      <c r="L183" s="345" t="str">
        <f>IF(K183=Polarity!L$4,B183,"")</f>
        <v/>
      </c>
      <c r="M183" s="346" t="str">
        <f>IF(AND(B183=L183,F183&gt;5),Polarity!L$5,"")</f>
        <v/>
      </c>
      <c r="O183" s="49"/>
      <c r="P183" s="174" t="str">
        <f t="shared" si="3"/>
        <v/>
      </c>
      <c r="Q183" s="124"/>
      <c r="R183" s="124"/>
      <c r="S183" s="336" t="str">
        <f>IF(AND(G183=Polarity!L$6,I183=Polarity!L$6,H183=Polarity!L$6),Polarity!L$6,"")</f>
        <v/>
      </c>
    </row>
    <row r="184" spans="1:19" x14ac:dyDescent="0.2">
      <c r="A184" s="407"/>
      <c r="B184" s="6" t="s">
        <v>207</v>
      </c>
      <c r="C184" s="309">
        <v>12.2</v>
      </c>
      <c r="D184" s="309">
        <v>1.8</v>
      </c>
      <c r="E184" s="309">
        <v>0</v>
      </c>
      <c r="F184" s="309">
        <v>15.81</v>
      </c>
      <c r="G184" s="97" t="s">
        <v>236</v>
      </c>
      <c r="H184" s="97" t="s">
        <v>236</v>
      </c>
      <c r="I184" s="98" t="s">
        <v>235</v>
      </c>
      <c r="K184" s="344" t="str">
        <f>IF(AND(G184=Polarity!L$4,I184=Polarity!L$4,H184=Polarity!L$4),Polarity!L$4,Polarity!L$6)</f>
        <v>Fail</v>
      </c>
      <c r="L184" s="345" t="str">
        <f>IF(K184=Polarity!L$4,B184,"")</f>
        <v/>
      </c>
      <c r="M184" s="346" t="str">
        <f>IF(AND(B184=L184,F184&gt;5),Polarity!L$5,"")</f>
        <v/>
      </c>
      <c r="O184" s="49"/>
      <c r="P184" s="174" t="str">
        <f t="shared" si="3"/>
        <v/>
      </c>
      <c r="Q184" s="124"/>
      <c r="R184" s="124"/>
      <c r="S184" s="336" t="str">
        <f>IF(AND(G184=Polarity!L$6,I184=Polarity!L$6,H184=Polarity!L$6),Polarity!L$6,"")</f>
        <v/>
      </c>
    </row>
    <row r="185" spans="1:19" x14ac:dyDescent="0.2">
      <c r="A185" s="407"/>
      <c r="B185" s="5" t="s">
        <v>6</v>
      </c>
      <c r="C185" s="309">
        <v>15.7</v>
      </c>
      <c r="D185" s="309">
        <v>3.3</v>
      </c>
      <c r="E185" s="309">
        <v>8.1999999999999993</v>
      </c>
      <c r="F185" s="309">
        <v>7.58</v>
      </c>
      <c r="G185" s="97" t="s">
        <v>236</v>
      </c>
      <c r="H185" s="97" t="s">
        <v>236</v>
      </c>
      <c r="I185" s="98" t="s">
        <v>235</v>
      </c>
      <c r="K185" s="344" t="str">
        <f>IF(AND(G185=Polarity!L$4,I185=Polarity!L$4,H185=Polarity!L$4),Polarity!L$4,Polarity!L$6)</f>
        <v>Fail</v>
      </c>
      <c r="L185" s="345" t="str">
        <f>IF(K185=Polarity!L$4,B185,"")</f>
        <v/>
      </c>
      <c r="M185" s="346" t="str">
        <f>IF(AND(B185=L185,F185&gt;5),Polarity!L$5,"")</f>
        <v/>
      </c>
      <c r="O185" s="49"/>
      <c r="P185" s="174" t="str">
        <f t="shared" si="3"/>
        <v/>
      </c>
      <c r="Q185" s="124"/>
      <c r="R185" s="124"/>
      <c r="S185" s="336" t="str">
        <f>IF(AND(G185=Polarity!L$6,I185=Polarity!L$6,H185=Polarity!L$6),Polarity!L$6,"")</f>
        <v/>
      </c>
    </row>
    <row r="186" spans="1:19" x14ac:dyDescent="0.2">
      <c r="A186" s="407"/>
      <c r="B186" s="2" t="s">
        <v>7</v>
      </c>
      <c r="C186" s="309">
        <v>16</v>
      </c>
      <c r="D186" s="309">
        <v>2.8</v>
      </c>
      <c r="E186" s="309">
        <v>6.2</v>
      </c>
      <c r="F186" s="309">
        <v>7.78</v>
      </c>
      <c r="G186" s="97" t="s">
        <v>236</v>
      </c>
      <c r="H186" s="98" t="s">
        <v>235</v>
      </c>
      <c r="I186" s="98" t="s">
        <v>235</v>
      </c>
      <c r="K186" s="344" t="str">
        <f>IF(AND(G186=Polarity!L$4,I186=Polarity!L$4,H186=Polarity!L$4),Polarity!L$4,Polarity!L$6)</f>
        <v>Fail</v>
      </c>
      <c r="L186" s="345" t="str">
        <f>IF(K186=Polarity!L$4,B186,"")</f>
        <v/>
      </c>
      <c r="M186" s="346" t="str">
        <f>IF(AND(B186=L186,F186&gt;5),Polarity!L$5,"")</f>
        <v/>
      </c>
      <c r="O186" s="49"/>
      <c r="P186" s="174" t="str">
        <f t="shared" si="3"/>
        <v/>
      </c>
      <c r="Q186" s="124"/>
      <c r="R186" s="124"/>
      <c r="S186" s="336" t="str">
        <f>IF(AND(G186=Polarity!L$6,I186=Polarity!L$6,H186=Polarity!L$6),Polarity!L$6,"")</f>
        <v/>
      </c>
    </row>
    <row r="187" spans="1:19" x14ac:dyDescent="0.2">
      <c r="A187" s="407"/>
      <c r="B187" s="4" t="s">
        <v>45</v>
      </c>
      <c r="C187" s="310">
        <v>16.5</v>
      </c>
      <c r="D187" s="310">
        <v>5.9</v>
      </c>
      <c r="E187" s="310">
        <v>10.7</v>
      </c>
      <c r="F187" s="310">
        <v>5.436910887627274</v>
      </c>
      <c r="G187" s="181" t="s">
        <v>235</v>
      </c>
      <c r="H187" s="100" t="s">
        <v>237</v>
      </c>
      <c r="I187" s="98" t="s">
        <v>235</v>
      </c>
      <c r="K187" s="344" t="str">
        <f>IF(AND(G187=Polarity!L$4,I187=Polarity!L$4,H187=Polarity!L$4),Polarity!L$4,Polarity!L$6)</f>
        <v>Fail</v>
      </c>
      <c r="L187" s="345" t="str">
        <f>IF(K187=Polarity!L$4,B187,"")</f>
        <v/>
      </c>
      <c r="M187" s="346" t="str">
        <f>IF(AND(B187=L187,F187&gt;5),Polarity!L$5,"")</f>
        <v/>
      </c>
      <c r="O187" s="49"/>
      <c r="P187" s="174" t="str">
        <f t="shared" si="3"/>
        <v/>
      </c>
      <c r="Q187" s="124"/>
      <c r="R187" s="124"/>
      <c r="S187" s="336" t="str">
        <f>IF(AND(G187=Polarity!L$6,I187=Polarity!L$6,H187=Polarity!L$6),Polarity!L$6,"")</f>
        <v/>
      </c>
    </row>
    <row r="188" spans="1:19" x14ac:dyDescent="0.2">
      <c r="A188" s="407"/>
      <c r="B188" s="2" t="s">
        <v>172</v>
      </c>
      <c r="C188" s="309">
        <v>17.8</v>
      </c>
      <c r="D188" s="309">
        <v>1</v>
      </c>
      <c r="E188" s="309">
        <v>3.1</v>
      </c>
      <c r="F188" s="309">
        <v>9.5</v>
      </c>
      <c r="G188" s="97" t="s">
        <v>236</v>
      </c>
      <c r="H188" s="97" t="s">
        <v>236</v>
      </c>
      <c r="I188" s="98" t="s">
        <v>235</v>
      </c>
      <c r="K188" s="344" t="str">
        <f>IF(AND(G188=Polarity!L$4,I188=Polarity!L$4,H188=Polarity!L$4),Polarity!L$4,Polarity!L$6)</f>
        <v>Fail</v>
      </c>
      <c r="L188" s="345" t="str">
        <f>IF(K188=Polarity!L$4,B188,"")</f>
        <v/>
      </c>
      <c r="M188" s="346" t="str">
        <f>IF(AND(B188=L188,F188&gt;5),Polarity!L$5,"")</f>
        <v/>
      </c>
      <c r="O188" s="49"/>
      <c r="P188" s="174" t="str">
        <f t="shared" si="3"/>
        <v/>
      </c>
      <c r="Q188" s="124"/>
      <c r="R188" s="124"/>
      <c r="S188" s="336" t="str">
        <f>IF(AND(G188=Polarity!L$6,I188=Polarity!L$6,H188=Polarity!L$6),Polarity!L$6,"")</f>
        <v/>
      </c>
    </row>
    <row r="189" spans="1:19" x14ac:dyDescent="0.2">
      <c r="B189" s="6" t="s">
        <v>173</v>
      </c>
      <c r="C189" s="309">
        <v>17.3</v>
      </c>
      <c r="D189" s="309">
        <v>2.4</v>
      </c>
      <c r="E189" s="309">
        <v>2.4</v>
      </c>
      <c r="F189" s="309">
        <v>8.8000000000000007</v>
      </c>
      <c r="G189" s="97" t="s">
        <v>236</v>
      </c>
      <c r="H189" s="97" t="s">
        <v>236</v>
      </c>
      <c r="I189" s="100" t="s">
        <v>237</v>
      </c>
      <c r="K189" s="344" t="str">
        <f>IF(AND(G189=Polarity!L$4,I189=Polarity!L$4,H189=Polarity!L$4),Polarity!L$4,Polarity!L$6)</f>
        <v>Fail</v>
      </c>
      <c r="L189" s="345" t="str">
        <f>IF(K189=Polarity!L$4,B189,"")</f>
        <v/>
      </c>
      <c r="M189" s="346" t="str">
        <f>IF(AND(B189=L189,F189&gt;5),Polarity!L$5,"")</f>
        <v/>
      </c>
      <c r="O189" s="49"/>
      <c r="P189" s="174" t="str">
        <f t="shared" si="3"/>
        <v/>
      </c>
      <c r="Q189" s="124"/>
      <c r="R189" s="124"/>
      <c r="S189" s="336" t="str">
        <f>IF(AND(G189=Polarity!L$6,I189=Polarity!L$6,H189=Polarity!L$6),Polarity!L$6,"")</f>
        <v/>
      </c>
    </row>
    <row r="190" spans="1:19" x14ac:dyDescent="0.2">
      <c r="A190" s="407"/>
      <c r="B190" s="2" t="s">
        <v>62</v>
      </c>
      <c r="C190" s="309">
        <v>18.5</v>
      </c>
      <c r="D190" s="309">
        <v>5.9</v>
      </c>
      <c r="E190" s="309">
        <v>14.9</v>
      </c>
      <c r="F190" s="309">
        <v>8.02</v>
      </c>
      <c r="G190" s="97" t="s">
        <v>236</v>
      </c>
      <c r="H190" s="98" t="s">
        <v>235</v>
      </c>
      <c r="I190" s="98" t="s">
        <v>235</v>
      </c>
      <c r="K190" s="344" t="str">
        <f>IF(AND(G190=Polarity!L$4,I190=Polarity!L$4,H190=Polarity!L$4),Polarity!L$4,Polarity!L$6)</f>
        <v>Fail</v>
      </c>
      <c r="L190" s="345" t="str">
        <f>IF(K190=Polarity!L$4,B190,"")</f>
        <v/>
      </c>
      <c r="M190" s="346" t="str">
        <f>IF(AND(B190=L190,F190&gt;5),Polarity!L$5,"")</f>
        <v/>
      </c>
      <c r="O190" s="49"/>
      <c r="P190" s="174" t="str">
        <f t="shared" si="3"/>
        <v/>
      </c>
      <c r="Q190" s="124"/>
      <c r="R190" s="124"/>
      <c r="S190" s="336" t="str">
        <f>IF(AND(G190=Polarity!L$6,I190=Polarity!L$6,H190=Polarity!L$6),Polarity!L$6,"")</f>
        <v/>
      </c>
    </row>
    <row r="191" spans="1:19" x14ac:dyDescent="0.2">
      <c r="B191" s="2" t="s">
        <v>197</v>
      </c>
      <c r="C191" s="309">
        <v>15.3</v>
      </c>
      <c r="D191" s="309">
        <v>14.3</v>
      </c>
      <c r="E191" s="309">
        <v>5.5</v>
      </c>
      <c r="F191" s="309">
        <v>7.7</v>
      </c>
      <c r="G191" s="97" t="s">
        <v>236</v>
      </c>
      <c r="H191" s="97" t="s">
        <v>236</v>
      </c>
      <c r="I191" s="97" t="s">
        <v>236</v>
      </c>
      <c r="K191" s="344" t="str">
        <f>IF(AND(G191=Polarity!L$4,I191=Polarity!L$4,H191=Polarity!L$4),Polarity!L$4,Polarity!L$6)</f>
        <v>Fail</v>
      </c>
      <c r="L191" s="345" t="str">
        <f>IF(K191=Polarity!L$4,B191,"")</f>
        <v/>
      </c>
      <c r="M191" s="346" t="str">
        <f>IF(AND(B191=L191,F191&gt;5),Polarity!L$5,"")</f>
        <v/>
      </c>
      <c r="O191" s="49"/>
      <c r="P191" s="174" t="str">
        <f t="shared" si="3"/>
        <v/>
      </c>
      <c r="Q191" s="124"/>
      <c r="R191" s="124"/>
      <c r="S191" s="336" t="str">
        <f>IF(AND(G191=Polarity!L$6,I191=Polarity!L$6,H191=Polarity!L$6),Polarity!L$6,"")</f>
        <v>Fail</v>
      </c>
    </row>
    <row r="192" spans="1:19" x14ac:dyDescent="0.2">
      <c r="A192" s="407"/>
      <c r="B192" s="6" t="s">
        <v>8</v>
      </c>
      <c r="C192" s="309">
        <v>14.7</v>
      </c>
      <c r="D192" s="309">
        <v>5.3</v>
      </c>
      <c r="E192" s="309">
        <v>12.4</v>
      </c>
      <c r="F192" s="309">
        <v>9.0399999999999991</v>
      </c>
      <c r="G192" s="97" t="s">
        <v>236</v>
      </c>
      <c r="H192" s="97" t="s">
        <v>236</v>
      </c>
      <c r="I192" s="98" t="s">
        <v>235</v>
      </c>
      <c r="K192" s="344" t="str">
        <f>IF(AND(G192=Polarity!L$4,I192=Polarity!L$4,H192=Polarity!L$4),Polarity!L$4,Polarity!L$6)</f>
        <v>Fail</v>
      </c>
      <c r="L192" s="345" t="str">
        <f>IF(K192=Polarity!L$4,B192,"")</f>
        <v/>
      </c>
      <c r="M192" s="346" t="str">
        <f>IF(AND(B192=L192,F192&gt;5),Polarity!L$5,"")</f>
        <v/>
      </c>
      <c r="O192" s="49"/>
      <c r="P192" s="174" t="str">
        <f t="shared" si="3"/>
        <v/>
      </c>
      <c r="Q192" s="124"/>
      <c r="R192" s="124"/>
      <c r="S192" s="336" t="str">
        <f>IF(AND(G192=Polarity!L$6,I192=Polarity!L$6,H192=Polarity!L$6),Polarity!L$6,"")</f>
        <v/>
      </c>
    </row>
    <row r="193" spans="1:19" x14ac:dyDescent="0.2">
      <c r="A193" s="407"/>
      <c r="B193" s="6" t="s">
        <v>91</v>
      </c>
      <c r="C193" s="309">
        <v>20</v>
      </c>
      <c r="D193" s="309">
        <v>18</v>
      </c>
      <c r="E193" s="309">
        <v>4.0999999999999996</v>
      </c>
      <c r="F193" s="309">
        <v>10.23</v>
      </c>
      <c r="G193" s="97" t="s">
        <v>236</v>
      </c>
      <c r="H193" s="98" t="s">
        <v>235</v>
      </c>
      <c r="I193" s="98" t="s">
        <v>235</v>
      </c>
      <c r="K193" s="344" t="str">
        <f>IF(AND(G193=Polarity!L$4,I193=Polarity!L$4,H193=Polarity!L$4),Polarity!L$4,Polarity!L$6)</f>
        <v>Fail</v>
      </c>
      <c r="L193" s="345" t="str">
        <f>IF(K193=Polarity!L$4,B193,"")</f>
        <v/>
      </c>
      <c r="M193" s="346" t="str">
        <f>IF(AND(B193=L193,F193&gt;5),Polarity!L$5,"")</f>
        <v/>
      </c>
      <c r="O193" s="49"/>
      <c r="P193" s="174" t="str">
        <f t="shared" si="3"/>
        <v/>
      </c>
      <c r="Q193" s="124"/>
      <c r="R193" s="124"/>
      <c r="S193" s="336" t="str">
        <f>IF(AND(G193=Polarity!L$6,I193=Polarity!L$6,H193=Polarity!L$6),Polarity!L$6,"")</f>
        <v/>
      </c>
    </row>
    <row r="194" spans="1:19" x14ac:dyDescent="0.2">
      <c r="B194" s="5" t="s">
        <v>174</v>
      </c>
      <c r="C194" s="309">
        <v>17.8</v>
      </c>
      <c r="D194" s="309">
        <v>1</v>
      </c>
      <c r="E194" s="309">
        <v>3.1</v>
      </c>
      <c r="F194" s="309">
        <v>9.5</v>
      </c>
      <c r="G194" s="97" t="s">
        <v>236</v>
      </c>
      <c r="H194" s="97" t="s">
        <v>236</v>
      </c>
      <c r="I194" s="97" t="s">
        <v>236</v>
      </c>
      <c r="K194" s="344" t="str">
        <f>IF(AND(G194=Polarity!L$4,I194=Polarity!L$4,H194=Polarity!L$4),Polarity!L$4,Polarity!L$6)</f>
        <v>Fail</v>
      </c>
      <c r="L194" s="345" t="str">
        <f>IF(K194=Polarity!L$4,B194,"")</f>
        <v/>
      </c>
      <c r="M194" s="346" t="str">
        <f>IF(AND(B194=L194,F194&gt;5),Polarity!L$5,"")</f>
        <v/>
      </c>
      <c r="O194" s="49"/>
      <c r="P194" s="174" t="str">
        <f t="shared" si="3"/>
        <v/>
      </c>
      <c r="Q194" s="124"/>
      <c r="R194" s="124"/>
      <c r="S194" s="336" t="str">
        <f>IF(AND(G194=Polarity!L$6,I194=Polarity!L$6,H194=Polarity!L$6),Polarity!L$6,"")</f>
        <v>Fail</v>
      </c>
    </row>
    <row r="195" spans="1:19" x14ac:dyDescent="0.2">
      <c r="A195" s="407"/>
      <c r="B195" s="3" t="s">
        <v>192</v>
      </c>
      <c r="C195" s="311">
        <v>19</v>
      </c>
      <c r="D195" s="311">
        <v>8.8000000000000007</v>
      </c>
      <c r="E195" s="311">
        <v>5.9</v>
      </c>
      <c r="F195" s="311">
        <v>2.74</v>
      </c>
      <c r="G195" s="98" t="s">
        <v>235</v>
      </c>
      <c r="H195" s="98" t="s">
        <v>235</v>
      </c>
      <c r="I195" s="98" t="s">
        <v>235</v>
      </c>
      <c r="K195" s="344" t="str">
        <f>IF(AND(G195=Polarity!L$4,I195=Polarity!L$4,H195=Polarity!L$4),Polarity!L$4,Polarity!L$6)</f>
        <v>Pass</v>
      </c>
      <c r="L195" s="345" t="str">
        <f>IF(K195=Polarity!L$4,B195,"")</f>
        <v>Pyridine</v>
      </c>
      <c r="M195" s="421" t="s">
        <v>558</v>
      </c>
      <c r="O195" s="44" t="s">
        <v>241</v>
      </c>
      <c r="P195" s="174" t="str">
        <f t="shared" si="3"/>
        <v>Pyridine</v>
      </c>
      <c r="Q195" s="339">
        <f>'Literature data'!D37</f>
        <v>0.42553191489361702</v>
      </c>
      <c r="R195" s="339" t="s">
        <v>462</v>
      </c>
      <c r="S195" s="336" t="str">
        <f>IF(AND(G195=Polarity!L$6,I195=Polarity!L$6,H195=Polarity!L$6),Polarity!L$6,"")</f>
        <v/>
      </c>
    </row>
    <row r="196" spans="1:19" x14ac:dyDescent="0.2">
      <c r="B196" s="5" t="s">
        <v>81</v>
      </c>
      <c r="C196" s="311">
        <v>17.899999999999999</v>
      </c>
      <c r="D196" s="311">
        <v>6.5</v>
      </c>
      <c r="E196" s="311">
        <v>7.4</v>
      </c>
      <c r="F196" s="311">
        <v>2.82</v>
      </c>
      <c r="G196" s="98" t="s">
        <v>235</v>
      </c>
      <c r="H196" s="97" t="s">
        <v>236</v>
      </c>
      <c r="I196" s="100" t="s">
        <v>237</v>
      </c>
      <c r="K196" s="344" t="str">
        <f>IF(AND(G196=Polarity!L$4,I196=Polarity!L$4,H196=Polarity!L$4),Polarity!L$4,Polarity!L$6)</f>
        <v>Fail</v>
      </c>
      <c r="L196" s="345" t="str">
        <f>IF(K196=Polarity!L$4,B196,"")</f>
        <v/>
      </c>
      <c r="M196" s="346" t="str">
        <f>IF(AND(B196=L196,F196&gt;5),Polarity!L$5,"")</f>
        <v/>
      </c>
      <c r="O196" s="49"/>
      <c r="P196" s="174" t="str">
        <f t="shared" si="3"/>
        <v/>
      </c>
      <c r="Q196" s="124"/>
      <c r="R196" s="124"/>
      <c r="S196" s="336" t="str">
        <f>IF(AND(G196=Polarity!L$6,I196=Polarity!L$6,H196=Polarity!L$6),Polarity!L$6,"")</f>
        <v/>
      </c>
    </row>
    <row r="197" spans="1:19" x14ac:dyDescent="0.2">
      <c r="A197" s="407"/>
      <c r="B197" s="6" t="s">
        <v>193</v>
      </c>
      <c r="C197" s="309">
        <v>20.5</v>
      </c>
      <c r="D197" s="309">
        <v>5.6</v>
      </c>
      <c r="E197" s="309">
        <v>5.7</v>
      </c>
      <c r="F197" s="309">
        <v>6.53</v>
      </c>
      <c r="G197" s="97" t="s">
        <v>236</v>
      </c>
      <c r="H197" s="97" t="s">
        <v>236</v>
      </c>
      <c r="I197" s="98" t="s">
        <v>235</v>
      </c>
      <c r="K197" s="344" t="str">
        <f>IF(AND(G197=Polarity!L$4,I197=Polarity!L$4,H197=Polarity!L$4),Polarity!L$4,Polarity!L$6)</f>
        <v>Fail</v>
      </c>
      <c r="L197" s="345" t="str">
        <f>IF(K197=Polarity!L$4,B197,"")</f>
        <v/>
      </c>
      <c r="M197" s="346" t="str">
        <f>IF(AND(B197=L197,F197&gt;5),Polarity!L$5,"")</f>
        <v/>
      </c>
      <c r="O197" s="49"/>
      <c r="P197" s="174" t="str">
        <f t="shared" si="3"/>
        <v/>
      </c>
      <c r="Q197" s="124"/>
      <c r="R197" s="124"/>
      <c r="S197" s="336" t="str">
        <f>IF(AND(G197=Polarity!L$6,I197=Polarity!L$6,H197=Polarity!L$6),Polarity!L$6,"")</f>
        <v/>
      </c>
    </row>
    <row r="198" spans="1:19" x14ac:dyDescent="0.2">
      <c r="A198" s="407"/>
      <c r="B198" s="2" t="s">
        <v>46</v>
      </c>
      <c r="C198" s="310">
        <v>16.600000000000001</v>
      </c>
      <c r="D198" s="310">
        <v>7.9</v>
      </c>
      <c r="E198" s="310">
        <v>12</v>
      </c>
      <c r="F198" s="310">
        <v>5.3188344587888787</v>
      </c>
      <c r="G198" s="181" t="s">
        <v>235</v>
      </c>
      <c r="H198" s="97" t="s">
        <v>236</v>
      </c>
      <c r="I198" s="98" t="s">
        <v>235</v>
      </c>
      <c r="K198" s="344" t="str">
        <f>IF(AND(G198=Polarity!L$4,I198=Polarity!L$4,H198=Polarity!L$4),Polarity!L$4,Polarity!L$6)</f>
        <v>Fail</v>
      </c>
      <c r="L198" s="345" t="str">
        <f>IF(K198=Polarity!L$4,B198,"")</f>
        <v/>
      </c>
      <c r="M198" s="346" t="str">
        <f>IF(AND(B198=L198,F198&gt;5),Polarity!L$5,"")</f>
        <v/>
      </c>
      <c r="O198" s="49"/>
      <c r="P198" s="174" t="str">
        <f t="shared" si="3"/>
        <v/>
      </c>
      <c r="Q198" s="124"/>
      <c r="R198" s="124"/>
      <c r="S198" s="336" t="str">
        <f>IF(AND(G198=Polarity!L$6,I198=Polarity!L$6,H198=Polarity!L$6),Polarity!L$6,"")</f>
        <v/>
      </c>
    </row>
    <row r="199" spans="1:19" x14ac:dyDescent="0.2">
      <c r="A199" s="407"/>
      <c r="B199" s="2" t="s">
        <v>209</v>
      </c>
      <c r="C199" s="309">
        <v>17.8</v>
      </c>
      <c r="D199" s="309">
        <v>17.399999999999999</v>
      </c>
      <c r="E199" s="309">
        <v>8.6999999999999993</v>
      </c>
      <c r="F199" s="309">
        <v>8.17</v>
      </c>
      <c r="G199" s="97" t="s">
        <v>236</v>
      </c>
      <c r="H199" s="98" t="s">
        <v>235</v>
      </c>
      <c r="I199" s="98" t="s">
        <v>235</v>
      </c>
      <c r="K199" s="344" t="str">
        <f>IF(AND(G199=Polarity!L$4,I199=Polarity!L$4,H199=Polarity!L$4),Polarity!L$4,Polarity!L$6)</f>
        <v>Fail</v>
      </c>
      <c r="L199" s="345" t="str">
        <f>IF(K199=Polarity!L$4,B199,"")</f>
        <v/>
      </c>
      <c r="M199" s="346" t="str">
        <f>IF(AND(B199=L199,F199&gt;5),Polarity!L$5,"")</f>
        <v/>
      </c>
      <c r="O199" s="49"/>
      <c r="P199" s="174" t="str">
        <f t="shared" si="3"/>
        <v/>
      </c>
      <c r="Q199" s="124"/>
      <c r="R199" s="124"/>
      <c r="S199" s="336" t="str">
        <f>IF(AND(G199=Polarity!L$6,I199=Polarity!L$6,H199=Polarity!L$6),Polarity!L$6,"")</f>
        <v/>
      </c>
    </row>
    <row r="200" spans="1:19" x14ac:dyDescent="0.2">
      <c r="B200" s="6" t="s">
        <v>141</v>
      </c>
      <c r="C200" s="309">
        <v>14.4</v>
      </c>
      <c r="D200" s="309">
        <v>3.5</v>
      </c>
      <c r="E200" s="309">
        <v>2.7</v>
      </c>
      <c r="F200" s="309">
        <v>10.51</v>
      </c>
      <c r="G200" s="97" t="s">
        <v>236</v>
      </c>
      <c r="H200" s="97" t="s">
        <v>236</v>
      </c>
      <c r="I200" s="100" t="s">
        <v>237</v>
      </c>
      <c r="K200" s="344" t="str">
        <f>IF(AND(G200=Polarity!L$4,I200=Polarity!L$4,H200=Polarity!L$4),Polarity!L$4,Polarity!L$6)</f>
        <v>Fail</v>
      </c>
      <c r="L200" s="345" t="str">
        <f>IF(K200=Polarity!L$4,B200,"")</f>
        <v/>
      </c>
      <c r="M200" s="346" t="str">
        <f>IF(AND(B200=L200,F200&gt;5),Polarity!L$5,"")</f>
        <v/>
      </c>
      <c r="O200" s="49"/>
      <c r="P200" s="174" t="str">
        <f t="shared" ref="P200:P223" si="4">IF(O200="no warnings",L200,"")</f>
        <v/>
      </c>
      <c r="Q200" s="124"/>
      <c r="R200" s="124"/>
      <c r="S200" s="336" t="str">
        <f>IF(AND(G200=Polarity!L$6,I200=Polarity!L$6,H200=Polarity!L$6),Polarity!L$6,"")</f>
        <v/>
      </c>
    </row>
    <row r="201" spans="1:19" x14ac:dyDescent="0.2">
      <c r="B201" s="2" t="s">
        <v>142</v>
      </c>
      <c r="C201" s="309">
        <v>14.8</v>
      </c>
      <c r="D201" s="309">
        <v>4.3</v>
      </c>
      <c r="E201" s="309">
        <v>5</v>
      </c>
      <c r="F201" s="309">
        <v>8.56</v>
      </c>
      <c r="G201" s="97" t="s">
        <v>236</v>
      </c>
      <c r="H201" s="97" t="s">
        <v>236</v>
      </c>
      <c r="I201" s="97" t="s">
        <v>236</v>
      </c>
      <c r="K201" s="344" t="str">
        <f>IF(AND(G201=Polarity!L$4,I201=Polarity!L$4,H201=Polarity!L$4),Polarity!L$4,Polarity!L$6)</f>
        <v>Fail</v>
      </c>
      <c r="L201" s="345" t="str">
        <f>IF(K201=Polarity!L$4,B201,"")</f>
        <v/>
      </c>
      <c r="M201" s="346" t="str">
        <f>IF(AND(B201=L201,F201&gt;5),Polarity!L$5,"")</f>
        <v/>
      </c>
      <c r="O201" s="49"/>
      <c r="P201" s="174" t="str">
        <f t="shared" si="4"/>
        <v/>
      </c>
      <c r="Q201" s="124"/>
      <c r="R201" s="124"/>
      <c r="S201" s="336" t="str">
        <f>IF(AND(G201=Polarity!L$6,I201=Polarity!L$6,H201=Polarity!L$6),Polarity!L$6,"")</f>
        <v>Fail</v>
      </c>
    </row>
    <row r="202" spans="1:19" x14ac:dyDescent="0.2">
      <c r="B202" s="2" t="s">
        <v>107</v>
      </c>
      <c r="C202" s="309">
        <v>18.3</v>
      </c>
      <c r="D202" s="309">
        <v>5.7</v>
      </c>
      <c r="E202" s="309">
        <v>0</v>
      </c>
      <c r="F202" s="309">
        <v>8.52</v>
      </c>
      <c r="G202" s="97" t="s">
        <v>236</v>
      </c>
      <c r="H202" s="97" t="s">
        <v>236</v>
      </c>
      <c r="I202" s="97" t="s">
        <v>236</v>
      </c>
      <c r="K202" s="344" t="str">
        <f>IF(AND(G202=Polarity!L$4,I202=Polarity!L$4,H202=Polarity!L$4),Polarity!L$4,Polarity!L$6)</f>
        <v>Fail</v>
      </c>
      <c r="L202" s="345" t="str">
        <f>IF(K202=Polarity!L$4,B202,"")</f>
        <v/>
      </c>
      <c r="M202" s="346" t="str">
        <f>IF(AND(B202=L202,F202&gt;5),Polarity!L$5,"")</f>
        <v/>
      </c>
      <c r="O202" s="49"/>
      <c r="P202" s="174" t="str">
        <f t="shared" si="4"/>
        <v/>
      </c>
      <c r="Q202" s="124"/>
      <c r="R202" s="124"/>
      <c r="S202" s="336" t="str">
        <f>IF(AND(G202=Polarity!L$6,I202=Polarity!L$6,H202=Polarity!L$6),Polarity!L$6,"")</f>
        <v>Fail</v>
      </c>
    </row>
    <row r="203" spans="1:19" x14ac:dyDescent="0.2">
      <c r="A203" s="407"/>
      <c r="B203" s="2" t="s">
        <v>57</v>
      </c>
      <c r="C203" s="309">
        <v>16.399999999999999</v>
      </c>
      <c r="D203" s="309">
        <v>9.4</v>
      </c>
      <c r="E203" s="309">
        <v>15.3</v>
      </c>
      <c r="F203" s="309">
        <v>8.25</v>
      </c>
      <c r="G203" s="97" t="s">
        <v>236</v>
      </c>
      <c r="H203" s="98" t="s">
        <v>235</v>
      </c>
      <c r="I203" s="98" t="s">
        <v>235</v>
      </c>
      <c r="K203" s="344" t="str">
        <f>IF(AND(G203=Polarity!L$4,I203=Polarity!L$4,H203=Polarity!L$4),Polarity!L$4,Polarity!L$6)</f>
        <v>Fail</v>
      </c>
      <c r="L203" s="345" t="str">
        <f>IF(K203=Polarity!L$4,B203,"")</f>
        <v/>
      </c>
      <c r="M203" s="346" t="str">
        <f>IF(AND(B203=L203,F203&gt;5),Polarity!L$5,"")</f>
        <v/>
      </c>
      <c r="O203" s="49"/>
      <c r="P203" s="174" t="str">
        <f t="shared" si="4"/>
        <v/>
      </c>
      <c r="Q203" s="124"/>
      <c r="R203" s="124"/>
      <c r="S203" s="336" t="str">
        <f>IF(AND(G203=Polarity!L$6,I203=Polarity!L$6,H203=Polarity!L$6),Polarity!L$6,"")</f>
        <v/>
      </c>
    </row>
    <row r="204" spans="1:19" x14ac:dyDescent="0.2">
      <c r="B204" s="6" t="s">
        <v>143</v>
      </c>
      <c r="C204" s="311">
        <v>16.8</v>
      </c>
      <c r="D204" s="311">
        <v>5.7</v>
      </c>
      <c r="E204" s="311">
        <v>8</v>
      </c>
      <c r="F204" s="311">
        <v>4.34</v>
      </c>
      <c r="G204" s="98" t="s">
        <v>235</v>
      </c>
      <c r="H204" s="97" t="s">
        <v>236</v>
      </c>
      <c r="I204" s="97" t="s">
        <v>236</v>
      </c>
      <c r="K204" s="344" t="str">
        <f>IF(AND(G204=Polarity!L$4,I204=Polarity!L$4,H204=Polarity!L$4),Polarity!L$4,Polarity!L$6)</f>
        <v>Fail</v>
      </c>
      <c r="L204" s="345" t="str">
        <f>IF(K204=Polarity!L$4,B204,"")</f>
        <v/>
      </c>
      <c r="M204" s="346" t="str">
        <f>IF(AND(B204=L204,F204&gt;5),Polarity!L$5,"")</f>
        <v/>
      </c>
      <c r="O204" s="49"/>
      <c r="P204" s="174" t="str">
        <f t="shared" si="4"/>
        <v/>
      </c>
      <c r="Q204" s="124"/>
      <c r="R204" s="124"/>
      <c r="S204" s="336" t="str">
        <f>IF(AND(G204=Polarity!L$6,I204=Polarity!L$6,H204=Polarity!L$6),Polarity!L$6,"")</f>
        <v/>
      </c>
    </row>
    <row r="205" spans="1:19" x14ac:dyDescent="0.2">
      <c r="A205" s="407"/>
      <c r="B205" s="2" t="s">
        <v>47</v>
      </c>
      <c r="C205" s="312">
        <v>17.8</v>
      </c>
      <c r="D205" s="312">
        <v>8.1999999999999993</v>
      </c>
      <c r="E205" s="312">
        <v>12.9</v>
      </c>
      <c r="F205" s="312">
        <v>5.33</v>
      </c>
      <c r="G205" s="181" t="s">
        <v>235</v>
      </c>
      <c r="H205" s="98" t="s">
        <v>235</v>
      </c>
      <c r="I205" s="98" t="s">
        <v>235</v>
      </c>
      <c r="K205" s="344" t="str">
        <f>IF(AND(G205=Polarity!L$4,I205=Polarity!L$4,H205=Polarity!L$4),Polarity!L$4,Polarity!L$6)</f>
        <v>Pass</v>
      </c>
      <c r="L205" s="345" t="str">
        <f>IF(K205=Polarity!L$4,B205,"")</f>
        <v>Tetrahydrofurfuryl alcohol</v>
      </c>
      <c r="M205" s="346" t="str">
        <f>IF(AND(B205=L205,F205&gt;5),Polarity!L$5,"")</f>
        <v>Borderline (still considered a pass)</v>
      </c>
      <c r="O205" s="99" t="s">
        <v>238</v>
      </c>
      <c r="P205" s="174" t="str">
        <f t="shared" si="4"/>
        <v/>
      </c>
      <c r="Q205" s="124"/>
      <c r="R205" s="124"/>
      <c r="S205" s="336" t="str">
        <f>IF(AND(G205=Polarity!L$6,I205=Polarity!L$6,H205=Polarity!L$6),Polarity!L$6,"")</f>
        <v/>
      </c>
    </row>
    <row r="206" spans="1:19" x14ac:dyDescent="0.2">
      <c r="B206" s="2" t="s">
        <v>175</v>
      </c>
      <c r="C206" s="309">
        <v>18</v>
      </c>
      <c r="D206" s="309">
        <v>1.4</v>
      </c>
      <c r="E206" s="309">
        <v>2</v>
      </c>
      <c r="F206" s="309">
        <v>9.74</v>
      </c>
      <c r="G206" s="97" t="s">
        <v>236</v>
      </c>
      <c r="H206" s="97" t="s">
        <v>236</v>
      </c>
      <c r="I206" s="97" t="s">
        <v>236</v>
      </c>
      <c r="K206" s="344" t="str">
        <f>IF(AND(G206=Polarity!L$4,I206=Polarity!L$4,H206=Polarity!L$4),Polarity!L$4,Polarity!L$6)</f>
        <v>Fail</v>
      </c>
      <c r="L206" s="345" t="str">
        <f>IF(K206=Polarity!L$4,B206,"")</f>
        <v/>
      </c>
      <c r="M206" s="346" t="str">
        <f>IF(AND(B206=L206,F206&gt;5),Polarity!L$5,"")</f>
        <v/>
      </c>
      <c r="O206" s="49"/>
      <c r="P206" s="174" t="str">
        <f t="shared" si="4"/>
        <v/>
      </c>
      <c r="Q206" s="124"/>
      <c r="R206" s="124"/>
      <c r="S206" s="336" t="str">
        <f>IF(AND(G206=Polarity!L$6,I206=Polarity!L$6,H206=Polarity!L$6),Polarity!L$6,"")</f>
        <v>Fail</v>
      </c>
    </row>
    <row r="207" spans="1:19" x14ac:dyDescent="0.2">
      <c r="A207" s="407"/>
      <c r="B207" s="2" t="s">
        <v>58</v>
      </c>
      <c r="C207" s="309">
        <v>16</v>
      </c>
      <c r="D207" s="309">
        <v>12.5</v>
      </c>
      <c r="E207" s="309">
        <v>18.600000000000001</v>
      </c>
      <c r="F207" s="309">
        <v>12.04</v>
      </c>
      <c r="G207" s="97" t="s">
        <v>236</v>
      </c>
      <c r="H207" s="97" t="s">
        <v>236</v>
      </c>
      <c r="I207" s="98" t="s">
        <v>235</v>
      </c>
      <c r="K207" s="344" t="str">
        <f>IF(AND(G207=Polarity!L$4,I207=Polarity!L$4,H207=Polarity!L$4),Polarity!L$4,Polarity!L$6)</f>
        <v>Fail</v>
      </c>
      <c r="L207" s="345" t="str">
        <f>IF(K207=Polarity!L$4,B207,"")</f>
        <v/>
      </c>
      <c r="M207" s="346" t="str">
        <f>IF(AND(B207=L207,F207&gt;5),Polarity!L$5,"")</f>
        <v/>
      </c>
      <c r="O207" s="49"/>
      <c r="P207" s="174" t="str">
        <f t="shared" si="4"/>
        <v/>
      </c>
      <c r="Q207" s="124"/>
      <c r="R207" s="124"/>
      <c r="S207" s="336" t="str">
        <f>IF(AND(G207=Polarity!L$6,I207=Polarity!L$6,H207=Polarity!L$6),Polarity!L$6,"")</f>
        <v/>
      </c>
    </row>
    <row r="208" spans="1:19" x14ac:dyDescent="0.2">
      <c r="A208" s="407"/>
      <c r="B208" s="2" t="s">
        <v>330</v>
      </c>
      <c r="C208" s="312">
        <v>16.5</v>
      </c>
      <c r="D208" s="312">
        <v>4.5</v>
      </c>
      <c r="E208" s="312">
        <v>9.1</v>
      </c>
      <c r="F208" s="312">
        <v>5.83</v>
      </c>
      <c r="G208" s="181" t="s">
        <v>235</v>
      </c>
      <c r="H208" s="98" t="s">
        <v>235</v>
      </c>
      <c r="I208" s="98" t="s">
        <v>235</v>
      </c>
      <c r="K208" s="344" t="str">
        <f>IF(AND(G208=Polarity!L$4,I208=Polarity!L$4,H208=Polarity!L$4),Polarity!L$4,Polarity!L$6)</f>
        <v>Pass</v>
      </c>
      <c r="L208" s="345" t="str">
        <f>IF(K208=Polarity!L$4,B208,"")</f>
        <v>Triacetin</v>
      </c>
      <c r="M208" s="346" t="str">
        <f>IF(AND(B208=L208,F208&gt;5),Polarity!L$5,"")</f>
        <v>Borderline (still considered a pass)</v>
      </c>
      <c r="O208" s="44" t="s">
        <v>241</v>
      </c>
      <c r="P208" s="174" t="str">
        <f t="shared" si="4"/>
        <v>Triacetin</v>
      </c>
      <c r="Q208" s="414">
        <f>0.019/0.018</f>
        <v>1.0555555555555556</v>
      </c>
      <c r="R208" s="411" t="s">
        <v>463</v>
      </c>
      <c r="S208" s="336" t="str">
        <f>IF(AND(G208=Polarity!L$6,I208=Polarity!L$6,H208=Polarity!L$6),Polarity!L$6,"")</f>
        <v/>
      </c>
    </row>
    <row r="209" spans="1:19" x14ac:dyDescent="0.2">
      <c r="A209" s="407"/>
      <c r="B209" s="2" t="s">
        <v>82</v>
      </c>
      <c r="C209" s="309">
        <v>15.7</v>
      </c>
      <c r="D209" s="309">
        <v>2.2000000000000002</v>
      </c>
      <c r="E209" s="309">
        <v>2.1</v>
      </c>
      <c r="F209" s="309">
        <v>10.15</v>
      </c>
      <c r="G209" s="97" t="s">
        <v>236</v>
      </c>
      <c r="H209" s="97" t="s">
        <v>236</v>
      </c>
      <c r="I209" s="98" t="s">
        <v>235</v>
      </c>
      <c r="K209" s="344" t="str">
        <f>IF(AND(G209=Polarity!L$4,I209=Polarity!L$4,H209=Polarity!L$4),Polarity!L$4,Polarity!L$6)</f>
        <v>Fail</v>
      </c>
      <c r="L209" s="345" t="str">
        <f>IF(K209=Polarity!L$4,B209,"")</f>
        <v/>
      </c>
      <c r="M209" s="346" t="str">
        <f>IF(AND(B209=L209,F209&gt;5),Polarity!L$5,"")</f>
        <v/>
      </c>
      <c r="O209" s="49"/>
      <c r="P209" s="174" t="str">
        <f t="shared" si="4"/>
        <v/>
      </c>
      <c r="Q209" s="124"/>
      <c r="R209" s="124"/>
      <c r="S209" s="336" t="str">
        <f>IF(AND(G209=Polarity!L$6,I209=Polarity!L$6,H209=Polarity!L$6),Polarity!L$6,"")</f>
        <v/>
      </c>
    </row>
    <row r="210" spans="1:19" x14ac:dyDescent="0.2">
      <c r="A210" s="407"/>
      <c r="B210" s="6" t="s">
        <v>202</v>
      </c>
      <c r="C210" s="312">
        <v>16.3</v>
      </c>
      <c r="D210" s="312">
        <v>6.3</v>
      </c>
      <c r="E210" s="312">
        <v>4.3</v>
      </c>
      <c r="F210" s="312">
        <v>5.67</v>
      </c>
      <c r="G210" s="181" t="s">
        <v>235</v>
      </c>
      <c r="H210" s="97" t="s">
        <v>236</v>
      </c>
      <c r="I210" s="98" t="s">
        <v>235</v>
      </c>
      <c r="K210" s="344" t="str">
        <f>IF(AND(G210=Polarity!L$4,I210=Polarity!L$4,H210=Polarity!L$4),Polarity!L$4,Polarity!L$6)</f>
        <v>Fail</v>
      </c>
      <c r="L210" s="345" t="str">
        <f>IF(K210=Polarity!L$4,B210,"")</f>
        <v/>
      </c>
      <c r="M210" s="346" t="str">
        <f>IF(AND(B210=L210,F210&gt;5),Polarity!L$5,"")</f>
        <v/>
      </c>
      <c r="O210" s="49"/>
      <c r="P210" s="174" t="str">
        <f t="shared" si="4"/>
        <v/>
      </c>
      <c r="Q210" s="124"/>
      <c r="R210" s="124"/>
      <c r="S210" s="336" t="str">
        <f>IF(AND(G210=Polarity!L$6,I210=Polarity!L$6,H210=Polarity!L$6),Polarity!L$6,"")</f>
        <v/>
      </c>
    </row>
    <row r="211" spans="1:19" x14ac:dyDescent="0.2">
      <c r="B211" s="6" t="s">
        <v>10</v>
      </c>
      <c r="C211" s="312">
        <v>18.3</v>
      </c>
      <c r="D211" s="312">
        <v>7</v>
      </c>
      <c r="E211" s="312">
        <v>13</v>
      </c>
      <c r="F211" s="312">
        <v>5.81</v>
      </c>
      <c r="G211" s="181" t="s">
        <v>235</v>
      </c>
      <c r="H211" s="97" t="s">
        <v>236</v>
      </c>
      <c r="I211" s="97" t="s">
        <v>236</v>
      </c>
      <c r="K211" s="344" t="str">
        <f>IF(AND(G211=Polarity!L$4,I211=Polarity!L$4,H211=Polarity!L$4),Polarity!L$4,Polarity!L$6)</f>
        <v>Fail</v>
      </c>
      <c r="L211" s="345" t="str">
        <f>IF(K211=Polarity!L$4,B211,"")</f>
        <v/>
      </c>
      <c r="M211" s="346" t="str">
        <f>IF(AND(B211=L211,F211&gt;5),Polarity!L$5,"")</f>
        <v/>
      </c>
      <c r="O211" s="49"/>
      <c r="P211" s="174" t="str">
        <f t="shared" si="4"/>
        <v/>
      </c>
      <c r="Q211" s="124"/>
      <c r="R211" s="124"/>
      <c r="S211" s="336" t="str">
        <f>IF(AND(G211=Polarity!L$6,I211=Polarity!L$6,H211=Polarity!L$6),Polarity!L$6,"")</f>
        <v/>
      </c>
    </row>
    <row r="212" spans="1:19" x14ac:dyDescent="0.2">
      <c r="A212" s="408"/>
      <c r="B212" s="2" t="s">
        <v>108</v>
      </c>
      <c r="C212" s="309">
        <v>18</v>
      </c>
      <c r="D212" s="309">
        <v>3.1</v>
      </c>
      <c r="E212" s="309">
        <v>5.3</v>
      </c>
      <c r="F212" s="309">
        <v>6.65</v>
      </c>
      <c r="G212" s="97" t="s">
        <v>236</v>
      </c>
      <c r="H212" s="97" t="s">
        <v>236</v>
      </c>
      <c r="I212" s="97" t="s">
        <v>236</v>
      </c>
      <c r="K212" s="344" t="str">
        <f>IF(AND(G212=Polarity!L$4,I212=Polarity!L$4,H212=Polarity!L$4),Polarity!L$4,Polarity!L$6)</f>
        <v>Fail</v>
      </c>
      <c r="L212" s="345" t="str">
        <f>IF(K212=Polarity!L$4,B212,"")</f>
        <v/>
      </c>
      <c r="M212" s="346" t="str">
        <f>IF(AND(B212=L212,F212&gt;5),Polarity!L$5,"")</f>
        <v/>
      </c>
      <c r="O212" s="49"/>
      <c r="P212" s="174" t="str">
        <f t="shared" si="4"/>
        <v/>
      </c>
      <c r="Q212" s="124"/>
      <c r="R212" s="124"/>
      <c r="S212" s="336" t="str">
        <f>IF(AND(G212=Polarity!L$6,I212=Polarity!L$6,H212=Polarity!L$6),Polarity!L$6,"")</f>
        <v>Fail</v>
      </c>
    </row>
    <row r="213" spans="1:19" x14ac:dyDescent="0.2">
      <c r="B213" s="6" t="s">
        <v>83</v>
      </c>
      <c r="C213" s="309">
        <v>15.5</v>
      </c>
      <c r="D213" s="309">
        <v>0.4</v>
      </c>
      <c r="E213" s="309">
        <v>1</v>
      </c>
      <c r="F213" s="309">
        <v>12.21</v>
      </c>
      <c r="G213" s="97" t="s">
        <v>236</v>
      </c>
      <c r="H213" s="97" t="s">
        <v>236</v>
      </c>
      <c r="I213" s="97" t="s">
        <v>236</v>
      </c>
      <c r="K213" s="344" t="str">
        <f>IF(AND(G213=Polarity!L$4,I213=Polarity!L$4,H213=Polarity!L$4),Polarity!L$4,Polarity!L$6)</f>
        <v>Fail</v>
      </c>
      <c r="L213" s="345" t="str">
        <f>IF(K213=Polarity!L$4,B213,"")</f>
        <v/>
      </c>
      <c r="M213" s="346" t="str">
        <f>IF(AND(B213=L213,F213&gt;5),Polarity!L$5,"")</f>
        <v/>
      </c>
      <c r="O213" s="49"/>
      <c r="P213" s="174" t="str">
        <f t="shared" si="4"/>
        <v/>
      </c>
      <c r="Q213" s="124"/>
      <c r="R213" s="124"/>
      <c r="S213" s="336" t="str">
        <f>IF(AND(G213=Polarity!L$6,I213=Polarity!L$6,H213=Polarity!L$6),Polarity!L$6,"")</f>
        <v>Fail</v>
      </c>
    </row>
    <row r="214" spans="1:19" x14ac:dyDescent="0.2">
      <c r="A214" s="407"/>
      <c r="B214" s="6" t="s">
        <v>438</v>
      </c>
      <c r="C214" s="308">
        <v>16.5</v>
      </c>
      <c r="D214" s="308">
        <v>4.9000000000000004</v>
      </c>
      <c r="E214" s="308">
        <v>12</v>
      </c>
      <c r="F214" s="308">
        <v>6.84</v>
      </c>
      <c r="G214" s="97" t="s">
        <v>236</v>
      </c>
      <c r="H214" s="100" t="s">
        <v>237</v>
      </c>
      <c r="I214" s="98" t="s">
        <v>235</v>
      </c>
      <c r="K214" s="344" t="str">
        <f>IF(AND(G214=Polarity!L$4,I214=Polarity!L$4,H214=Polarity!L$4),Polarity!L$4,Polarity!L$6)</f>
        <v>Fail</v>
      </c>
      <c r="L214" s="345" t="str">
        <f>IF(K214=Polarity!L$4,B214,"")</f>
        <v/>
      </c>
      <c r="M214" s="346" t="str">
        <f>IF(AND(B214=L214,F214&gt;5),Polarity!L$5,"")</f>
        <v/>
      </c>
      <c r="O214" s="49"/>
      <c r="P214" s="174" t="str">
        <f t="shared" si="4"/>
        <v/>
      </c>
      <c r="Q214" s="124"/>
      <c r="R214" s="124"/>
      <c r="S214" s="336" t="str">
        <f>IF(AND(G214=Polarity!L$6,I214=Polarity!L$6,H214=Polarity!L$6),Polarity!L$6,"")</f>
        <v/>
      </c>
    </row>
    <row r="215" spans="1:19" x14ac:dyDescent="0.2">
      <c r="A215" s="407"/>
      <c r="B215" s="7" t="s">
        <v>154</v>
      </c>
      <c r="C215" s="312">
        <v>15.9</v>
      </c>
      <c r="D215" s="312">
        <v>5.9</v>
      </c>
      <c r="E215" s="312">
        <v>6.4</v>
      </c>
      <c r="F215" s="312">
        <v>5.56</v>
      </c>
      <c r="G215" s="181" t="s">
        <v>235</v>
      </c>
      <c r="H215" s="97" t="s">
        <v>236</v>
      </c>
      <c r="I215" s="98" t="s">
        <v>235</v>
      </c>
      <c r="K215" s="344" t="str">
        <f>IF(AND(G215=Polarity!L$4,I215=Polarity!L$4,H215=Polarity!L$4),Polarity!L$4,Polarity!L$6)</f>
        <v>Fail</v>
      </c>
      <c r="L215" s="345" t="str">
        <f>IF(K215=Polarity!L$4,B215,"")</f>
        <v/>
      </c>
      <c r="M215" s="346" t="str">
        <f>IF(AND(B215=L215,F215&gt;5),Polarity!L$5,"")</f>
        <v/>
      </c>
      <c r="O215" s="49"/>
      <c r="P215" s="174" t="str">
        <f t="shared" si="4"/>
        <v/>
      </c>
      <c r="Q215" s="124"/>
      <c r="R215" s="124"/>
      <c r="S215" s="336" t="str">
        <f>IF(AND(G215=Polarity!L$6,I215=Polarity!L$6,H215=Polarity!L$6),Polarity!L$6,"")</f>
        <v/>
      </c>
    </row>
    <row r="216" spans="1:19" x14ac:dyDescent="0.2">
      <c r="B216" s="6" t="s">
        <v>203</v>
      </c>
      <c r="C216" s="311">
        <v>16.7</v>
      </c>
      <c r="D216" s="311">
        <v>11.4</v>
      </c>
      <c r="E216" s="311">
        <v>9.1999999999999993</v>
      </c>
      <c r="F216" s="311">
        <v>3.66</v>
      </c>
      <c r="G216" s="98" t="s">
        <v>235</v>
      </c>
      <c r="H216" s="98" t="s">
        <v>235</v>
      </c>
      <c r="I216" s="100" t="s">
        <v>237</v>
      </c>
      <c r="K216" s="344" t="str">
        <f>IF(AND(G216=Polarity!L$4,I216=Polarity!L$4,H216=Polarity!L$4),Polarity!L$4,Polarity!L$6)</f>
        <v>Fail</v>
      </c>
      <c r="L216" s="345" t="str">
        <f>IF(K216=Polarity!L$4,B216,"")</f>
        <v/>
      </c>
      <c r="M216" s="346" t="str">
        <f>IF(AND(B216=L216,F216&gt;5),Polarity!L$5,"")</f>
        <v/>
      </c>
      <c r="O216" s="49"/>
      <c r="P216" s="174" t="str">
        <f t="shared" si="4"/>
        <v/>
      </c>
      <c r="Q216" s="124"/>
      <c r="R216" s="124"/>
      <c r="S216" s="336" t="str">
        <f>IF(AND(G216=Polarity!L$6,I216=Polarity!L$6,H216=Polarity!L$6),Polarity!L$6,"")</f>
        <v/>
      </c>
    </row>
    <row r="217" spans="1:19" x14ac:dyDescent="0.2">
      <c r="A217" s="407"/>
      <c r="B217" s="6" t="s">
        <v>85</v>
      </c>
      <c r="C217" s="309">
        <v>15.5</v>
      </c>
      <c r="D217" s="309">
        <v>16</v>
      </c>
      <c r="E217" s="309">
        <v>42.3</v>
      </c>
      <c r="F217" s="309">
        <v>35.6</v>
      </c>
      <c r="G217" s="97" t="s">
        <v>236</v>
      </c>
      <c r="H217" s="97" t="s">
        <v>236</v>
      </c>
      <c r="I217" s="98" t="s">
        <v>235</v>
      </c>
      <c r="K217" s="344" t="str">
        <f>IF(AND(G217=Polarity!L$4,I217=Polarity!L$4,H217=Polarity!L$4),Polarity!L$4,Polarity!L$6)</f>
        <v>Fail</v>
      </c>
      <c r="L217" s="345" t="str">
        <f>IF(K217=Polarity!L$4,B217,"")</f>
        <v/>
      </c>
      <c r="M217" s="346" t="str">
        <f>IF(AND(B217=L217,F217&gt;5),Polarity!L$5,"")</f>
        <v/>
      </c>
      <c r="O217" s="49"/>
      <c r="P217" s="174" t="str">
        <f t="shared" si="4"/>
        <v/>
      </c>
      <c r="Q217" s="124"/>
      <c r="R217" s="124"/>
      <c r="S217" s="336" t="str">
        <f>IF(AND(G217=Polarity!L$6,I217=Polarity!L$6,H217=Polarity!L$6),Polarity!L$6,"")</f>
        <v/>
      </c>
    </row>
    <row r="218" spans="1:19" x14ac:dyDescent="0.2">
      <c r="B218" s="6" t="s">
        <v>109</v>
      </c>
      <c r="C218" s="312">
        <v>17</v>
      </c>
      <c r="D218" s="312">
        <v>8</v>
      </c>
      <c r="E218" s="312">
        <v>3.2</v>
      </c>
      <c r="F218" s="312">
        <v>5.09</v>
      </c>
      <c r="G218" s="181" t="s">
        <v>235</v>
      </c>
      <c r="H218" s="97" t="s">
        <v>236</v>
      </c>
      <c r="I218" s="97" t="s">
        <v>236</v>
      </c>
      <c r="K218" s="344" t="str">
        <f>IF(AND(G218=Polarity!L$4,I218=Polarity!L$4,H218=Polarity!L$4),Polarity!L$4,Polarity!L$6)</f>
        <v>Fail</v>
      </c>
      <c r="L218" s="345" t="str">
        <f>IF(K218=Polarity!L$4,B218,"")</f>
        <v/>
      </c>
      <c r="M218" s="346" t="str">
        <f>IF(AND(B218=L218,F218&gt;5),Polarity!L$5,"")</f>
        <v/>
      </c>
      <c r="O218" s="49"/>
      <c r="P218" s="174" t="str">
        <f t="shared" si="4"/>
        <v/>
      </c>
      <c r="Q218" s="124"/>
      <c r="R218" s="124"/>
      <c r="S218" s="336" t="str">
        <f>IF(AND(G218=Polarity!L$6,I218=Polarity!L$6,H218=Polarity!L$6),Polarity!L$6,"")</f>
        <v/>
      </c>
    </row>
    <row r="219" spans="1:19" x14ac:dyDescent="0.2">
      <c r="A219" s="407"/>
      <c r="B219" s="6" t="s">
        <v>176</v>
      </c>
      <c r="C219" s="309">
        <v>16.399999999999999</v>
      </c>
      <c r="D219" s="309">
        <v>1.1000000000000001</v>
      </c>
      <c r="E219" s="309">
        <v>2.2000000000000002</v>
      </c>
      <c r="F219" s="309">
        <v>10.38</v>
      </c>
      <c r="G219" s="97" t="s">
        <v>236</v>
      </c>
      <c r="H219" s="97" t="s">
        <v>236</v>
      </c>
      <c r="I219" s="98" t="s">
        <v>235</v>
      </c>
      <c r="K219" s="344" t="str">
        <f>IF(AND(G219=Polarity!L$4,I219=Polarity!L$4,H219=Polarity!L$4),Polarity!L$4,Polarity!L$6)</f>
        <v>Fail</v>
      </c>
      <c r="L219" s="345" t="str">
        <f>IF(K219=Polarity!L$4,B219,"")</f>
        <v/>
      </c>
      <c r="M219" s="346" t="str">
        <f>IF(AND(B219=L219,F219&gt;5),Polarity!L$5,"")</f>
        <v/>
      </c>
      <c r="O219" s="49"/>
      <c r="P219" s="174" t="str">
        <f t="shared" si="4"/>
        <v/>
      </c>
      <c r="Q219" s="124"/>
      <c r="R219" s="124"/>
      <c r="S219" s="336" t="str">
        <f>IF(AND(G219=Polarity!L$6,I219=Polarity!L$6,H219=Polarity!L$6),Polarity!L$6,"")</f>
        <v/>
      </c>
    </row>
    <row r="220" spans="1:19" x14ac:dyDescent="0.2">
      <c r="A220" s="407"/>
      <c r="B220" s="2" t="s">
        <v>29</v>
      </c>
      <c r="C220" s="312">
        <v>17.100000000000001</v>
      </c>
      <c r="D220" s="312">
        <v>3.6</v>
      </c>
      <c r="E220" s="312">
        <v>7.6</v>
      </c>
      <c r="F220" s="312">
        <v>5.98</v>
      </c>
      <c r="G220" s="181" t="s">
        <v>235</v>
      </c>
      <c r="H220" s="97" t="s">
        <v>236</v>
      </c>
      <c r="I220" s="98" t="s">
        <v>235</v>
      </c>
      <c r="K220" s="344" t="str">
        <f>IF(AND(G220=Polarity!L$4,I220=Polarity!L$4,H220=Polarity!L$4),Polarity!L$4,Polarity!L$6)</f>
        <v>Fail</v>
      </c>
      <c r="L220" s="345" t="str">
        <f>IF(K220=Polarity!L$4,B220,"")</f>
        <v/>
      </c>
      <c r="M220" s="346" t="str">
        <f>IF(AND(B220=L220,F220&gt;5),Polarity!L$5,"")</f>
        <v/>
      </c>
      <c r="O220" s="49"/>
      <c r="P220" s="174" t="str">
        <f t="shared" si="4"/>
        <v/>
      </c>
      <c r="Q220" s="124"/>
      <c r="R220" s="124"/>
      <c r="S220" s="336" t="str">
        <f>IF(AND(G220=Polarity!L$6,I220=Polarity!L$6,H220=Polarity!L$6),Polarity!L$6,"")</f>
        <v/>
      </c>
    </row>
    <row r="221" spans="1:19" x14ac:dyDescent="0.2">
      <c r="A221" s="407"/>
      <c r="B221" s="2" t="s">
        <v>177</v>
      </c>
      <c r="C221" s="309">
        <v>16.3</v>
      </c>
      <c r="D221" s="309">
        <v>1.1000000000000001</v>
      </c>
      <c r="E221" s="309">
        <v>1.9</v>
      </c>
      <c r="F221" s="309">
        <v>10.6</v>
      </c>
      <c r="G221" s="97" t="s">
        <v>236</v>
      </c>
      <c r="H221" s="97" t="s">
        <v>236</v>
      </c>
      <c r="I221" s="98" t="s">
        <v>235</v>
      </c>
      <c r="K221" s="344" t="str">
        <f>IF(AND(G221=Polarity!L$4,I221=Polarity!L$4,H221=Polarity!L$4),Polarity!L$4,Polarity!L$6)</f>
        <v>Fail</v>
      </c>
      <c r="L221" s="345" t="str">
        <f>IF(K221=Polarity!L$4,B221,"")</f>
        <v/>
      </c>
      <c r="M221" s="346" t="str">
        <f>IF(AND(B221=L221,F221&gt;5),Polarity!L$5,"")</f>
        <v/>
      </c>
      <c r="O221" s="49"/>
      <c r="P221" s="174" t="str">
        <f t="shared" si="4"/>
        <v/>
      </c>
      <c r="Q221" s="124"/>
      <c r="R221" s="124"/>
      <c r="S221" s="336" t="str">
        <f>IF(AND(G221=Polarity!L$6,I221=Polarity!L$6,H221=Polarity!L$6),Polarity!L$6,"")</f>
        <v/>
      </c>
    </row>
    <row r="222" spans="1:19" x14ac:dyDescent="0.2">
      <c r="A222" s="407"/>
      <c r="B222" s="7" t="s">
        <v>261</v>
      </c>
      <c r="C222" s="309">
        <v>18</v>
      </c>
      <c r="D222" s="309">
        <v>16.600000000000001</v>
      </c>
      <c r="E222" s="309">
        <v>7.4</v>
      </c>
      <c r="F222" s="309">
        <v>7.31</v>
      </c>
      <c r="G222" s="97" t="s">
        <v>236</v>
      </c>
      <c r="H222" s="98" t="s">
        <v>235</v>
      </c>
      <c r="I222" s="98" t="s">
        <v>235</v>
      </c>
      <c r="K222" s="344" t="str">
        <f>IF(AND(G222=Polarity!L$4,I222=Polarity!L$4,H222=Polarity!L$4),Polarity!L$4,Polarity!L$6)</f>
        <v>Fail</v>
      </c>
      <c r="L222" s="345" t="str">
        <f>IF(K222=Polarity!L$4,B222,"")</f>
        <v/>
      </c>
      <c r="M222" s="346" t="str">
        <f>IF(AND(B222=L222,F222&gt;5),Polarity!L$5,"")</f>
        <v/>
      </c>
      <c r="O222" s="49"/>
      <c r="P222" s="174" t="str">
        <f t="shared" si="4"/>
        <v/>
      </c>
      <c r="Q222" s="124"/>
      <c r="R222" s="124"/>
      <c r="S222" s="336" t="str">
        <f>IF(AND(G222=Polarity!L$6,I222=Polarity!L$6,H222=Polarity!L$6),Polarity!L$6,"")</f>
        <v/>
      </c>
    </row>
    <row r="223" spans="1:19" x14ac:dyDescent="0.2">
      <c r="A223" s="407"/>
      <c r="B223" s="6" t="s">
        <v>340</v>
      </c>
      <c r="C223" s="335">
        <v>16.899999999999999</v>
      </c>
      <c r="D223" s="335">
        <v>11.5</v>
      </c>
      <c r="E223" s="335">
        <v>6.3</v>
      </c>
      <c r="F223" s="335">
        <v>3.41</v>
      </c>
      <c r="G223" s="98" t="s">
        <v>235</v>
      </c>
      <c r="H223" s="100" t="s">
        <v>237</v>
      </c>
      <c r="I223" s="98" t="s">
        <v>235</v>
      </c>
      <c r="K223" s="344" t="str">
        <f>IF(AND(G223=Polarity!L$4,I223=Polarity!L$4,H223=Polarity!L$4),Polarity!L$4,Polarity!L$6)</f>
        <v>Fail</v>
      </c>
      <c r="L223" s="345" t="str">
        <f>IF(K223=Polarity!L$4,B223,"")</f>
        <v/>
      </c>
      <c r="M223" s="346" t="str">
        <f>IF(AND(B223=L223,F223&gt;5),Polarity!L$5,"")</f>
        <v/>
      </c>
      <c r="O223" s="49"/>
      <c r="P223" s="174" t="str">
        <f t="shared" si="4"/>
        <v/>
      </c>
      <c r="Q223" s="124"/>
      <c r="R223" s="124"/>
      <c r="S223" s="336" t="str">
        <f>IF(AND(G223=Polarity!L$6,I223=Polarity!L$6,H223=Polarity!L$6),Polarity!L$6,"")</f>
        <v/>
      </c>
    </row>
    <row r="224" spans="1:19" x14ac:dyDescent="0.2">
      <c r="L224" s="46"/>
      <c r="O224" s="46"/>
      <c r="P224" s="41"/>
      <c r="Q224" s="340"/>
      <c r="R224" s="340"/>
    </row>
    <row r="225" spans="2:19" x14ac:dyDescent="0.2">
      <c r="B225" s="190" t="s">
        <v>348</v>
      </c>
      <c r="C225" s="342">
        <f>COUNTA(B7:B223)-COUNTIF(S7:S223,Polarity!L6)</f>
        <v>178</v>
      </c>
      <c r="D225" s="349"/>
      <c r="E225" s="349"/>
      <c r="F225" s="349"/>
      <c r="G225" s="350">
        <f>COUNTIF(G7:G223,"PASS")</f>
        <v>80</v>
      </c>
      <c r="H225" s="351">
        <f>COUNTIF(H7:H223,"PASS")</f>
        <v>53</v>
      </c>
      <c r="I225" s="348">
        <f>COUNTIF(I7:I223,"PASS")</f>
        <v>130</v>
      </c>
      <c r="K225" s="190" t="s">
        <v>350</v>
      </c>
      <c r="L225" s="192"/>
      <c r="M225" s="412">
        <f>COUNTA(L7:L223)-COUNTIF(L7:L223,"")</f>
        <v>22</v>
      </c>
      <c r="P225" s="190" t="s">
        <v>350</v>
      </c>
      <c r="Q225" s="192"/>
      <c r="R225" s="342">
        <f>COUNTA(P7:P223)-COUNTIF(P7:P223,"")</f>
        <v>8</v>
      </c>
      <c r="S225" s="39"/>
    </row>
    <row r="226" spans="2:19" x14ac:dyDescent="0.2">
      <c r="L226" s="46"/>
      <c r="O226" s="46"/>
      <c r="P226" s="41"/>
      <c r="Q226" s="340"/>
      <c r="R226" s="340"/>
      <c r="S226" s="39"/>
    </row>
    <row r="227" spans="2:19" x14ac:dyDescent="0.2">
      <c r="L227" s="46"/>
      <c r="O227" s="46"/>
      <c r="P227" s="41"/>
      <c r="Q227" s="340"/>
      <c r="R227" s="340"/>
      <c r="S227" s="39"/>
    </row>
    <row r="228" spans="2:19" x14ac:dyDescent="0.2">
      <c r="L228" s="46"/>
      <c r="O228" s="46"/>
      <c r="P228" s="41"/>
      <c r="Q228" s="340"/>
      <c r="R228" s="340"/>
      <c r="S228" s="39"/>
    </row>
    <row r="229" spans="2:19" x14ac:dyDescent="0.2">
      <c r="L229" s="46"/>
      <c r="O229" s="46"/>
      <c r="P229" s="41"/>
      <c r="Q229" s="340"/>
      <c r="R229" s="340"/>
      <c r="S229" s="39"/>
    </row>
    <row r="230" spans="2:19" x14ac:dyDescent="0.2">
      <c r="L230" s="46"/>
      <c r="O230" s="46"/>
      <c r="P230" s="41"/>
      <c r="Q230" s="340"/>
      <c r="R230" s="340"/>
      <c r="S230" s="39"/>
    </row>
    <row r="231" spans="2:19" x14ac:dyDescent="0.2">
      <c r="L231" s="46"/>
      <c r="O231" s="46"/>
      <c r="P231" s="41"/>
      <c r="Q231" s="340"/>
      <c r="R231" s="340"/>
      <c r="S231" s="39"/>
    </row>
    <row r="232" spans="2:19" x14ac:dyDescent="0.2">
      <c r="L232" s="46"/>
      <c r="O232" s="46"/>
      <c r="P232" s="41"/>
      <c r="Q232" s="340"/>
      <c r="R232" s="340"/>
      <c r="S232" s="39"/>
    </row>
    <row r="233" spans="2:19" x14ac:dyDescent="0.2">
      <c r="L233" s="46"/>
      <c r="O233" s="46"/>
      <c r="P233" s="41"/>
      <c r="Q233" s="340"/>
      <c r="R233" s="340"/>
      <c r="S233" s="39"/>
    </row>
    <row r="234" spans="2:19" x14ac:dyDescent="0.2">
      <c r="L234" s="46"/>
      <c r="O234" s="46"/>
      <c r="P234" s="41"/>
      <c r="Q234" s="340"/>
      <c r="R234" s="340"/>
      <c r="S234" s="39"/>
    </row>
    <row r="235" spans="2:19" x14ac:dyDescent="0.2">
      <c r="L235" s="46"/>
      <c r="O235" s="46"/>
      <c r="P235" s="41"/>
      <c r="Q235" s="340"/>
      <c r="R235" s="340"/>
      <c r="S235" s="39"/>
    </row>
    <row r="236" spans="2:19" x14ac:dyDescent="0.2">
      <c r="L236" s="46"/>
      <c r="O236" s="46"/>
      <c r="P236" s="41"/>
      <c r="Q236" s="340"/>
      <c r="R236" s="340"/>
      <c r="S236" s="39"/>
    </row>
    <row r="237" spans="2:19" x14ac:dyDescent="0.2">
      <c r="L237" s="46"/>
      <c r="O237" s="46"/>
      <c r="P237" s="41"/>
      <c r="Q237" s="340"/>
      <c r="R237" s="340"/>
      <c r="S237" s="39"/>
    </row>
    <row r="238" spans="2:19" x14ac:dyDescent="0.2">
      <c r="L238" s="46"/>
      <c r="O238" s="46"/>
      <c r="P238" s="41"/>
      <c r="Q238" s="340"/>
      <c r="R238" s="340"/>
      <c r="S238" s="39"/>
    </row>
    <row r="239" spans="2:19" x14ac:dyDescent="0.2">
      <c r="L239" s="46"/>
      <c r="O239" s="46"/>
      <c r="S239" s="39"/>
    </row>
    <row r="243" spans="7:19" x14ac:dyDescent="0.2">
      <c r="G243" s="184"/>
      <c r="H243" s="113"/>
      <c r="I243" s="113"/>
      <c r="J243" s="114"/>
      <c r="Q243" s="39"/>
      <c r="R243" s="39"/>
      <c r="S243" s="39"/>
    </row>
    <row r="244" spans="7:19" x14ac:dyDescent="0.2">
      <c r="G244" s="185"/>
      <c r="H244" s="88"/>
      <c r="I244" s="88"/>
      <c r="J244" s="89"/>
      <c r="Q244" s="39"/>
      <c r="R244" s="39"/>
      <c r="S244" s="39"/>
    </row>
    <row r="245" spans="7:19" x14ac:dyDescent="0.2">
      <c r="G245" s="185"/>
      <c r="H245" s="88"/>
      <c r="I245" s="88"/>
      <c r="J245" s="89"/>
      <c r="Q245" s="39"/>
      <c r="R245" s="39"/>
      <c r="S245" s="39"/>
    </row>
    <row r="246" spans="7:19" x14ac:dyDescent="0.2">
      <c r="G246" s="185"/>
      <c r="H246" s="88"/>
      <c r="I246" s="88"/>
      <c r="J246" s="89"/>
      <c r="Q246" s="39"/>
      <c r="R246" s="39"/>
      <c r="S246" s="39"/>
    </row>
    <row r="247" spans="7:19" x14ac:dyDescent="0.2">
      <c r="G247" s="185"/>
      <c r="H247" s="88"/>
      <c r="I247" s="88"/>
      <c r="J247" s="89"/>
      <c r="Q247" s="39"/>
      <c r="R247" s="39"/>
      <c r="S247" s="39"/>
    </row>
    <row r="248" spans="7:19" x14ac:dyDescent="0.2">
      <c r="G248" s="185"/>
      <c r="H248" s="88"/>
      <c r="I248" s="88"/>
      <c r="J248" s="89"/>
      <c r="Q248" s="39"/>
      <c r="R248" s="39"/>
      <c r="S248" s="39"/>
    </row>
    <row r="249" spans="7:19" x14ac:dyDescent="0.2">
      <c r="G249" s="185"/>
      <c r="H249" s="88"/>
      <c r="I249" s="88"/>
      <c r="J249" s="89"/>
      <c r="Q249" s="39"/>
      <c r="R249" s="39"/>
      <c r="S249" s="39"/>
    </row>
    <row r="250" spans="7:19" x14ac:dyDescent="0.2">
      <c r="G250" s="185"/>
      <c r="H250" s="88"/>
      <c r="I250" s="88"/>
      <c r="J250" s="89"/>
      <c r="Q250" s="39"/>
      <c r="R250" s="39"/>
      <c r="S250" s="39"/>
    </row>
    <row r="251" spans="7:19" x14ac:dyDescent="0.2">
      <c r="G251" s="185"/>
      <c r="H251" s="88"/>
      <c r="I251" s="88"/>
      <c r="J251" s="89"/>
      <c r="Q251" s="39"/>
      <c r="R251" s="39"/>
      <c r="S251" s="39"/>
    </row>
    <row r="252" spans="7:19" ht="15.75" x14ac:dyDescent="0.25">
      <c r="G252" s="186" t="s">
        <v>312</v>
      </c>
      <c r="H252" s="91"/>
      <c r="I252" s="91"/>
      <c r="J252" s="92"/>
      <c r="Q252" s="39"/>
      <c r="R252" s="39"/>
      <c r="S252" s="39"/>
    </row>
  </sheetData>
  <sortState ref="A5:A134">
    <sortCondition ref="A246"/>
  </sortState>
  <mergeCells count="3">
    <mergeCell ref="Q6:R6"/>
    <mergeCell ref="B2:F4"/>
    <mergeCell ref="U46:AC4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121"/>
  <sheetViews>
    <sheetView zoomScale="80" zoomScaleNormal="80" workbookViewId="0"/>
  </sheetViews>
  <sheetFormatPr defaultColWidth="9.140625" defaultRowHeight="12.75" x14ac:dyDescent="0.2"/>
  <cols>
    <col min="1" max="1" width="1.28515625" style="39" customWidth="1"/>
    <col min="2" max="2" width="55.7109375" style="39" customWidth="1"/>
    <col min="3" max="3" width="3.42578125" style="39" customWidth="1"/>
    <col min="4" max="5" width="15.7109375" style="39" customWidth="1"/>
    <col min="6" max="6" width="3.28515625" style="39" customWidth="1"/>
    <col min="7" max="7" width="15.7109375" style="39" customWidth="1"/>
    <col min="8" max="8" width="24.28515625" style="39" customWidth="1"/>
    <col min="9" max="9" width="15.7109375" style="39" customWidth="1"/>
    <col min="10" max="10" width="3.42578125" style="39" customWidth="1"/>
    <col min="11" max="11" width="15.7109375" style="39" customWidth="1"/>
    <col min="12" max="12" width="24.28515625" style="39" customWidth="1"/>
    <col min="13" max="13" width="15.7109375" style="39" customWidth="1"/>
    <col min="14" max="14" width="3.42578125" style="39" customWidth="1"/>
    <col min="15" max="17" width="15.7109375" style="39" customWidth="1"/>
    <col min="18" max="18" width="24.28515625" style="39" customWidth="1"/>
    <col min="19" max="19" width="15.7109375" style="39" customWidth="1"/>
    <col min="20" max="20" width="3.42578125" style="39" customWidth="1"/>
    <col min="21" max="23" width="15.7109375" style="39" customWidth="1"/>
    <col min="24" max="24" width="24.28515625" style="39" customWidth="1"/>
    <col min="25" max="25" width="15.7109375" style="39" customWidth="1"/>
    <col min="26" max="26" width="3.42578125" style="39" customWidth="1"/>
    <col min="27" max="27" width="15.7109375" style="39" customWidth="1"/>
    <col min="28" max="28" width="24.28515625" style="39" customWidth="1"/>
    <col min="29" max="29" width="15.7109375" style="39" customWidth="1"/>
    <col min="30" max="30" width="3.42578125" style="39" customWidth="1"/>
    <col min="31" max="33" width="15.7109375" style="39" customWidth="1"/>
    <col min="34" max="34" width="24.28515625" style="39" customWidth="1"/>
    <col min="35" max="35" width="15.7109375" style="39" customWidth="1"/>
    <col min="36" max="36" width="3.42578125" style="39" customWidth="1"/>
    <col min="37" max="37" width="25.7109375" style="39" customWidth="1"/>
    <col min="38" max="38" width="9.28515625" style="39" bestFit="1" customWidth="1"/>
    <col min="39" max="39" width="9.140625" style="39"/>
    <col min="40" max="41" width="9.28515625" style="39" bestFit="1" customWidth="1"/>
    <col min="42" max="42" width="9.140625" style="39"/>
    <col min="43" max="43" width="9.28515625" style="39" bestFit="1" customWidth="1"/>
    <col min="44" max="44" width="9.140625" style="39"/>
    <col min="45" max="46" width="9.28515625" style="39" bestFit="1" customWidth="1"/>
    <col min="47" max="47" width="9.140625" style="39"/>
    <col min="48" max="48" width="9.42578125" style="39" bestFit="1" customWidth="1"/>
    <col min="49" max="49" width="9.28515625" style="39" bestFit="1" customWidth="1"/>
    <col min="50" max="51" width="9.140625" style="39"/>
    <col min="52" max="53" width="9.28515625" style="39" bestFit="1" customWidth="1"/>
    <col min="54" max="54" width="9.140625" style="39"/>
    <col min="55" max="57" width="9.28515625" style="39" bestFit="1" customWidth="1"/>
    <col min="58" max="58" width="9.140625" style="39"/>
    <col min="59" max="60" width="9.28515625" style="39" bestFit="1" customWidth="1"/>
    <col min="61" max="61" width="9.140625" style="39"/>
    <col min="62" max="62" width="9.42578125" style="39" bestFit="1" customWidth="1"/>
    <col min="63" max="63" width="9.28515625" style="39" bestFit="1" customWidth="1"/>
    <col min="64" max="65" width="9.140625" style="39"/>
    <col min="66" max="67" width="9.28515625" style="39" bestFit="1" customWidth="1"/>
    <col min="68" max="68" width="9.140625" style="39"/>
    <col min="69" max="69" width="9.28515625" style="39" bestFit="1" customWidth="1"/>
    <col min="70" max="74" width="9.140625" style="39"/>
    <col min="75" max="75" width="9.28515625" style="39" bestFit="1" customWidth="1"/>
    <col min="76" max="84" width="9.140625" style="39"/>
    <col min="85" max="86" width="9.28515625" style="39" bestFit="1" customWidth="1"/>
    <col min="87" max="16384" width="9.140625" style="39"/>
  </cols>
  <sheetData>
    <row r="1" spans="2:45" x14ac:dyDescent="0.2">
      <c r="B1" s="45"/>
      <c r="C1" s="121"/>
    </row>
    <row r="2" spans="2:45" ht="12.75" customHeight="1" x14ac:dyDescent="0.2">
      <c r="B2" s="515" t="s">
        <v>559</v>
      </c>
      <c r="C2" s="515"/>
      <c r="D2" s="515"/>
      <c r="E2" s="515"/>
      <c r="F2" s="515"/>
      <c r="G2" s="515"/>
      <c r="H2" s="515"/>
      <c r="I2" s="515"/>
    </row>
    <row r="3" spans="2:45" ht="12.75" customHeight="1" x14ac:dyDescent="0.2">
      <c r="B3" s="515"/>
      <c r="C3" s="515"/>
      <c r="D3" s="515"/>
      <c r="E3" s="515"/>
      <c r="F3" s="515"/>
      <c r="G3" s="515"/>
      <c r="H3" s="515"/>
      <c r="I3" s="515"/>
    </row>
    <row r="4" spans="2:45" x14ac:dyDescent="0.2">
      <c r="B4" s="515"/>
      <c r="C4" s="515"/>
      <c r="D4" s="515"/>
      <c r="E4" s="515"/>
      <c r="F4" s="515"/>
      <c r="G4" s="515"/>
      <c r="H4" s="515"/>
      <c r="I4" s="515"/>
    </row>
    <row r="5" spans="2:45" x14ac:dyDescent="0.2">
      <c r="B5" s="515"/>
      <c r="C5" s="515"/>
      <c r="D5" s="515"/>
      <c r="E5" s="515"/>
      <c r="F5" s="515"/>
      <c r="G5" s="515"/>
      <c r="H5" s="515"/>
      <c r="I5" s="515"/>
    </row>
    <row r="7" spans="2:45" ht="82.5" customHeight="1" x14ac:dyDescent="0.2">
      <c r="B7" s="73" t="s">
        <v>0</v>
      </c>
      <c r="D7" s="106" t="s">
        <v>296</v>
      </c>
      <c r="E7" s="106" t="s">
        <v>244</v>
      </c>
      <c r="F7" s="123"/>
      <c r="G7" s="128" t="s">
        <v>246</v>
      </c>
      <c r="H7" s="120" t="s">
        <v>212</v>
      </c>
      <c r="I7" s="106" t="s">
        <v>298</v>
      </c>
      <c r="K7" s="120" t="s">
        <v>247</v>
      </c>
      <c r="L7" s="120" t="s">
        <v>212</v>
      </c>
      <c r="M7" s="106" t="s">
        <v>298</v>
      </c>
      <c r="N7" s="123"/>
      <c r="O7" s="120" t="s">
        <v>300</v>
      </c>
      <c r="P7" s="104" t="s">
        <v>299</v>
      </c>
      <c r="Q7" s="120" t="s">
        <v>248</v>
      </c>
      <c r="R7" s="120" t="s">
        <v>212</v>
      </c>
      <c r="S7" s="106" t="s">
        <v>469</v>
      </c>
      <c r="U7" s="159" t="s">
        <v>302</v>
      </c>
      <c r="V7" s="105" t="s">
        <v>301</v>
      </c>
      <c r="W7" s="128" t="s">
        <v>245</v>
      </c>
      <c r="X7" s="120" t="s">
        <v>212</v>
      </c>
      <c r="Y7" s="106" t="s">
        <v>303</v>
      </c>
      <c r="AA7" s="170" t="s">
        <v>249</v>
      </c>
      <c r="AB7" s="120" t="s">
        <v>212</v>
      </c>
      <c r="AC7" s="106" t="s">
        <v>303</v>
      </c>
      <c r="AE7" s="171" t="s">
        <v>250</v>
      </c>
      <c r="AF7" s="172" t="s">
        <v>304</v>
      </c>
      <c r="AG7" s="171" t="s">
        <v>248</v>
      </c>
      <c r="AH7" s="120" t="s">
        <v>212</v>
      </c>
      <c r="AI7" s="106" t="s">
        <v>298</v>
      </c>
      <c r="AK7" s="104" t="s">
        <v>372</v>
      </c>
    </row>
    <row r="8" spans="2:45" x14ac:dyDescent="0.2">
      <c r="B8" s="2" t="s">
        <v>101</v>
      </c>
      <c r="D8" s="135">
        <v>0</v>
      </c>
      <c r="E8" s="306"/>
      <c r="G8" s="136">
        <f>921.15-273.15</f>
        <v>648</v>
      </c>
      <c r="H8" s="137" t="s">
        <v>217</v>
      </c>
      <c r="I8" s="138">
        <f t="shared" ref="I8:I15" si="0">(G8-G$16)/G$17</f>
        <v>2.2731784037262752</v>
      </c>
      <c r="K8" s="23">
        <v>66</v>
      </c>
      <c r="L8" s="145" t="s">
        <v>251</v>
      </c>
      <c r="M8" s="146">
        <f t="shared" ref="M8:M15" si="1">(K8-K$16)/K$17</f>
        <v>0.11968324523001604</v>
      </c>
      <c r="O8" s="148">
        <v>500</v>
      </c>
      <c r="P8" s="149">
        <f>LOG(O8)</f>
        <v>2.6989700043360187</v>
      </c>
      <c r="Q8" s="150"/>
      <c r="R8" s="150" t="s">
        <v>251</v>
      </c>
      <c r="S8" s="149">
        <f t="shared" ref="S8:S13" si="2">O8/O$25</f>
        <v>0.25</v>
      </c>
      <c r="U8" s="160">
        <v>1.2</v>
      </c>
      <c r="V8" s="169">
        <f>LOG(U8)</f>
        <v>7.9181246047624818E-2</v>
      </c>
      <c r="W8" s="161">
        <v>20</v>
      </c>
      <c r="X8" s="162" t="s">
        <v>217</v>
      </c>
      <c r="Y8" s="169">
        <f t="shared" ref="Y8:Y15" si="3">-((V8-V$16)/V$17)</f>
        <v>0.65836817464402542</v>
      </c>
      <c r="AA8" s="363">
        <v>3.43</v>
      </c>
      <c r="AB8" s="364" t="s">
        <v>251</v>
      </c>
      <c r="AC8" s="365">
        <f t="shared" ref="AC8:AC15" si="4">-((AA8-AA$16)/AA$17)</f>
        <v>-0.9372479097261539</v>
      </c>
      <c r="AE8" s="374">
        <f>10^-0.130768280269024</f>
        <v>0.73999999999999966</v>
      </c>
      <c r="AF8" s="365">
        <f>LOG(AE8)</f>
        <v>-0.13076828026902401</v>
      </c>
      <c r="AG8" s="374"/>
      <c r="AH8" s="375" t="s">
        <v>253</v>
      </c>
      <c r="AI8" s="359">
        <f t="shared" ref="AI8:AI15" si="5">(AF8-AF$16)/AF$17</f>
        <v>-0.90820591058962719</v>
      </c>
      <c r="AK8" s="356" t="s">
        <v>473</v>
      </c>
      <c r="AN8" s="383"/>
      <c r="AO8" s="383"/>
      <c r="AP8" s="383"/>
      <c r="AQ8" s="383"/>
      <c r="AR8" s="383"/>
      <c r="AS8" s="383"/>
    </row>
    <row r="9" spans="2:45" x14ac:dyDescent="0.2">
      <c r="B9" s="6" t="s">
        <v>195</v>
      </c>
      <c r="D9" s="135">
        <v>0</v>
      </c>
      <c r="E9" s="306"/>
      <c r="G9" s="139">
        <v>550</v>
      </c>
      <c r="H9" s="147" t="s">
        <v>297</v>
      </c>
      <c r="I9" s="140">
        <f t="shared" si="0"/>
        <v>1.4186280014199191</v>
      </c>
      <c r="K9" s="23">
        <v>70</v>
      </c>
      <c r="L9" s="137" t="s">
        <v>217</v>
      </c>
      <c r="M9" s="146">
        <f t="shared" si="1"/>
        <v>0.18891976277029374</v>
      </c>
      <c r="O9" s="151">
        <v>971</v>
      </c>
      <c r="P9" s="149">
        <f t="shared" ref="P9:P15" si="6">LOG(O9)</f>
        <v>2.9872192299080047</v>
      </c>
      <c r="Q9" s="151"/>
      <c r="R9" s="150" t="s">
        <v>217</v>
      </c>
      <c r="S9" s="149">
        <f t="shared" si="2"/>
        <v>0.48549999999999999</v>
      </c>
      <c r="U9" s="163">
        <v>0.75</v>
      </c>
      <c r="V9" s="169">
        <f t="shared" ref="V9:V15" si="7">LOG(U9)</f>
        <v>-0.12493873660829995</v>
      </c>
      <c r="W9" s="164">
        <v>20</v>
      </c>
      <c r="X9" s="54" t="s">
        <v>217</v>
      </c>
      <c r="Y9" s="169">
        <f t="shared" si="3"/>
        <v>0.71845017506869113</v>
      </c>
      <c r="AA9" s="366">
        <v>1.56</v>
      </c>
      <c r="AB9" s="367" t="s">
        <v>217</v>
      </c>
      <c r="AC9" s="365">
        <f t="shared" si="4"/>
        <v>1.2130606771888382E-2</v>
      </c>
      <c r="AE9" s="367">
        <v>122</v>
      </c>
      <c r="AF9" s="365">
        <f t="shared" ref="AF9:AF13" si="8">LOG(AE9)</f>
        <v>2.0863598306747484</v>
      </c>
      <c r="AG9" s="374" t="s">
        <v>254</v>
      </c>
      <c r="AH9" s="376" t="s">
        <v>253</v>
      </c>
      <c r="AI9" s="359">
        <f t="shared" si="5"/>
        <v>-0.31352848082290535</v>
      </c>
      <c r="AK9" s="357" t="s">
        <v>473</v>
      </c>
      <c r="AN9" s="383"/>
      <c r="AO9" s="383"/>
      <c r="AP9" s="383"/>
      <c r="AQ9" s="383"/>
      <c r="AR9" s="383"/>
      <c r="AS9" s="383"/>
    </row>
    <row r="10" spans="2:45" x14ac:dyDescent="0.2">
      <c r="B10" s="4" t="s">
        <v>36</v>
      </c>
      <c r="D10" s="135">
        <f>3/7</f>
        <v>0.42857142857142855</v>
      </c>
      <c r="E10" s="306" t="s">
        <v>258</v>
      </c>
      <c r="G10" s="141">
        <v>382</v>
      </c>
      <c r="H10" s="142" t="s">
        <v>216</v>
      </c>
      <c r="I10" s="140">
        <f t="shared" si="0"/>
        <v>-4.631554539097691E-2</v>
      </c>
      <c r="K10" s="24">
        <v>71</v>
      </c>
      <c r="L10" s="25" t="s">
        <v>215</v>
      </c>
      <c r="M10" s="146">
        <f t="shared" si="1"/>
        <v>0.20622889215536316</v>
      </c>
      <c r="O10" s="152">
        <v>2000</v>
      </c>
      <c r="P10" s="149">
        <f t="shared" si="6"/>
        <v>3.3010299956639813</v>
      </c>
      <c r="Q10" s="154"/>
      <c r="R10" s="153" t="s">
        <v>215</v>
      </c>
      <c r="S10" s="149">
        <f t="shared" si="2"/>
        <v>1</v>
      </c>
      <c r="U10" s="163">
        <v>0.2</v>
      </c>
      <c r="V10" s="169">
        <f t="shared" si="7"/>
        <v>-0.69897000433601875</v>
      </c>
      <c r="W10" s="161">
        <v>20</v>
      </c>
      <c r="X10" s="343" t="s">
        <v>470</v>
      </c>
      <c r="Y10" s="169">
        <f t="shared" si="3"/>
        <v>0.8874142638493796</v>
      </c>
      <c r="AA10" s="368">
        <v>1.3660000000000001</v>
      </c>
      <c r="AB10" s="369" t="s">
        <v>215</v>
      </c>
      <c r="AC10" s="365">
        <f t="shared" si="4"/>
        <v>0.11062228174548205</v>
      </c>
      <c r="AE10" s="376">
        <v>423</v>
      </c>
      <c r="AF10" s="365">
        <f t="shared" si="8"/>
        <v>2.6263403673750423</v>
      </c>
      <c r="AG10" s="377"/>
      <c r="AH10" s="375" t="s">
        <v>253</v>
      </c>
      <c r="AI10" s="359">
        <f t="shared" si="5"/>
        <v>-0.16869506497112768</v>
      </c>
      <c r="AK10" s="357" t="s">
        <v>473</v>
      </c>
      <c r="AN10" s="383"/>
      <c r="AO10" s="383"/>
      <c r="AP10" s="383"/>
      <c r="AQ10" s="383"/>
      <c r="AR10" s="383"/>
      <c r="AS10" s="383"/>
    </row>
    <row r="11" spans="2:45" x14ac:dyDescent="0.2">
      <c r="B11" s="5" t="s">
        <v>189</v>
      </c>
      <c r="D11" s="135">
        <v>0</v>
      </c>
      <c r="E11" s="306"/>
      <c r="G11" s="141">
        <v>420</v>
      </c>
      <c r="H11" s="142" t="s">
        <v>215</v>
      </c>
      <c r="I11" s="140">
        <f t="shared" si="0"/>
        <v>0.2850407330543448</v>
      </c>
      <c r="K11" s="24">
        <v>44</v>
      </c>
      <c r="L11" s="25" t="s">
        <v>215</v>
      </c>
      <c r="M11" s="146">
        <f t="shared" si="1"/>
        <v>-0.26111760124151129</v>
      </c>
      <c r="O11" s="152">
        <v>1535</v>
      </c>
      <c r="P11" s="149">
        <f t="shared" si="6"/>
        <v>3.1861083798132053</v>
      </c>
      <c r="Q11" s="154"/>
      <c r="R11" s="153" t="s">
        <v>215</v>
      </c>
      <c r="S11" s="149">
        <f t="shared" si="2"/>
        <v>0.76749999999999996</v>
      </c>
      <c r="U11" s="163">
        <v>4.33</v>
      </c>
      <c r="V11" s="169">
        <f t="shared" si="7"/>
        <v>0.63648789635336545</v>
      </c>
      <c r="W11" s="161">
        <v>25</v>
      </c>
      <c r="X11" s="54" t="s">
        <v>215</v>
      </c>
      <c r="Y11" s="169">
        <f t="shared" si="3"/>
        <v>0.49432691829735431</v>
      </c>
      <c r="AA11" s="368">
        <v>0.81</v>
      </c>
      <c r="AB11" s="369" t="s">
        <v>255</v>
      </c>
      <c r="AC11" s="365">
        <f t="shared" si="4"/>
        <v>0.39289739146361657</v>
      </c>
      <c r="AE11" s="374">
        <v>820</v>
      </c>
      <c r="AF11" s="365">
        <f t="shared" si="8"/>
        <v>2.9138138523837167</v>
      </c>
      <c r="AG11" s="374" t="s">
        <v>254</v>
      </c>
      <c r="AH11" s="376" t="s">
        <v>253</v>
      </c>
      <c r="AI11" s="359">
        <f t="shared" si="5"/>
        <v>-9.1589013973348316E-2</v>
      </c>
      <c r="AK11" s="357" t="s">
        <v>473</v>
      </c>
      <c r="AN11" s="383"/>
      <c r="AO11" s="383"/>
      <c r="AP11" s="383"/>
      <c r="AQ11" s="383"/>
      <c r="AR11" s="383"/>
      <c r="AS11" s="383"/>
    </row>
    <row r="12" spans="2:45" x14ac:dyDescent="0.2">
      <c r="B12" s="5" t="s">
        <v>190</v>
      </c>
      <c r="D12" s="135">
        <v>0</v>
      </c>
      <c r="E12" s="306"/>
      <c r="G12" s="141">
        <v>445</v>
      </c>
      <c r="H12" s="142" t="s">
        <v>365</v>
      </c>
      <c r="I12" s="140">
        <f t="shared" si="0"/>
        <v>0.50303828466310907</v>
      </c>
      <c r="K12" s="24">
        <v>30</v>
      </c>
      <c r="L12" s="137" t="s">
        <v>217</v>
      </c>
      <c r="M12" s="146">
        <f t="shared" si="1"/>
        <v>-0.50344541263248321</v>
      </c>
      <c r="O12" s="152">
        <v>1180</v>
      </c>
      <c r="P12" s="149">
        <f t="shared" si="6"/>
        <v>3.0718820073061255</v>
      </c>
      <c r="Q12" s="154"/>
      <c r="R12" s="153" t="s">
        <v>364</v>
      </c>
      <c r="S12" s="149">
        <f t="shared" si="2"/>
        <v>0.59</v>
      </c>
      <c r="U12" s="163">
        <v>11.4</v>
      </c>
      <c r="V12" s="169">
        <f t="shared" si="7"/>
        <v>1.0569048513364727</v>
      </c>
      <c r="W12" s="161">
        <v>25</v>
      </c>
      <c r="X12" s="54" t="s">
        <v>216</v>
      </c>
      <c r="Y12" s="169">
        <f t="shared" si="3"/>
        <v>0.37057866328005662</v>
      </c>
      <c r="AA12" s="368">
        <v>0.24</v>
      </c>
      <c r="AB12" s="370" t="s">
        <v>366</v>
      </c>
      <c r="AC12" s="365">
        <f t="shared" si="4"/>
        <v>0.68228014782933</v>
      </c>
      <c r="AE12" s="374">
        <v>1435</v>
      </c>
      <c r="AF12" s="365">
        <f t="shared" si="8"/>
        <v>3.1568519010700111</v>
      </c>
      <c r="AG12" s="374" t="s">
        <v>363</v>
      </c>
      <c r="AH12" s="376" t="s">
        <v>253</v>
      </c>
      <c r="AI12" s="359">
        <f t="shared" si="5"/>
        <v>-2.6401422234789421E-2</v>
      </c>
      <c r="AK12" s="357" t="s">
        <v>473</v>
      </c>
      <c r="AN12" s="383"/>
      <c r="AO12" s="383"/>
      <c r="AP12" s="383"/>
      <c r="AQ12" s="383"/>
      <c r="AR12" s="383"/>
      <c r="AS12" s="383"/>
    </row>
    <row r="13" spans="2:45" x14ac:dyDescent="0.2">
      <c r="B13" s="5" t="s">
        <v>256</v>
      </c>
      <c r="D13" s="135">
        <v>1</v>
      </c>
      <c r="E13" s="306" t="s">
        <v>257</v>
      </c>
      <c r="G13" s="143">
        <v>296</v>
      </c>
      <c r="H13" s="144" t="s">
        <v>267</v>
      </c>
      <c r="I13" s="140">
        <f t="shared" si="0"/>
        <v>-0.7962271229251261</v>
      </c>
      <c r="K13" s="23">
        <v>108</v>
      </c>
      <c r="L13" s="144" t="s">
        <v>267</v>
      </c>
      <c r="M13" s="146">
        <f t="shared" si="1"/>
        <v>0.84666667940293183</v>
      </c>
      <c r="O13" s="155">
        <v>2000</v>
      </c>
      <c r="P13" s="149">
        <f t="shared" si="6"/>
        <v>3.3010299956639813</v>
      </c>
      <c r="Q13" s="157" t="s">
        <v>252</v>
      </c>
      <c r="R13" s="156" t="s">
        <v>267</v>
      </c>
      <c r="S13" s="149">
        <f t="shared" si="2"/>
        <v>1</v>
      </c>
      <c r="U13" s="165">
        <v>0.21</v>
      </c>
      <c r="V13" s="169">
        <f t="shared" si="7"/>
        <v>-0.6777807052660807</v>
      </c>
      <c r="W13" s="166">
        <v>25</v>
      </c>
      <c r="X13" s="167" t="s">
        <v>267</v>
      </c>
      <c r="Y13" s="169">
        <f t="shared" si="3"/>
        <v>0.88117726804351393</v>
      </c>
      <c r="AA13" s="371">
        <v>-1.52</v>
      </c>
      <c r="AB13" s="372" t="s">
        <v>267</v>
      </c>
      <c r="AC13" s="365">
        <f t="shared" si="4"/>
        <v>1.5758128692392523</v>
      </c>
      <c r="AE13" s="376">
        <v>100</v>
      </c>
      <c r="AF13" s="365">
        <f t="shared" si="8"/>
        <v>2</v>
      </c>
      <c r="AG13" s="376" t="s">
        <v>252</v>
      </c>
      <c r="AH13" s="378" t="s">
        <v>267</v>
      </c>
      <c r="AI13" s="359">
        <f t="shared" si="5"/>
        <v>-0.33669188842540415</v>
      </c>
      <c r="AK13" s="357" t="s">
        <v>473</v>
      </c>
      <c r="AN13" s="383"/>
      <c r="AO13" s="383"/>
      <c r="AP13" s="383"/>
      <c r="AQ13" s="383"/>
      <c r="AR13" s="383"/>
      <c r="AS13" s="383"/>
    </row>
    <row r="14" spans="2:45" x14ac:dyDescent="0.2">
      <c r="B14" s="3" t="s">
        <v>192</v>
      </c>
      <c r="D14" s="354">
        <v>0</v>
      </c>
      <c r="E14" s="355"/>
      <c r="F14" s="42"/>
      <c r="G14" s="136">
        <f>755.15-273.15</f>
        <v>482</v>
      </c>
      <c r="H14" s="137" t="s">
        <v>217</v>
      </c>
      <c r="I14" s="140">
        <f t="shared" si="0"/>
        <v>0.82567466104408027</v>
      </c>
      <c r="K14" s="23">
        <v>17</v>
      </c>
      <c r="L14" s="137" t="s">
        <v>217</v>
      </c>
      <c r="M14" s="146">
        <f t="shared" si="1"/>
        <v>-0.7284640946383858</v>
      </c>
      <c r="O14" s="148">
        <v>891</v>
      </c>
      <c r="P14" s="149">
        <f t="shared" si="6"/>
        <v>2.9498777040368749</v>
      </c>
      <c r="Q14" s="150"/>
      <c r="R14" s="158" t="s">
        <v>217</v>
      </c>
      <c r="S14" s="149">
        <f t="shared" ref="S14:S15" si="9">O14/O$25</f>
        <v>0.44550000000000001</v>
      </c>
      <c r="U14" s="160">
        <v>20</v>
      </c>
      <c r="V14" s="169">
        <f t="shared" si="7"/>
        <v>1.3010299956639813</v>
      </c>
      <c r="W14" s="168">
        <v>25</v>
      </c>
      <c r="X14" s="54" t="s">
        <v>217</v>
      </c>
      <c r="Y14" s="169">
        <f t="shared" si="3"/>
        <v>0.2987212839372349</v>
      </c>
      <c r="AA14" s="363">
        <v>0.65</v>
      </c>
      <c r="AB14" s="367" t="s">
        <v>251</v>
      </c>
      <c r="AC14" s="373">
        <f t="shared" si="4"/>
        <v>0.47412763886451859</v>
      </c>
      <c r="AD14" s="42"/>
      <c r="AE14" s="374">
        <v>940</v>
      </c>
      <c r="AF14" s="373">
        <f>LOG(AE14)</f>
        <v>2.9731278535996988</v>
      </c>
      <c r="AG14" s="374"/>
      <c r="AH14" s="379" t="s">
        <v>217</v>
      </c>
      <c r="AI14" s="380">
        <f t="shared" si="5"/>
        <v>-7.56798305489923E-2</v>
      </c>
      <c r="AJ14" s="42"/>
      <c r="AK14" s="357" t="s">
        <v>473</v>
      </c>
      <c r="AN14" s="383"/>
      <c r="AO14" s="383"/>
      <c r="AP14" s="383"/>
      <c r="AQ14" s="383"/>
      <c r="AR14" s="383"/>
      <c r="AS14" s="383"/>
    </row>
    <row r="15" spans="2:45" x14ac:dyDescent="0.2">
      <c r="B15" s="3" t="s">
        <v>330</v>
      </c>
      <c r="D15" s="354">
        <f>3/9</f>
        <v>0.33333333333333331</v>
      </c>
      <c r="E15" s="355" t="s">
        <v>465</v>
      </c>
      <c r="G15" s="136">
        <v>433</v>
      </c>
      <c r="H15" s="137" t="s">
        <v>467</v>
      </c>
      <c r="I15" s="140">
        <f t="shared" si="0"/>
        <v>0.39839945989090225</v>
      </c>
      <c r="K15" s="23">
        <v>138</v>
      </c>
      <c r="L15" s="137" t="s">
        <v>467</v>
      </c>
      <c r="M15" s="146">
        <f t="shared" si="1"/>
        <v>1.3659405609550146</v>
      </c>
      <c r="O15" s="148">
        <v>3000</v>
      </c>
      <c r="P15" s="149">
        <f t="shared" si="6"/>
        <v>3.4771212547196626</v>
      </c>
      <c r="Q15" s="150"/>
      <c r="R15" s="158" t="s">
        <v>467</v>
      </c>
      <c r="S15" s="149">
        <f t="shared" si="9"/>
        <v>1.5</v>
      </c>
      <c r="U15" s="160">
        <v>2.48E-3</v>
      </c>
      <c r="V15" s="169">
        <f t="shared" si="7"/>
        <v>-2.6055483191737836</v>
      </c>
      <c r="W15" s="168">
        <v>25</v>
      </c>
      <c r="X15" s="54" t="s">
        <v>467</v>
      </c>
      <c r="Y15" s="169">
        <f t="shared" si="3"/>
        <v>1.4486088986482391</v>
      </c>
      <c r="AA15" s="363">
        <v>0.36</v>
      </c>
      <c r="AB15" s="367" t="s">
        <v>468</v>
      </c>
      <c r="AC15" s="365">
        <f t="shared" si="4"/>
        <v>0.62135746227865341</v>
      </c>
      <c r="AE15" s="374">
        <v>380</v>
      </c>
      <c r="AF15" s="365">
        <f>LOG(AE15)</f>
        <v>2.5797835966168101</v>
      </c>
      <c r="AG15" s="374"/>
      <c r="AH15" s="379" t="s">
        <v>466</v>
      </c>
      <c r="AI15" s="359">
        <f t="shared" si="5"/>
        <v>-0.18118250790962284</v>
      </c>
      <c r="AK15" s="358" t="s">
        <v>473</v>
      </c>
      <c r="AN15" s="383"/>
      <c r="AO15" s="383"/>
      <c r="AP15" s="383"/>
      <c r="AQ15" s="383"/>
      <c r="AR15" s="383"/>
      <c r="AS15" s="383"/>
    </row>
    <row r="16" spans="2:45" x14ac:dyDescent="0.2">
      <c r="B16" s="29" t="s">
        <v>295</v>
      </c>
      <c r="D16" s="113"/>
      <c r="E16" s="113"/>
      <c r="G16" s="125">
        <v>387.31147540983608</v>
      </c>
      <c r="H16" s="113"/>
      <c r="I16" s="113"/>
      <c r="K16" s="130">
        <v>59.085542168674706</v>
      </c>
      <c r="L16" s="113"/>
      <c r="M16" s="113"/>
      <c r="O16" s="125">
        <v>5020</v>
      </c>
      <c r="P16" s="132">
        <f>LOG(O16)</f>
        <v>3.7007037171450192</v>
      </c>
      <c r="Q16" s="381"/>
      <c r="R16" s="381"/>
      <c r="S16" s="381"/>
      <c r="U16" s="125">
        <v>206.96300953616191</v>
      </c>
      <c r="V16" s="132">
        <f>LOG(U16)</f>
        <v>2.3158927310131117</v>
      </c>
      <c r="W16" s="132"/>
      <c r="X16" s="132"/>
      <c r="Y16" s="132"/>
      <c r="AA16" s="132">
        <v>1.583893772893773</v>
      </c>
      <c r="AB16" s="113"/>
      <c r="AC16" s="132"/>
      <c r="AE16" s="125">
        <v>1800.0475580110481</v>
      </c>
      <c r="AF16" s="132">
        <f>LOG(AE16)</f>
        <v>3.2552839794971504</v>
      </c>
      <c r="AG16" s="113"/>
      <c r="AH16" s="113"/>
      <c r="AI16" s="113"/>
    </row>
    <row r="17" spans="2:68" x14ac:dyDescent="0.2">
      <c r="B17" s="30" t="s">
        <v>259</v>
      </c>
      <c r="D17" s="91"/>
      <c r="E17" s="91"/>
      <c r="G17" s="126">
        <v>114.68018707323367</v>
      </c>
      <c r="H17" s="91"/>
      <c r="I17" s="91"/>
      <c r="K17" s="131">
        <v>57.772980821472387</v>
      </c>
      <c r="L17" s="91"/>
      <c r="M17" s="91"/>
      <c r="O17" s="126">
        <v>7712</v>
      </c>
      <c r="P17" s="133">
        <f>LOG(O17)</f>
        <v>3.8871670208947742</v>
      </c>
      <c r="Q17" s="382"/>
      <c r="R17" s="382"/>
      <c r="S17" s="382"/>
      <c r="U17" s="126">
        <v>2496.6440731243738</v>
      </c>
      <c r="V17" s="133">
        <f>LOG(U17)</f>
        <v>3.3973566328215359</v>
      </c>
      <c r="W17" s="133"/>
      <c r="X17" s="133"/>
      <c r="Y17" s="133"/>
      <c r="AA17" s="133">
        <v>1.9697096231941711</v>
      </c>
      <c r="AB17" s="91"/>
      <c r="AC17" s="133"/>
      <c r="AE17" s="126">
        <v>5349.1769798982241</v>
      </c>
      <c r="AF17" s="133">
        <f>LOG(AE17)</f>
        <v>3.7282869669587102</v>
      </c>
      <c r="AG17" s="91"/>
      <c r="AH17" s="91"/>
      <c r="AI17" s="91"/>
    </row>
    <row r="18" spans="2:68" x14ac:dyDescent="0.2">
      <c r="B18" s="3" t="s">
        <v>293</v>
      </c>
      <c r="D18" s="84"/>
      <c r="E18" s="84"/>
      <c r="G18" s="127">
        <f>G16+G17</f>
        <v>501.99166248306972</v>
      </c>
      <c r="H18" s="84"/>
      <c r="I18" s="84"/>
      <c r="K18" s="127">
        <f>K16+K17</f>
        <v>116.85852299014709</v>
      </c>
      <c r="L18" s="84"/>
      <c r="M18" s="84"/>
      <c r="O18" s="84"/>
      <c r="P18" s="134">
        <f>P16+P17</f>
        <v>7.5878707380397934</v>
      </c>
      <c r="Q18" s="84"/>
      <c r="R18" s="84"/>
      <c r="S18" s="84"/>
      <c r="U18" s="84"/>
      <c r="V18" s="134">
        <f>V16+V17</f>
        <v>5.7132493638346471</v>
      </c>
      <c r="W18" s="84"/>
      <c r="X18" s="84"/>
      <c r="Y18" s="84"/>
      <c r="AA18" s="134">
        <f>AA16+AA17</f>
        <v>3.5536033960879441</v>
      </c>
      <c r="AB18" s="84"/>
      <c r="AC18" s="84"/>
      <c r="AE18" s="84"/>
      <c r="AF18" s="134">
        <f>AF16+AF17</f>
        <v>6.9835709464558606</v>
      </c>
      <c r="AG18" s="84"/>
      <c r="AH18" s="84"/>
      <c r="AI18" s="84"/>
    </row>
    <row r="19" spans="2:68" x14ac:dyDescent="0.2">
      <c r="B19" s="3" t="s">
        <v>294</v>
      </c>
      <c r="D19" s="84"/>
      <c r="E19" s="84"/>
      <c r="G19" s="127">
        <f>G16-G17</f>
        <v>272.63128833660244</v>
      </c>
      <c r="H19" s="84"/>
      <c r="I19" s="84"/>
      <c r="K19" s="127">
        <f>K16-K17</f>
        <v>1.312561347202319</v>
      </c>
      <c r="L19" s="84"/>
      <c r="M19" s="84"/>
      <c r="O19" s="84"/>
      <c r="P19" s="134">
        <f>P16-P17</f>
        <v>-0.18646330374975495</v>
      </c>
      <c r="Q19" s="84"/>
      <c r="R19" s="84"/>
      <c r="S19" s="84"/>
      <c r="U19" s="84"/>
      <c r="V19" s="134">
        <f>V16-V17</f>
        <v>-1.0814639018084242</v>
      </c>
      <c r="W19" s="84"/>
      <c r="X19" s="84"/>
      <c r="Y19" s="84"/>
      <c r="AA19" s="134">
        <f>AA16-AA17</f>
        <v>-0.38581585030039811</v>
      </c>
      <c r="AB19" s="84"/>
      <c r="AC19" s="84"/>
      <c r="AE19" s="84"/>
      <c r="AF19" s="134">
        <f>AF16-AF17</f>
        <v>-0.47300298746155978</v>
      </c>
      <c r="AG19" s="84"/>
      <c r="AH19" s="84"/>
      <c r="AI19" s="84"/>
    </row>
    <row r="20" spans="2:68" x14ac:dyDescent="0.2">
      <c r="B20" s="31"/>
      <c r="D20" s="41"/>
      <c r="E20" s="41"/>
      <c r="F20" s="41"/>
      <c r="G20" s="41"/>
      <c r="H20" s="41"/>
      <c r="I20" s="41"/>
      <c r="J20" s="41"/>
      <c r="K20" s="41"/>
      <c r="L20" s="41"/>
      <c r="M20" s="41"/>
      <c r="T20" s="122"/>
      <c r="X20" s="41"/>
      <c r="Y20" s="41"/>
      <c r="Z20" s="41"/>
      <c r="AA20" s="41"/>
      <c r="AB20" s="129"/>
      <c r="AC20" s="129"/>
    </row>
    <row r="21" spans="2:68" x14ac:dyDescent="0.2">
      <c r="B21" s="31"/>
      <c r="D21" s="41"/>
      <c r="E21" s="41"/>
      <c r="F21" s="41"/>
      <c r="G21" s="41"/>
      <c r="H21" s="41"/>
      <c r="I21" s="41"/>
      <c r="J21" s="41"/>
      <c r="K21" s="41"/>
      <c r="L21" s="41"/>
      <c r="M21" s="41"/>
      <c r="T21" s="122"/>
      <c r="X21" s="41"/>
      <c r="Y21" s="41"/>
      <c r="Z21" s="41"/>
      <c r="AA21" s="41"/>
      <c r="AB21" s="129"/>
      <c r="AC21" s="129"/>
    </row>
    <row r="22" spans="2:68" x14ac:dyDescent="0.2">
      <c r="B22" s="206" t="s">
        <v>491</v>
      </c>
      <c r="D22" s="207">
        <v>0</v>
      </c>
      <c r="E22" s="208"/>
      <c r="G22" s="209">
        <v>346</v>
      </c>
      <c r="H22" s="210" t="s">
        <v>216</v>
      </c>
      <c r="I22" s="211">
        <f t="shared" ref="I22" si="10">(G22-G$16)/G$17</f>
        <v>-0.3602320197075975</v>
      </c>
      <c r="K22" s="212">
        <v>92</v>
      </c>
      <c r="L22" s="213" t="s">
        <v>215</v>
      </c>
      <c r="M22" s="211">
        <f t="shared" ref="M22" si="11">(K22-K$16)/K$17</f>
        <v>0.56972060924182111</v>
      </c>
      <c r="O22" s="214">
        <v>3914</v>
      </c>
      <c r="P22" s="215">
        <f>LOG(O22)</f>
        <v>3.5926208213219826</v>
      </c>
      <c r="Q22" s="216" t="s">
        <v>215</v>
      </c>
      <c r="R22" s="107"/>
      <c r="S22" s="215">
        <f>O22/O25</f>
        <v>1.9570000000000001</v>
      </c>
      <c r="U22" s="217">
        <v>0.34100000000000003</v>
      </c>
      <c r="V22" s="218">
        <f t="shared" ref="V22" si="12">LOG(U22)</f>
        <v>-0.46724562100750222</v>
      </c>
      <c r="W22" s="219">
        <v>25</v>
      </c>
      <c r="X22" s="220" t="s">
        <v>215</v>
      </c>
      <c r="Y22" s="218">
        <f t="shared" ref="Y22" si="13">-((V22-V$16)/V$17)</f>
        <v>0.81920700497939536</v>
      </c>
      <c r="AA22" s="360">
        <v>-0.38</v>
      </c>
      <c r="AB22" s="361" t="s">
        <v>255</v>
      </c>
      <c r="AC22" s="362">
        <f>-((AA22-AA$16)/AA$17)</f>
        <v>0.99704735650782539</v>
      </c>
      <c r="AE22" s="222">
        <v>1000</v>
      </c>
      <c r="AF22" s="221">
        <f t="shared" ref="AF22" si="14">LOG(AE22)</f>
        <v>3</v>
      </c>
      <c r="AG22" s="222" t="s">
        <v>355</v>
      </c>
      <c r="AH22" s="223" t="s">
        <v>217</v>
      </c>
      <c r="AI22" s="224">
        <f t="shared" ref="AI22" si="15">(AF22-AF$16)/AF$17</f>
        <v>-6.8472191588136846E-2</v>
      </c>
    </row>
    <row r="23" spans="2:68" x14ac:dyDescent="0.2">
      <c r="B23" s="31"/>
      <c r="D23" s="41"/>
      <c r="E23" s="41"/>
      <c r="F23" s="41"/>
      <c r="G23" s="41"/>
      <c r="H23" s="41"/>
      <c r="I23" s="41"/>
      <c r="J23" s="41"/>
      <c r="K23" s="41"/>
      <c r="L23" s="41"/>
      <c r="M23" s="41"/>
      <c r="T23" s="122"/>
      <c r="X23" s="41"/>
      <c r="Y23" s="41"/>
      <c r="Z23" s="41"/>
      <c r="AA23" s="41"/>
      <c r="AB23" s="129"/>
      <c r="AC23" s="129"/>
      <c r="BP23" s="31"/>
    </row>
    <row r="24" spans="2:68" x14ac:dyDescent="0.2">
      <c r="B24" s="31"/>
      <c r="D24" s="41"/>
      <c r="E24" s="41"/>
      <c r="F24" s="41"/>
      <c r="G24" s="41"/>
      <c r="H24" s="41"/>
      <c r="I24" s="41"/>
      <c r="J24" s="41"/>
      <c r="K24" s="41"/>
      <c r="L24" s="41"/>
      <c r="M24" s="41"/>
      <c r="T24" s="122"/>
      <c r="X24" s="41"/>
      <c r="Y24" s="41"/>
      <c r="Z24" s="41"/>
      <c r="AA24" s="41"/>
      <c r="AB24" s="129"/>
      <c r="AC24" s="129"/>
      <c r="BP24" s="31"/>
    </row>
    <row r="25" spans="2:68" ht="60" customHeight="1" x14ac:dyDescent="0.2">
      <c r="B25" s="388" t="s">
        <v>490</v>
      </c>
      <c r="C25" s="231"/>
      <c r="D25" s="400">
        <v>0.25</v>
      </c>
      <c r="E25" s="401" t="s">
        <v>479</v>
      </c>
      <c r="F25" s="231"/>
      <c r="G25" s="422" t="s">
        <v>415</v>
      </c>
      <c r="H25" s="231"/>
      <c r="I25" s="231"/>
      <c r="J25" s="231"/>
      <c r="K25" s="385">
        <v>60</v>
      </c>
      <c r="L25" s="386" t="s">
        <v>367</v>
      </c>
      <c r="M25" s="387">
        <f>(K25-K$16)/K$17</f>
        <v>1.5828468919599499E-2</v>
      </c>
      <c r="N25" s="231"/>
      <c r="O25" s="385">
        <v>2000</v>
      </c>
      <c r="P25" s="389">
        <f>LOG(O25)</f>
        <v>3.3010299956639813</v>
      </c>
      <c r="Q25" s="109"/>
      <c r="R25" s="386" t="s">
        <v>368</v>
      </c>
      <c r="S25" s="387">
        <f>O25/O25</f>
        <v>1</v>
      </c>
      <c r="T25" s="384"/>
      <c r="U25" s="385">
        <v>7.4999999999999997E-2</v>
      </c>
      <c r="V25" s="389">
        <f>LOG(U25)</f>
        <v>-1.1249387366082999</v>
      </c>
      <c r="W25" s="109"/>
      <c r="X25" s="386" t="s">
        <v>369</v>
      </c>
      <c r="Y25" s="387">
        <f>-(V25-V$16)/V$17</f>
        <v>1.0127966650247635</v>
      </c>
      <c r="Z25" s="231"/>
      <c r="AA25" s="385">
        <v>4</v>
      </c>
      <c r="AB25" s="390" t="s">
        <v>371</v>
      </c>
      <c r="AC25" s="387">
        <f>-(AA25-AA$16)/AA$17</f>
        <v>-1.2266306660918673</v>
      </c>
      <c r="AD25" s="231"/>
      <c r="AE25" s="385">
        <v>100</v>
      </c>
      <c r="AF25" s="389">
        <f>LOG(AE25)</f>
        <v>2</v>
      </c>
      <c r="AG25" s="109"/>
      <c r="AH25" s="390" t="s">
        <v>370</v>
      </c>
      <c r="AI25" s="387">
        <f>(AF25-AF$16)/AF$17</f>
        <v>-0.33669188842540415</v>
      </c>
      <c r="BP25" s="31"/>
    </row>
    <row r="26" spans="2:68" x14ac:dyDescent="0.2">
      <c r="B26" s="31"/>
      <c r="D26" s="41"/>
      <c r="E26" s="41"/>
      <c r="F26" s="41"/>
      <c r="G26" s="41"/>
      <c r="H26" s="41"/>
      <c r="I26" s="41"/>
      <c r="J26" s="41"/>
      <c r="K26" s="41"/>
      <c r="L26" s="41"/>
      <c r="M26" s="41"/>
      <c r="T26" s="122"/>
      <c r="X26" s="41"/>
      <c r="Y26" s="41"/>
      <c r="Z26" s="41"/>
      <c r="AA26" s="41"/>
      <c r="AB26" s="41"/>
      <c r="AC26" s="129"/>
      <c r="BP26" s="31"/>
    </row>
    <row r="27" spans="2:68" x14ac:dyDescent="0.2">
      <c r="B27" s="41"/>
      <c r="C27" s="41"/>
      <c r="D27" s="41"/>
      <c r="E27" s="41"/>
      <c r="F27" s="41"/>
      <c r="G27" s="41"/>
      <c r="H27" s="41"/>
      <c r="I27" s="41"/>
      <c r="J27" s="41"/>
      <c r="K27" s="41"/>
      <c r="L27" s="41"/>
      <c r="M27" s="41"/>
      <c r="X27" s="41"/>
      <c r="Y27" s="41"/>
      <c r="Z27" s="41"/>
      <c r="AA27" s="41"/>
      <c r="AB27" s="41"/>
      <c r="AC27" s="41"/>
    </row>
    <row r="28" spans="2:68" ht="26.25" customHeight="1" x14ac:dyDescent="0.2">
      <c r="B28" s="73" t="s">
        <v>0</v>
      </c>
      <c r="C28" s="41"/>
      <c r="D28" s="104" t="s">
        <v>310</v>
      </c>
      <c r="E28" s="104" t="s">
        <v>311</v>
      </c>
      <c r="F28" s="41"/>
      <c r="G28" s="105" t="s">
        <v>308</v>
      </c>
      <c r="H28" s="405" t="s">
        <v>306</v>
      </c>
      <c r="I28" s="105" t="s">
        <v>307</v>
      </c>
      <c r="K28" s="393" t="s">
        <v>480</v>
      </c>
      <c r="L28" s="394"/>
      <c r="M28" s="394"/>
      <c r="N28" s="394"/>
      <c r="O28" s="394"/>
      <c r="P28" s="394"/>
      <c r="Q28" s="394"/>
      <c r="R28" s="394"/>
      <c r="X28" s="41"/>
      <c r="Y28" s="41"/>
      <c r="Z28" s="41"/>
      <c r="AA28" s="41"/>
      <c r="AB28" s="41"/>
      <c r="AC28" s="41"/>
    </row>
    <row r="29" spans="2:68" x14ac:dyDescent="0.2">
      <c r="B29" s="2" t="s">
        <v>101</v>
      </c>
      <c r="C29" s="41"/>
      <c r="D29" s="84">
        <v>1</v>
      </c>
      <c r="E29" s="84">
        <v>3</v>
      </c>
      <c r="F29" s="41"/>
      <c r="G29" s="113" t="s">
        <v>472</v>
      </c>
      <c r="H29" s="402">
        <f t="shared" ref="H29:H34" si="16">((I8-MIN(I$8:I$15))/(MAX(I$8:I$15)-MIN(I$8:I$15)))+((M8-MIN(M$8:M$15))/(MAX(M$8:M$15)-MIN(M$8:M$15)))+((S8-MIN(S$8:S$15))/(MAX(S$8:S$15)-MIN(S$8:S$15)))+((Y8-MIN(Y$8:Y$15))/(MAX(Y$8:Y$15)-MIN(Y$8:Y$15)))+((AC8-MIN(AC$8:AC$15))/(MAX(AC$8:AC$15)-MIN(AC$8:AC$15)))+((AI8-MIN(AI$8:AI$15))/(MAX(AI$8:AI$15)-MIN(AI$8:AI$15)))</f>
        <v>1.71772566996039</v>
      </c>
      <c r="I29" s="124">
        <f>RANK(H29,H$29:H$36)</f>
        <v>8</v>
      </c>
      <c r="K29" s="391" t="s">
        <v>476</v>
      </c>
      <c r="L29" s="391"/>
      <c r="M29" s="391"/>
      <c r="N29" s="391"/>
      <c r="O29" s="391"/>
      <c r="P29" s="391"/>
      <c r="Q29" s="391"/>
      <c r="R29" s="391"/>
      <c r="AH29" s="184"/>
      <c r="AI29" s="114"/>
    </row>
    <row r="30" spans="2:68" x14ac:dyDescent="0.2">
      <c r="B30" s="6" t="s">
        <v>195</v>
      </c>
      <c r="C30" s="41"/>
      <c r="D30" s="84"/>
      <c r="E30" s="84"/>
      <c r="F30" s="41"/>
      <c r="G30" s="88" t="s">
        <v>472</v>
      </c>
      <c r="H30" s="403">
        <f t="shared" si="16"/>
        <v>2.7651894711400042</v>
      </c>
      <c r="I30" s="124">
        <f t="shared" ref="I30:I36" si="17">RANK(H30,H$29:H$36)</f>
        <v>4</v>
      </c>
      <c r="K30" s="58" t="s">
        <v>477</v>
      </c>
      <c r="L30" s="57"/>
      <c r="M30" s="57"/>
      <c r="N30" s="57"/>
      <c r="O30" s="57"/>
      <c r="P30" s="57"/>
      <c r="Q30" s="57"/>
      <c r="R30" s="57"/>
      <c r="AH30" s="185"/>
      <c r="AI30" s="89"/>
    </row>
    <row r="31" spans="2:68" x14ac:dyDescent="0.2">
      <c r="B31" s="4" t="s">
        <v>36</v>
      </c>
      <c r="C31" s="41"/>
      <c r="D31" s="84"/>
      <c r="E31" s="84"/>
      <c r="F31" s="41"/>
      <c r="G31" s="88" t="s">
        <v>309</v>
      </c>
      <c r="H31" s="403">
        <f t="shared" si="16"/>
        <v>3.0581594106989889</v>
      </c>
      <c r="I31" s="124">
        <f t="shared" si="17"/>
        <v>3</v>
      </c>
      <c r="K31" s="58" t="s">
        <v>474</v>
      </c>
      <c r="L31" s="57"/>
      <c r="M31" s="57"/>
      <c r="N31" s="57"/>
      <c r="O31" s="57"/>
      <c r="P31" s="57"/>
      <c r="Q31" s="57"/>
      <c r="R31" s="57"/>
      <c r="AH31" s="185"/>
      <c r="AI31" s="89"/>
    </row>
    <row r="32" spans="2:68" x14ac:dyDescent="0.2">
      <c r="B32" s="5" t="s">
        <v>189</v>
      </c>
      <c r="C32" s="41"/>
      <c r="D32" s="84"/>
      <c r="E32" s="84"/>
      <c r="F32" s="41"/>
      <c r="G32" s="88" t="s">
        <v>472</v>
      </c>
      <c r="H32" s="403">
        <f t="shared" si="16"/>
        <v>2.6148894114116796</v>
      </c>
      <c r="I32" s="124">
        <f t="shared" si="17"/>
        <v>5</v>
      </c>
      <c r="K32" s="58" t="s">
        <v>478</v>
      </c>
      <c r="L32" s="57"/>
      <c r="M32" s="57"/>
      <c r="N32" s="57"/>
      <c r="O32" s="57"/>
      <c r="P32" s="57"/>
      <c r="Q32" s="57"/>
      <c r="R32" s="57"/>
      <c r="AH32" s="185"/>
      <c r="AI32" s="89"/>
    </row>
    <row r="33" spans="2:35" x14ac:dyDescent="0.2">
      <c r="B33" s="3" t="s">
        <v>190</v>
      </c>
      <c r="C33" s="46"/>
      <c r="D33" s="88">
        <v>1</v>
      </c>
      <c r="E33" s="88"/>
      <c r="F33" s="46"/>
      <c r="G33" s="88" t="s">
        <v>472</v>
      </c>
      <c r="H33" s="403">
        <f t="shared" si="16"/>
        <v>2.5096687002037967</v>
      </c>
      <c r="I33" s="124">
        <f t="shared" si="17"/>
        <v>6</v>
      </c>
      <c r="J33" s="42"/>
      <c r="K33" s="58" t="s">
        <v>478</v>
      </c>
      <c r="L33" s="57"/>
      <c r="M33" s="57"/>
      <c r="N33" s="57"/>
      <c r="O33" s="57"/>
      <c r="P33" s="57"/>
      <c r="Q33" s="57"/>
      <c r="R33" s="57"/>
      <c r="AH33" s="185"/>
      <c r="AI33" s="89"/>
    </row>
    <row r="34" spans="2:35" x14ac:dyDescent="0.2">
      <c r="B34" s="3" t="s">
        <v>256</v>
      </c>
      <c r="C34" s="46"/>
      <c r="D34" s="88">
        <v>1</v>
      </c>
      <c r="E34" s="88">
        <v>1</v>
      </c>
      <c r="F34" s="46"/>
      <c r="G34" s="88" t="s">
        <v>292</v>
      </c>
      <c r="H34" s="403">
        <f t="shared" si="16"/>
        <v>3.5067178311052327</v>
      </c>
      <c r="I34" s="124">
        <f t="shared" si="17"/>
        <v>2</v>
      </c>
      <c r="J34" s="42"/>
      <c r="K34" s="58" t="s">
        <v>474</v>
      </c>
      <c r="L34" s="57"/>
      <c r="M34" s="57"/>
      <c r="N34" s="57"/>
      <c r="O34" s="57"/>
      <c r="P34" s="57"/>
      <c r="Q34" s="57"/>
      <c r="R34" s="57"/>
      <c r="AH34" s="185"/>
      <c r="AI34" s="89"/>
    </row>
    <row r="35" spans="2:35" x14ac:dyDescent="0.2">
      <c r="B35" s="3" t="s">
        <v>192</v>
      </c>
      <c r="C35" s="46"/>
      <c r="D35" s="88"/>
      <c r="E35" s="88">
        <v>2</v>
      </c>
      <c r="F35" s="46"/>
      <c r="G35" s="88" t="s">
        <v>472</v>
      </c>
      <c r="H35" s="403">
        <f t="shared" ref="H35:H36" si="18">((I14-MIN(I$8:I$15))/(MAX(I$8:I$15)-MIN(I$8:I$15)))+((M14-MIN(M$8:M$15))/(MAX(M$8:M$15)-MIN(M$8:M$15)))+((S14-MIN(S$8:S$15))/(MAX(S$8:S$15)-MIN(S$8:S$15)))+((Y14-MIN(Y$8:Y$15))/(MAX(Y$8:Y$15)-MIN(Y$8:Y$15)))+((AC14-MIN(AC$8:AC$15))/(MAX(AC$8:AC$15)-MIN(AC$8:AC$15)))+((AI14-MIN(AI$8:AI$15))/(MAX(AI$8:AI$15)-MIN(AI$8:AI$15)))</f>
        <v>2.1905416536493378</v>
      </c>
      <c r="I35" s="124">
        <f t="shared" si="17"/>
        <v>7</v>
      </c>
      <c r="J35" s="42"/>
      <c r="K35" s="58" t="s">
        <v>478</v>
      </c>
      <c r="L35" s="57"/>
      <c r="M35" s="57"/>
      <c r="N35" s="57"/>
      <c r="O35" s="57"/>
      <c r="P35" s="57"/>
      <c r="Q35" s="57"/>
      <c r="R35" s="57"/>
      <c r="AH35" s="185"/>
      <c r="AI35" s="89"/>
    </row>
    <row r="36" spans="2:35" x14ac:dyDescent="0.2">
      <c r="B36" s="30" t="s">
        <v>330</v>
      </c>
      <c r="C36" s="41"/>
      <c r="D36" s="91">
        <v>3</v>
      </c>
      <c r="E36" s="91"/>
      <c r="F36" s="41"/>
      <c r="G36" s="91" t="s">
        <v>309</v>
      </c>
      <c r="H36" s="404">
        <f t="shared" si="18"/>
        <v>4.8338788974275175</v>
      </c>
      <c r="I36" s="173">
        <f t="shared" si="17"/>
        <v>1</v>
      </c>
      <c r="K36" s="392" t="s">
        <v>475</v>
      </c>
      <c r="L36" s="392"/>
      <c r="M36" s="392"/>
      <c r="N36" s="392"/>
      <c r="O36" s="392"/>
      <c r="P36" s="392"/>
      <c r="Q36" s="392"/>
      <c r="R36" s="392"/>
      <c r="AH36" s="185"/>
      <c r="AI36" s="89"/>
    </row>
    <row r="37" spans="2:35" ht="12.75" customHeight="1" x14ac:dyDescent="0.25">
      <c r="B37" s="41"/>
      <c r="C37" s="41"/>
      <c r="D37" s="41"/>
      <c r="E37" s="41"/>
      <c r="F37" s="41"/>
      <c r="G37" s="41"/>
      <c r="H37" s="41"/>
      <c r="I37" s="41"/>
      <c r="J37" s="41"/>
      <c r="K37" s="41"/>
      <c r="L37" s="41"/>
      <c r="M37" s="41"/>
      <c r="AH37" s="186" t="s">
        <v>312</v>
      </c>
      <c r="AI37" s="92"/>
    </row>
    <row r="38" spans="2:35" x14ac:dyDescent="0.2">
      <c r="B38" s="41"/>
      <c r="C38" s="41"/>
      <c r="D38" s="41"/>
      <c r="E38" s="41"/>
      <c r="F38" s="41"/>
      <c r="G38" s="523" t="s">
        <v>561</v>
      </c>
      <c r="H38" s="523"/>
      <c r="I38" s="523"/>
      <c r="J38" s="41"/>
      <c r="K38" s="41"/>
      <c r="L38" s="41"/>
      <c r="M38" s="41"/>
    </row>
    <row r="39" spans="2:35" x14ac:dyDescent="0.2">
      <c r="B39" s="201" t="s">
        <v>373</v>
      </c>
      <c r="C39" s="46"/>
      <c r="D39" s="46"/>
      <c r="E39" s="46"/>
      <c r="F39" s="41"/>
      <c r="G39" s="41"/>
      <c r="H39" s="41"/>
      <c r="I39" s="41"/>
      <c r="J39" s="41"/>
      <c r="K39" s="41"/>
      <c r="L39" s="129"/>
      <c r="M39" s="41"/>
    </row>
    <row r="40" spans="2:35" x14ac:dyDescent="0.2">
      <c r="B40" s="202" t="s">
        <v>305</v>
      </c>
      <c r="C40" s="46"/>
      <c r="D40" s="46"/>
      <c r="E40" s="46"/>
      <c r="F40" s="41"/>
      <c r="G40" s="41"/>
      <c r="H40" s="41"/>
      <c r="I40" s="41"/>
      <c r="J40" s="41"/>
      <c r="K40" s="41"/>
      <c r="L40" s="41"/>
      <c r="M40" s="41"/>
    </row>
    <row r="41" spans="2:35" x14ac:dyDescent="0.2">
      <c r="B41" s="202" t="s">
        <v>471</v>
      </c>
      <c r="C41" s="46"/>
      <c r="D41" s="46"/>
      <c r="E41" s="46"/>
      <c r="F41" s="41"/>
      <c r="G41" s="41"/>
      <c r="H41" s="41"/>
      <c r="I41" s="41"/>
      <c r="J41" s="41"/>
      <c r="K41" s="41"/>
      <c r="L41" s="41"/>
      <c r="M41" s="41"/>
    </row>
    <row r="42" spans="2:35" x14ac:dyDescent="0.2">
      <c r="B42" s="202" t="s">
        <v>342</v>
      </c>
      <c r="C42" s="46"/>
      <c r="D42" s="46"/>
      <c r="E42" s="42"/>
    </row>
    <row r="43" spans="2:35" x14ac:dyDescent="0.2">
      <c r="B43" s="202" t="s">
        <v>360</v>
      </c>
      <c r="C43" s="46"/>
      <c r="D43" s="46"/>
    </row>
    <row r="44" spans="2:35" x14ac:dyDescent="0.2">
      <c r="B44" s="202" t="s">
        <v>361</v>
      </c>
      <c r="C44" s="46"/>
      <c r="D44" s="46"/>
    </row>
    <row r="45" spans="2:35" x14ac:dyDescent="0.2">
      <c r="B45" s="203" t="s">
        <v>362</v>
      </c>
      <c r="C45" s="46"/>
      <c r="D45" s="46"/>
    </row>
    <row r="48" spans="2:35" ht="15" customHeight="1" x14ac:dyDescent="0.2">
      <c r="C48" s="522" t="s">
        <v>560</v>
      </c>
      <c r="D48" s="522"/>
      <c r="E48" s="522"/>
      <c r="F48" s="522"/>
      <c r="G48" s="522"/>
      <c r="H48" s="522"/>
      <c r="I48" s="522"/>
      <c r="J48" s="522"/>
      <c r="K48" s="522"/>
      <c r="L48" s="522"/>
      <c r="M48" s="522"/>
      <c r="N48" s="522"/>
      <c r="O48" s="522"/>
    </row>
    <row r="49" spans="3:15" ht="15" customHeight="1" x14ac:dyDescent="0.2">
      <c r="C49" s="522"/>
      <c r="D49" s="522"/>
      <c r="E49" s="522"/>
      <c r="F49" s="522"/>
      <c r="G49" s="522"/>
      <c r="H49" s="522"/>
      <c r="I49" s="522"/>
      <c r="J49" s="522"/>
      <c r="K49" s="522"/>
      <c r="L49" s="522"/>
      <c r="M49" s="522"/>
      <c r="N49" s="522"/>
      <c r="O49" s="522"/>
    </row>
    <row r="50" spans="3:15" ht="15" customHeight="1" x14ac:dyDescent="0.2">
      <c r="C50" s="522"/>
      <c r="D50" s="522"/>
      <c r="E50" s="522"/>
      <c r="F50" s="522"/>
      <c r="G50" s="522"/>
      <c r="H50" s="522"/>
      <c r="I50" s="522"/>
      <c r="J50" s="522"/>
      <c r="K50" s="522"/>
      <c r="L50" s="522"/>
      <c r="M50" s="522"/>
      <c r="N50" s="522"/>
      <c r="O50" s="522"/>
    </row>
    <row r="51" spans="3:15" x14ac:dyDescent="0.2">
      <c r="C51" s="40"/>
      <c r="D51" s="40"/>
      <c r="E51" s="40"/>
      <c r="F51" s="40"/>
      <c r="G51" s="40"/>
      <c r="H51" s="40"/>
      <c r="I51" s="40"/>
      <c r="J51" s="40"/>
      <c r="K51" s="40"/>
      <c r="L51" s="40"/>
      <c r="M51" s="40"/>
      <c r="N51" s="40"/>
      <c r="O51" s="40"/>
    </row>
    <row r="52" spans="3:15" x14ac:dyDescent="0.2">
      <c r="C52" s="40"/>
      <c r="D52" s="40"/>
      <c r="E52" s="40"/>
      <c r="F52" s="40"/>
      <c r="G52" s="40"/>
      <c r="H52" s="40"/>
      <c r="I52" s="40"/>
      <c r="J52" s="40"/>
      <c r="K52" s="40"/>
      <c r="L52" s="40"/>
      <c r="M52" s="40"/>
      <c r="N52" s="40"/>
      <c r="O52" s="40"/>
    </row>
    <row r="53" spans="3:15" x14ac:dyDescent="0.2">
      <c r="C53" s="40"/>
      <c r="D53" s="40"/>
      <c r="E53" s="40"/>
      <c r="F53" s="40"/>
      <c r="G53" s="40"/>
      <c r="H53" s="40"/>
      <c r="I53" s="40"/>
      <c r="J53" s="40"/>
      <c r="K53" s="40"/>
      <c r="L53" s="40"/>
      <c r="M53" s="40"/>
      <c r="N53" s="40"/>
      <c r="O53" s="40"/>
    </row>
    <row r="54" spans="3:15" x14ac:dyDescent="0.2">
      <c r="C54" s="40"/>
      <c r="D54" s="40"/>
      <c r="E54" s="40"/>
      <c r="F54" s="40"/>
      <c r="G54" s="40"/>
      <c r="H54" s="40"/>
      <c r="I54" s="40"/>
      <c r="J54" s="40"/>
      <c r="K54" s="40"/>
      <c r="L54" s="40"/>
      <c r="M54" s="40"/>
      <c r="N54" s="40"/>
      <c r="O54" s="40"/>
    </row>
    <row r="55" spans="3:15" x14ac:dyDescent="0.2">
      <c r="C55" s="40"/>
      <c r="D55" s="40"/>
      <c r="E55" s="40"/>
      <c r="F55" s="40"/>
      <c r="G55" s="40"/>
      <c r="H55" s="40"/>
      <c r="I55" s="40"/>
      <c r="J55" s="40"/>
      <c r="K55" s="40"/>
      <c r="L55" s="40"/>
      <c r="M55" s="40"/>
      <c r="N55" s="40"/>
      <c r="O55" s="40"/>
    </row>
    <row r="56" spans="3:15" x14ac:dyDescent="0.2">
      <c r="C56" s="40"/>
      <c r="D56" s="40"/>
      <c r="E56" s="40"/>
      <c r="F56" s="40"/>
      <c r="G56" s="40"/>
      <c r="H56" s="40"/>
      <c r="I56" s="40"/>
      <c r="J56" s="40"/>
      <c r="K56" s="40"/>
      <c r="L56" s="40"/>
      <c r="M56" s="40"/>
      <c r="N56" s="40"/>
      <c r="O56" s="40"/>
    </row>
    <row r="57" spans="3:15" x14ac:dyDescent="0.2">
      <c r="C57" s="40"/>
      <c r="D57" s="40"/>
      <c r="E57" s="40"/>
      <c r="F57" s="40"/>
      <c r="G57" s="40"/>
      <c r="H57" s="40"/>
      <c r="I57" s="40"/>
      <c r="J57" s="40"/>
      <c r="K57" s="40"/>
      <c r="L57" s="40">
        <v>2</v>
      </c>
      <c r="M57" s="40"/>
      <c r="N57" s="40"/>
      <c r="O57" s="40"/>
    </row>
    <row r="58" spans="3:15" x14ac:dyDescent="0.2">
      <c r="C58" s="40"/>
      <c r="D58" s="40"/>
      <c r="E58" s="40"/>
      <c r="F58" s="40"/>
      <c r="G58" s="40"/>
      <c r="H58" s="40"/>
      <c r="I58" s="40"/>
      <c r="J58" s="40"/>
      <c r="K58" s="40"/>
      <c r="L58" s="40">
        <v>10</v>
      </c>
      <c r="M58" s="40"/>
      <c r="N58" s="40"/>
      <c r="O58" s="40"/>
    </row>
    <row r="59" spans="3:15" x14ac:dyDescent="0.2">
      <c r="C59" s="40"/>
      <c r="D59" s="40"/>
      <c r="E59" s="40"/>
      <c r="F59" s="40"/>
      <c r="G59" s="40"/>
      <c r="H59" s="40"/>
      <c r="I59" s="40"/>
      <c r="J59" s="40"/>
      <c r="K59" s="40"/>
      <c r="L59" s="40"/>
      <c r="M59" s="40"/>
      <c r="N59" s="40"/>
      <c r="O59" s="40"/>
    </row>
    <row r="60" spans="3:15" x14ac:dyDescent="0.2">
      <c r="C60" s="40"/>
      <c r="D60" s="40"/>
      <c r="E60" s="40"/>
      <c r="F60" s="40"/>
      <c r="G60" s="40"/>
      <c r="H60" s="40"/>
      <c r="I60" s="40"/>
      <c r="J60" s="40"/>
      <c r="K60" s="40"/>
      <c r="L60" s="40"/>
      <c r="M60" s="40"/>
      <c r="N60" s="40"/>
      <c r="O60" s="40"/>
    </row>
    <row r="61" spans="3:15" x14ac:dyDescent="0.2">
      <c r="C61" s="40"/>
      <c r="D61" s="40"/>
      <c r="E61" s="40"/>
      <c r="F61" s="40"/>
      <c r="G61" s="40"/>
      <c r="H61" s="40"/>
      <c r="I61" s="40"/>
      <c r="J61" s="40"/>
      <c r="K61" s="40"/>
      <c r="L61" s="40"/>
      <c r="M61" s="40"/>
      <c r="N61" s="40"/>
      <c r="O61" s="40"/>
    </row>
    <row r="62" spans="3:15" x14ac:dyDescent="0.2">
      <c r="C62" s="40"/>
      <c r="D62" s="40"/>
      <c r="E62" s="40"/>
      <c r="F62" s="40"/>
      <c r="G62" s="40"/>
      <c r="H62" s="40"/>
      <c r="I62" s="40"/>
      <c r="J62" s="40"/>
      <c r="K62" s="40"/>
      <c r="L62" s="40"/>
      <c r="M62" s="40"/>
      <c r="N62" s="40"/>
      <c r="O62" s="40"/>
    </row>
    <row r="63" spans="3:15" x14ac:dyDescent="0.2">
      <c r="C63" s="40"/>
      <c r="D63" s="40"/>
      <c r="E63" s="40"/>
      <c r="F63" s="40"/>
      <c r="G63" s="40"/>
      <c r="H63" s="40"/>
      <c r="I63" s="40"/>
      <c r="J63" s="40"/>
      <c r="K63" s="40"/>
      <c r="L63" s="40"/>
      <c r="M63" s="40"/>
      <c r="N63" s="40"/>
      <c r="O63" s="40"/>
    </row>
    <row r="64" spans="3:15" x14ac:dyDescent="0.2">
      <c r="C64" s="40"/>
      <c r="D64" s="40"/>
      <c r="E64" s="40"/>
      <c r="F64" s="40"/>
      <c r="G64" s="40"/>
      <c r="H64" s="40"/>
      <c r="I64" s="40"/>
      <c r="J64" s="40"/>
      <c r="K64" s="40"/>
      <c r="L64" s="40"/>
      <c r="M64" s="40"/>
      <c r="N64" s="40"/>
      <c r="O64" s="40"/>
    </row>
    <row r="65" spans="3:15" x14ac:dyDescent="0.2">
      <c r="C65" s="40"/>
      <c r="D65" s="40"/>
      <c r="E65" s="40"/>
      <c r="F65" s="40"/>
      <c r="G65" s="40"/>
      <c r="H65" s="40"/>
      <c r="I65" s="40"/>
      <c r="J65" s="40"/>
      <c r="K65" s="40"/>
      <c r="L65" s="40"/>
      <c r="M65" s="40"/>
      <c r="N65" s="40"/>
      <c r="O65" s="40"/>
    </row>
    <row r="66" spans="3:15" x14ac:dyDescent="0.2">
      <c r="C66" s="40"/>
      <c r="D66" s="40"/>
      <c r="E66" s="40"/>
      <c r="F66" s="40"/>
      <c r="G66" s="40"/>
      <c r="H66" s="40"/>
      <c r="I66" s="40"/>
      <c r="J66" s="40"/>
      <c r="K66" s="40"/>
      <c r="L66" s="40"/>
      <c r="M66" s="40"/>
      <c r="N66" s="40"/>
      <c r="O66" s="40"/>
    </row>
    <row r="67" spans="3:15" x14ac:dyDescent="0.2">
      <c r="C67" s="40"/>
      <c r="D67" s="40"/>
      <c r="E67" s="40"/>
      <c r="F67" s="40"/>
      <c r="G67" s="40"/>
      <c r="H67" s="40"/>
      <c r="I67" s="40"/>
      <c r="J67" s="40"/>
      <c r="K67" s="40"/>
      <c r="L67" s="40"/>
      <c r="M67" s="40"/>
      <c r="N67" s="40"/>
      <c r="O67" s="40"/>
    </row>
    <row r="68" spans="3:15" x14ac:dyDescent="0.2">
      <c r="C68" s="40"/>
      <c r="D68" s="40"/>
      <c r="E68" s="40"/>
      <c r="F68" s="40"/>
      <c r="G68" s="40"/>
      <c r="H68" s="40"/>
      <c r="I68" s="40"/>
      <c r="J68" s="40"/>
      <c r="K68" s="40"/>
      <c r="L68" s="40"/>
      <c r="M68" s="40"/>
      <c r="N68" s="40"/>
      <c r="O68" s="40"/>
    </row>
    <row r="69" spans="3:15" x14ac:dyDescent="0.2">
      <c r="C69" s="40"/>
      <c r="D69" s="40"/>
      <c r="E69" s="40"/>
      <c r="F69" s="40"/>
      <c r="G69" s="40"/>
      <c r="H69" s="40"/>
      <c r="I69" s="40"/>
      <c r="J69" s="40"/>
      <c r="K69" s="40"/>
      <c r="L69" s="40"/>
      <c r="M69" s="40"/>
      <c r="N69" s="40"/>
      <c r="O69" s="40"/>
    </row>
    <row r="70" spans="3:15" x14ac:dyDescent="0.2">
      <c r="C70" s="40"/>
      <c r="D70" s="40"/>
      <c r="E70" s="40"/>
      <c r="F70" s="40"/>
      <c r="G70" s="40"/>
      <c r="H70" s="40"/>
      <c r="I70" s="40"/>
      <c r="J70" s="40"/>
      <c r="K70" s="40"/>
      <c r="L70" s="40"/>
      <c r="M70" s="40"/>
      <c r="N70" s="40"/>
      <c r="O70" s="40"/>
    </row>
    <row r="71" spans="3:15" x14ac:dyDescent="0.2">
      <c r="C71" s="40"/>
      <c r="D71" s="40"/>
      <c r="E71" s="40"/>
      <c r="F71" s="40"/>
      <c r="G71" s="40"/>
      <c r="H71" s="40"/>
      <c r="I71" s="40"/>
      <c r="J71" s="40"/>
      <c r="K71" s="40"/>
      <c r="L71" s="40"/>
      <c r="M71" s="40"/>
      <c r="N71" s="40"/>
      <c r="O71" s="40"/>
    </row>
    <row r="72" spans="3:15" x14ac:dyDescent="0.2">
      <c r="C72" s="40"/>
      <c r="D72" s="40"/>
      <c r="E72" s="40"/>
      <c r="F72" s="40"/>
      <c r="G72" s="40"/>
      <c r="H72" s="40"/>
      <c r="I72" s="40"/>
      <c r="J72" s="40"/>
      <c r="K72" s="40"/>
      <c r="L72" s="40"/>
      <c r="M72" s="40"/>
      <c r="N72" s="40"/>
      <c r="O72" s="40"/>
    </row>
    <row r="73" spans="3:15" x14ac:dyDescent="0.2">
      <c r="C73" s="40"/>
      <c r="D73" s="40"/>
      <c r="E73" s="40"/>
      <c r="F73" s="40"/>
      <c r="G73" s="40"/>
      <c r="H73" s="40"/>
      <c r="I73" s="40"/>
      <c r="J73" s="40"/>
      <c r="K73" s="40"/>
      <c r="L73" s="40"/>
      <c r="M73" s="40"/>
      <c r="N73" s="40"/>
      <c r="O73" s="40"/>
    </row>
    <row r="74" spans="3:15" x14ac:dyDescent="0.2">
      <c r="C74" s="40"/>
      <c r="D74" s="40"/>
      <c r="E74" s="40"/>
      <c r="F74" s="40"/>
      <c r="G74" s="40"/>
      <c r="H74" s="40"/>
      <c r="I74" s="40"/>
      <c r="J74" s="40"/>
      <c r="K74" s="40"/>
      <c r="L74" s="40"/>
      <c r="M74" s="40"/>
      <c r="N74" s="40"/>
      <c r="O74" s="40"/>
    </row>
    <row r="75" spans="3:15" x14ac:dyDescent="0.2">
      <c r="C75" s="40"/>
      <c r="D75" s="40"/>
      <c r="E75" s="40"/>
      <c r="F75" s="40"/>
      <c r="G75" s="40"/>
      <c r="H75" s="40"/>
      <c r="I75" s="40"/>
      <c r="J75" s="40"/>
      <c r="K75" s="40"/>
      <c r="L75" s="40"/>
      <c r="M75" s="40"/>
      <c r="N75" s="40"/>
      <c r="O75" s="40"/>
    </row>
    <row r="76" spans="3:15" x14ac:dyDescent="0.2">
      <c r="C76" s="40"/>
      <c r="D76" s="40"/>
      <c r="E76" s="40"/>
      <c r="F76" s="40"/>
      <c r="G76" s="40"/>
      <c r="H76" s="40"/>
      <c r="I76" s="40"/>
      <c r="J76" s="40"/>
      <c r="K76" s="40"/>
      <c r="L76" s="40"/>
      <c r="M76" s="40"/>
      <c r="N76" s="40"/>
      <c r="O76" s="40"/>
    </row>
    <row r="77" spans="3:15" x14ac:dyDescent="0.2">
      <c r="C77" s="40"/>
      <c r="D77" s="40"/>
      <c r="E77" s="40"/>
      <c r="F77" s="40"/>
      <c r="G77" s="40"/>
      <c r="H77" s="40"/>
      <c r="I77" s="40"/>
      <c r="J77" s="40"/>
      <c r="K77" s="40"/>
      <c r="L77" s="40"/>
      <c r="M77" s="40"/>
      <c r="N77" s="40"/>
      <c r="O77" s="40"/>
    </row>
    <row r="78" spans="3:15" x14ac:dyDescent="0.2">
      <c r="C78" s="40"/>
      <c r="D78" s="40"/>
      <c r="E78" s="40"/>
      <c r="F78" s="40"/>
      <c r="G78" s="40"/>
      <c r="H78" s="40"/>
      <c r="I78" s="40"/>
      <c r="J78" s="40"/>
      <c r="K78" s="40"/>
      <c r="L78" s="40"/>
      <c r="M78" s="40"/>
      <c r="N78" s="40"/>
      <c r="O78" s="40"/>
    </row>
    <row r="79" spans="3:15" x14ac:dyDescent="0.2">
      <c r="C79" s="40"/>
      <c r="D79" s="40"/>
      <c r="E79" s="40"/>
      <c r="F79" s="40"/>
      <c r="G79" s="40"/>
      <c r="H79" s="40"/>
      <c r="I79" s="40"/>
      <c r="J79" s="40"/>
      <c r="K79" s="40"/>
      <c r="L79" s="40"/>
      <c r="M79" s="40"/>
      <c r="N79" s="40"/>
      <c r="O79" s="40"/>
    </row>
    <row r="80" spans="3:15" x14ac:dyDescent="0.2">
      <c r="C80" s="40"/>
      <c r="D80" s="40"/>
      <c r="E80" s="40"/>
      <c r="F80" s="40"/>
      <c r="G80" s="40"/>
      <c r="H80" s="40"/>
      <c r="I80" s="40"/>
      <c r="J80" s="40"/>
      <c r="K80" s="40"/>
      <c r="L80" s="40"/>
      <c r="M80" s="40"/>
      <c r="N80" s="40"/>
      <c r="O80" s="40"/>
    </row>
    <row r="81" spans="3:15" x14ac:dyDescent="0.2">
      <c r="C81" s="40"/>
      <c r="D81" s="40"/>
      <c r="E81" s="40"/>
      <c r="F81" s="40"/>
      <c r="G81" s="40"/>
      <c r="H81" s="40"/>
      <c r="I81" s="40"/>
      <c r="J81" s="40"/>
      <c r="K81" s="40"/>
      <c r="L81" s="40"/>
      <c r="M81" s="40"/>
      <c r="N81" s="40"/>
      <c r="O81" s="40"/>
    </row>
    <row r="82" spans="3:15" x14ac:dyDescent="0.2">
      <c r="C82" s="40"/>
      <c r="D82" s="40"/>
      <c r="E82" s="40"/>
      <c r="F82" s="40"/>
      <c r="G82" s="40"/>
      <c r="H82" s="40"/>
      <c r="I82" s="40"/>
      <c r="J82" s="40"/>
      <c r="K82" s="40"/>
      <c r="L82" s="40"/>
      <c r="M82" s="40"/>
      <c r="N82" s="40"/>
      <c r="O82" s="40"/>
    </row>
    <row r="83" spans="3:15" x14ac:dyDescent="0.2">
      <c r="C83" s="40"/>
      <c r="D83" s="40"/>
      <c r="E83" s="40"/>
      <c r="F83" s="40"/>
      <c r="G83" s="40"/>
      <c r="H83" s="40"/>
      <c r="I83" s="40"/>
      <c r="J83" s="40"/>
      <c r="K83" s="40" t="s">
        <v>260</v>
      </c>
      <c r="L83" s="40"/>
      <c r="M83" s="40"/>
      <c r="N83" s="40"/>
      <c r="O83" s="40"/>
    </row>
    <row r="84" spans="3:15" x14ac:dyDescent="0.2">
      <c r="C84" s="40"/>
      <c r="D84" s="40"/>
      <c r="E84" s="40"/>
      <c r="F84" s="40"/>
      <c r="G84" s="40"/>
      <c r="H84" s="40"/>
      <c r="I84" s="40"/>
      <c r="J84" s="40"/>
      <c r="K84" s="204">
        <v>2</v>
      </c>
      <c r="L84" s="204">
        <v>10</v>
      </c>
      <c r="M84" s="40"/>
      <c r="N84" s="40"/>
      <c r="O84" s="40"/>
    </row>
    <row r="85" spans="3:15" x14ac:dyDescent="0.2">
      <c r="C85" s="40"/>
      <c r="D85" s="40"/>
      <c r="E85" s="40"/>
      <c r="F85" s="40"/>
      <c r="G85" s="40"/>
      <c r="H85" s="40"/>
      <c r="I85" s="40"/>
      <c r="J85" s="40"/>
      <c r="K85" s="204">
        <v>3</v>
      </c>
      <c r="L85" s="40"/>
      <c r="M85" s="40"/>
      <c r="N85" s="40"/>
      <c r="O85" s="40"/>
    </row>
    <row r="86" spans="3:15" x14ac:dyDescent="0.2">
      <c r="C86" s="40"/>
      <c r="D86" s="40"/>
      <c r="E86" s="40"/>
      <c r="F86" s="40"/>
      <c r="G86" s="40"/>
      <c r="H86" s="40"/>
      <c r="I86" s="40"/>
      <c r="J86" s="40"/>
      <c r="K86" s="204">
        <v>4</v>
      </c>
      <c r="L86" s="40"/>
      <c r="M86" s="40"/>
      <c r="N86" s="40"/>
      <c r="O86" s="40"/>
    </row>
    <row r="87" spans="3:15" x14ac:dyDescent="0.2">
      <c r="C87" s="40"/>
      <c r="D87" s="40"/>
      <c r="E87" s="40"/>
      <c r="F87" s="40"/>
      <c r="G87" s="40"/>
      <c r="H87" s="40"/>
      <c r="I87" s="40"/>
      <c r="J87" s="40"/>
      <c r="K87" s="204">
        <v>5</v>
      </c>
      <c r="L87" s="40"/>
      <c r="M87" s="40"/>
      <c r="N87" s="40"/>
      <c r="O87" s="40"/>
    </row>
    <row r="88" spans="3:15" x14ac:dyDescent="0.2">
      <c r="C88" s="40"/>
      <c r="D88" s="40"/>
      <c r="E88" s="40"/>
      <c r="F88" s="40"/>
      <c r="G88" s="40"/>
      <c r="H88" s="40"/>
      <c r="I88" s="40"/>
      <c r="J88" s="40"/>
      <c r="K88" s="204">
        <v>6</v>
      </c>
      <c r="L88" s="205">
        <v>1</v>
      </c>
      <c r="M88" s="40">
        <v>-1</v>
      </c>
      <c r="N88" s="40"/>
      <c r="O88" s="40"/>
    </row>
    <row r="89" spans="3:15" x14ac:dyDescent="0.2">
      <c r="C89" s="40"/>
      <c r="D89" s="40"/>
      <c r="E89" s="40"/>
      <c r="F89" s="40"/>
      <c r="G89" s="40"/>
      <c r="H89" s="40"/>
      <c r="I89" s="40"/>
      <c r="J89" s="40"/>
      <c r="K89" s="204">
        <v>7</v>
      </c>
      <c r="L89" s="205">
        <v>1</v>
      </c>
      <c r="M89" s="40">
        <v>0</v>
      </c>
      <c r="N89" s="40"/>
      <c r="O89" s="40"/>
    </row>
    <row r="90" spans="3:15" x14ac:dyDescent="0.2">
      <c r="C90" s="40"/>
      <c r="D90" s="40"/>
      <c r="E90" s="40"/>
      <c r="F90" s="40"/>
      <c r="G90" s="40"/>
      <c r="H90" s="40"/>
      <c r="I90" s="40"/>
      <c r="J90" s="40"/>
      <c r="K90" s="204">
        <v>8</v>
      </c>
      <c r="L90" s="205">
        <v>1</v>
      </c>
      <c r="M90" s="40">
        <v>1</v>
      </c>
      <c r="N90" s="40"/>
      <c r="O90" s="40"/>
    </row>
    <row r="91" spans="3:15" x14ac:dyDescent="0.2">
      <c r="C91" s="40"/>
      <c r="D91" s="40"/>
      <c r="E91" s="40"/>
      <c r="F91" s="40"/>
      <c r="G91" s="40"/>
      <c r="H91" s="40"/>
      <c r="I91" s="40"/>
      <c r="J91" s="40"/>
      <c r="K91" s="204">
        <v>9</v>
      </c>
      <c r="L91" s="40"/>
      <c r="M91" s="40"/>
      <c r="N91" s="40"/>
      <c r="O91" s="40"/>
    </row>
    <row r="92" spans="3:15" x14ac:dyDescent="0.2">
      <c r="C92" s="40"/>
      <c r="D92" s="40"/>
      <c r="E92" s="40"/>
      <c r="F92" s="40"/>
      <c r="G92" s="40"/>
      <c r="H92" s="40"/>
      <c r="I92" s="40"/>
      <c r="J92" s="40"/>
      <c r="K92" s="40"/>
      <c r="L92" s="40"/>
      <c r="M92" s="40"/>
      <c r="N92" s="40"/>
      <c r="O92" s="40"/>
    </row>
    <row r="93" spans="3:15" x14ac:dyDescent="0.2">
      <c r="C93" s="40"/>
      <c r="D93" s="40"/>
      <c r="E93" s="40"/>
      <c r="F93" s="40"/>
      <c r="G93" s="40"/>
      <c r="H93" s="40"/>
      <c r="I93" s="40"/>
      <c r="J93" s="40"/>
      <c r="K93" s="40"/>
      <c r="L93" s="40"/>
      <c r="M93" s="40"/>
      <c r="N93" s="40"/>
      <c r="O93" s="40"/>
    </row>
    <row r="94" spans="3:15" x14ac:dyDescent="0.2">
      <c r="C94" s="40"/>
      <c r="D94" s="40"/>
      <c r="E94" s="40"/>
      <c r="F94" s="40"/>
      <c r="G94" s="40"/>
      <c r="H94" s="40"/>
      <c r="I94" s="40"/>
      <c r="J94" s="40"/>
      <c r="K94" s="40"/>
      <c r="L94" s="40"/>
      <c r="M94" s="40"/>
      <c r="N94" s="40"/>
      <c r="O94" s="40"/>
    </row>
    <row r="95" spans="3:15" x14ac:dyDescent="0.2">
      <c r="C95" s="40"/>
      <c r="D95" s="40"/>
      <c r="E95" s="40"/>
      <c r="F95" s="40"/>
      <c r="G95" s="40"/>
      <c r="H95" s="40"/>
      <c r="I95" s="40"/>
      <c r="J95" s="40"/>
      <c r="K95" s="40"/>
      <c r="L95" s="40"/>
      <c r="M95" s="40"/>
      <c r="N95" s="40"/>
      <c r="O95" s="40"/>
    </row>
    <row r="96" spans="3:15" x14ac:dyDescent="0.2">
      <c r="C96" s="40"/>
      <c r="D96" s="40"/>
      <c r="E96" s="40"/>
      <c r="F96" s="40"/>
      <c r="G96" s="40"/>
      <c r="H96" s="40"/>
      <c r="I96" s="40"/>
      <c r="J96" s="40"/>
      <c r="K96" s="40"/>
      <c r="L96" s="40"/>
      <c r="M96" s="40"/>
      <c r="N96" s="40"/>
      <c r="O96" s="40"/>
    </row>
    <row r="101" spans="2:14" x14ac:dyDescent="0.2">
      <c r="B101" s="41"/>
      <c r="C101" s="41"/>
      <c r="D101" s="41"/>
      <c r="E101" s="41"/>
      <c r="F101" s="41"/>
      <c r="G101" s="41"/>
      <c r="H101" s="41"/>
      <c r="I101" s="41"/>
      <c r="J101" s="41"/>
      <c r="N101" s="41"/>
    </row>
    <row r="102" spans="2:14" x14ac:dyDescent="0.2">
      <c r="B102" s="41"/>
      <c r="C102" s="41"/>
      <c r="D102" s="41"/>
      <c r="E102" s="41"/>
      <c r="F102" s="41"/>
      <c r="G102" s="41"/>
      <c r="H102" s="41"/>
      <c r="I102" s="41"/>
      <c r="J102" s="41"/>
      <c r="K102" s="41"/>
      <c r="L102" s="41"/>
      <c r="M102" s="41"/>
      <c r="N102" s="41"/>
    </row>
    <row r="103" spans="2:14" x14ac:dyDescent="0.2">
      <c r="B103" s="41"/>
      <c r="C103" s="41"/>
      <c r="D103" s="41"/>
      <c r="E103" s="41"/>
      <c r="F103" s="41"/>
      <c r="G103" s="41"/>
      <c r="H103" s="41"/>
      <c r="I103" s="41"/>
      <c r="J103" s="41"/>
      <c r="N103" s="41"/>
    </row>
    <row r="104" spans="2:14" x14ac:dyDescent="0.2">
      <c r="B104" s="41"/>
      <c r="C104" s="41"/>
      <c r="D104" s="41"/>
      <c r="E104" s="41"/>
      <c r="F104" s="41"/>
      <c r="G104" s="41"/>
      <c r="H104" s="41"/>
      <c r="I104" s="41"/>
      <c r="J104" s="41"/>
      <c r="N104" s="41"/>
    </row>
    <row r="105" spans="2:14" x14ac:dyDescent="0.2">
      <c r="B105" s="41"/>
      <c r="C105" s="41"/>
      <c r="D105" s="41"/>
      <c r="E105" s="41"/>
      <c r="F105" s="41"/>
      <c r="G105" s="41"/>
      <c r="H105" s="41"/>
      <c r="I105" s="41"/>
      <c r="J105" s="41"/>
      <c r="N105" s="41"/>
    </row>
    <row r="106" spans="2:14" x14ac:dyDescent="0.2">
      <c r="B106" s="41"/>
      <c r="C106" s="41"/>
      <c r="D106" s="41"/>
      <c r="E106" s="41"/>
      <c r="F106" s="41"/>
      <c r="G106" s="41"/>
      <c r="H106" s="41"/>
      <c r="I106" s="41"/>
      <c r="J106" s="41"/>
      <c r="N106" s="41"/>
    </row>
    <row r="107" spans="2:14" x14ac:dyDescent="0.2">
      <c r="B107" s="41"/>
      <c r="C107" s="41"/>
      <c r="D107" s="41"/>
      <c r="E107" s="41"/>
      <c r="F107" s="41"/>
      <c r="G107" s="41"/>
      <c r="H107" s="41"/>
      <c r="I107" s="41"/>
      <c r="J107" s="41"/>
      <c r="N107" s="41"/>
    </row>
    <row r="108" spans="2:14" x14ac:dyDescent="0.2">
      <c r="B108" s="41"/>
      <c r="C108" s="41"/>
      <c r="D108" s="41"/>
      <c r="E108" s="41"/>
      <c r="F108" s="41"/>
      <c r="G108" s="41"/>
      <c r="H108" s="41"/>
      <c r="I108" s="41"/>
      <c r="J108" s="41"/>
      <c r="N108" s="41"/>
    </row>
    <row r="109" spans="2:14" x14ac:dyDescent="0.2">
      <c r="B109" s="41"/>
      <c r="C109" s="41"/>
      <c r="D109" s="41"/>
      <c r="E109" s="41"/>
      <c r="F109" s="41"/>
      <c r="G109" s="41"/>
      <c r="H109" s="41"/>
      <c r="I109" s="41"/>
      <c r="J109" s="41"/>
      <c r="N109" s="41"/>
    </row>
    <row r="110" spans="2:14" x14ac:dyDescent="0.2">
      <c r="B110" s="41"/>
      <c r="C110" s="41"/>
      <c r="D110" s="41"/>
      <c r="E110" s="41"/>
      <c r="F110" s="41"/>
      <c r="G110" s="41"/>
      <c r="H110" s="41"/>
      <c r="I110" s="41"/>
      <c r="J110" s="41"/>
      <c r="N110" s="41"/>
    </row>
    <row r="111" spans="2:14" x14ac:dyDescent="0.2">
      <c r="B111" s="41"/>
      <c r="C111" s="41"/>
      <c r="D111" s="41"/>
      <c r="E111" s="41"/>
      <c r="F111" s="41"/>
      <c r="G111" s="41"/>
      <c r="H111" s="41"/>
      <c r="I111" s="41"/>
      <c r="J111" s="41"/>
      <c r="N111" s="41"/>
    </row>
    <row r="112" spans="2:14" x14ac:dyDescent="0.2">
      <c r="B112" s="41"/>
      <c r="C112" s="41"/>
      <c r="D112" s="41"/>
      <c r="E112" s="41"/>
      <c r="F112" s="41"/>
      <c r="G112" s="41"/>
      <c r="H112" s="41"/>
      <c r="I112" s="41"/>
      <c r="J112" s="41"/>
      <c r="N112" s="41"/>
    </row>
    <row r="113" spans="2:14" x14ac:dyDescent="0.2">
      <c r="B113" s="41"/>
      <c r="C113" s="41"/>
      <c r="D113" s="41"/>
      <c r="E113" s="41"/>
      <c r="F113" s="41"/>
      <c r="G113" s="41"/>
      <c r="H113" s="41"/>
      <c r="I113" s="41"/>
      <c r="J113" s="41"/>
      <c r="N113" s="41"/>
    </row>
    <row r="114" spans="2:14" x14ac:dyDescent="0.2">
      <c r="B114" s="41"/>
      <c r="C114" s="41"/>
      <c r="D114" s="41"/>
      <c r="E114" s="41"/>
      <c r="F114" s="41"/>
      <c r="G114" s="41"/>
      <c r="H114" s="41"/>
      <c r="I114" s="41"/>
      <c r="J114" s="41"/>
      <c r="N114" s="41"/>
    </row>
    <row r="115" spans="2:14" x14ac:dyDescent="0.2">
      <c r="B115" s="41"/>
      <c r="C115" s="41"/>
      <c r="D115" s="41"/>
      <c r="E115" s="41"/>
      <c r="F115" s="41"/>
      <c r="G115" s="41"/>
      <c r="H115" s="41"/>
      <c r="I115" s="41"/>
      <c r="J115" s="41"/>
      <c r="N115" s="41"/>
    </row>
    <row r="116" spans="2:14" x14ac:dyDescent="0.2">
      <c r="B116" s="41"/>
      <c r="C116" s="41"/>
      <c r="D116" s="41"/>
      <c r="E116" s="41"/>
      <c r="F116" s="41"/>
      <c r="G116" s="41"/>
      <c r="H116" s="41"/>
      <c r="I116" s="41"/>
      <c r="J116" s="41"/>
      <c r="N116" s="41"/>
    </row>
    <row r="121" spans="2:14" x14ac:dyDescent="0.2">
      <c r="K121" s="41"/>
      <c r="L121" s="41"/>
      <c r="M121" s="41"/>
    </row>
  </sheetData>
  <mergeCells count="3">
    <mergeCell ref="B2:I5"/>
    <mergeCell ref="C48:O50"/>
    <mergeCell ref="G38:I38"/>
  </mergeCells>
  <conditionalFormatting sqref="W8">
    <cfRule type="cellIs" dxfId="6" priority="11" operator="notBetween">
      <formula>20</formula>
      <formula>25</formula>
    </cfRule>
  </conditionalFormatting>
  <conditionalFormatting sqref="W9">
    <cfRule type="cellIs" dxfId="5" priority="10" operator="notBetween">
      <formula>20</formula>
      <formula>25</formula>
    </cfRule>
  </conditionalFormatting>
  <conditionalFormatting sqref="W10">
    <cfRule type="cellIs" dxfId="4" priority="9" operator="notBetween">
      <formula>20</formula>
      <formula>25</formula>
    </cfRule>
  </conditionalFormatting>
  <conditionalFormatting sqref="W11:W12">
    <cfRule type="cellIs" dxfId="3" priority="8" operator="notBetween">
      <formula>20</formula>
      <formula>25</formula>
    </cfRule>
  </conditionalFormatting>
  <conditionalFormatting sqref="W13">
    <cfRule type="cellIs" dxfId="2" priority="7" operator="notBetween">
      <formula>20</formula>
      <formula>25</formula>
    </cfRule>
  </conditionalFormatting>
  <conditionalFormatting sqref="W14:W15">
    <cfRule type="cellIs" dxfId="1" priority="5" operator="notBetween">
      <formula>20</formula>
      <formula>25</formula>
    </cfRule>
  </conditionalFormatting>
  <conditionalFormatting sqref="W22">
    <cfRule type="cellIs" dxfId="0" priority="2" operator="notBetween">
      <formula>20</formula>
      <formula>25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Literature data</vt:lpstr>
      <vt:lpstr>Identify problem</vt:lpstr>
      <vt:lpstr>Review</vt:lpstr>
      <vt:lpstr>Polarity</vt:lpstr>
      <vt:lpstr>Surface tension</vt:lpstr>
      <vt:lpstr>Preliminary shortlist</vt:lpstr>
      <vt:lpstr>Viscosity and density</vt:lpstr>
      <vt:lpstr>Shortlist</vt:lpstr>
      <vt:lpstr>Final decision</vt:lpstr>
      <vt:lpstr>Bio-based solvent summary</vt:lpstr>
      <vt:lpstr>'Bio-based solvent summary'!Print_Area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Jimbo</dc:creator>
  <cp:lastModifiedBy>Peter 2</cp:lastModifiedBy>
  <dcterms:created xsi:type="dcterms:W3CDTF">2015-05-12T15:38:19Z</dcterms:created>
  <dcterms:modified xsi:type="dcterms:W3CDTF">2017-01-10T22:04:11Z</dcterms:modified>
</cp:coreProperties>
</file>