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drawings/drawing3.xml" ContentType="application/vnd.openxmlformats-officedocument.drawing+xml"/>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drawings/drawing4.xml" ContentType="application/vnd.openxmlformats-officedocument.drawing+xml"/>
  <Override PartName="/xl/embeddings/oleObject11.bin" ContentType="application/vnd.openxmlformats-officedocument.oleObject"/>
  <Override PartName="/xl/embeddings/oleObject12.bin" ContentType="application/vnd.openxmlformats-officedocument.oleObject"/>
  <Override PartName="/xl/drawings/drawing5.xml" ContentType="application/vnd.openxmlformats-officedocument.drawing+xml"/>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drawings/drawing6.xml" ContentType="application/vnd.openxmlformats-officedocument.drawing+xml"/>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7.xml" ContentType="application/vnd.openxmlformats-officedocument.drawing+xml"/>
  <Override PartName="/xl/embeddings/oleObject21.bin" ContentType="application/vnd.openxmlformats-officedocument.oleObject"/>
  <Override PartName="/xl/embeddings/oleObject22.bin" ContentType="application/vnd.openxmlformats-officedocument.oleObject"/>
  <Override PartName="/xl/drawings/drawing8.xml" ContentType="application/vnd.openxmlformats-officedocument.drawing+xml"/>
  <Override PartName="/xl/embeddings/oleObject23.bin" ContentType="application/vnd.openxmlformats-officedocument.oleObject"/>
  <Override PartName="/xl/embeddings/oleObject24.bin" ContentType="application/vnd.openxmlformats-officedocument.oleObject"/>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05" yWindow="-105" windowWidth="23250" windowHeight="12570" tabRatio="921" activeTab="1"/>
  </bookViews>
  <sheets>
    <sheet name=" SOCl2" sheetId="39" r:id="rId1"/>
    <sheet name="(COCl)2" sheetId="40" r:id="rId2"/>
    <sheet name="CDI" sheetId="41" r:id="rId3"/>
    <sheet name="DCC" sheetId="42" r:id="rId4"/>
    <sheet name="EDC" sheetId="43" r:id="rId5"/>
    <sheet name="PivCl" sheetId="44" r:id="rId6"/>
    <sheet name="ICBF" sheetId="45" r:id="rId7"/>
    <sheet name="T3P" sheetId="46" r:id="rId8"/>
    <sheet name="Example 5 vs 13" sheetId="47" r:id="rId9"/>
    <sheet name="Different coupling reagents" sheetId="48" r:id="rId10"/>
  </sheets>
  <calcPr calcId="145621"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68" i="47" l="1"/>
  <c r="T274" i="47"/>
  <c r="T261" i="47"/>
  <c r="G212" i="47"/>
  <c r="T218" i="47"/>
  <c r="T205" i="47"/>
  <c r="P268" i="47"/>
  <c r="P270" i="47"/>
  <c r="V268" i="47"/>
  <c r="V269" i="47"/>
  <c r="V270" i="47"/>
  <c r="R274" i="47"/>
  <c r="L277" i="47"/>
  <c r="N270" i="47"/>
  <c r="O276" i="47"/>
  <c r="D270" i="47"/>
  <c r="I270" i="47"/>
  <c r="G269" i="47"/>
  <c r="L268" i="47"/>
  <c r="L269" i="47"/>
  <c r="L270" i="47"/>
  <c r="L276" i="47"/>
  <c r="R270" i="47"/>
  <c r="L275" i="47"/>
  <c r="L274" i="47"/>
  <c r="E270" i="47"/>
  <c r="L273" i="47"/>
  <c r="L272" i="47"/>
  <c r="G270" i="47"/>
  <c r="F269" i="47"/>
  <c r="P257" i="47"/>
  <c r="V255" i="47"/>
  <c r="V256" i="47"/>
  <c r="V257" i="47"/>
  <c r="R261" i="47"/>
  <c r="L264" i="47"/>
  <c r="N257" i="47"/>
  <c r="O263" i="47"/>
  <c r="D257" i="47"/>
  <c r="I257" i="47"/>
  <c r="L255" i="47"/>
  <c r="L256" i="47"/>
  <c r="L257" i="47"/>
  <c r="L263" i="47"/>
  <c r="R257" i="47"/>
  <c r="L262" i="47"/>
  <c r="L261" i="47"/>
  <c r="E257" i="47"/>
  <c r="L260" i="47"/>
  <c r="L259" i="47"/>
  <c r="G257" i="47"/>
  <c r="P212" i="47"/>
  <c r="P214" i="47"/>
  <c r="V212" i="47"/>
  <c r="V213" i="47"/>
  <c r="V214" i="47"/>
  <c r="R218" i="47"/>
  <c r="L221" i="47"/>
  <c r="N214" i="47"/>
  <c r="O220" i="47"/>
  <c r="D214" i="47"/>
  <c r="I214" i="47"/>
  <c r="G213" i="47"/>
  <c r="L212" i="47"/>
  <c r="L213" i="47"/>
  <c r="L214" i="47"/>
  <c r="L220" i="47"/>
  <c r="R214" i="47"/>
  <c r="L219" i="47"/>
  <c r="L218" i="47"/>
  <c r="E214" i="47"/>
  <c r="L217" i="47"/>
  <c r="L216" i="47"/>
  <c r="G214" i="47"/>
  <c r="F213" i="47"/>
  <c r="P201" i="47"/>
  <c r="V199" i="47"/>
  <c r="V200" i="47"/>
  <c r="V201" i="47"/>
  <c r="R205" i="47"/>
  <c r="L208" i="47"/>
  <c r="N201" i="47"/>
  <c r="O207" i="47"/>
  <c r="D201" i="47"/>
  <c r="I201" i="47"/>
  <c r="L199" i="47"/>
  <c r="L200" i="47"/>
  <c r="L201" i="47"/>
  <c r="L207" i="47"/>
  <c r="R201" i="47"/>
  <c r="L206" i="47"/>
  <c r="L205" i="47"/>
  <c r="E201" i="47"/>
  <c r="L204" i="47"/>
  <c r="L203" i="47"/>
  <c r="G201" i="47"/>
  <c r="P241" i="47"/>
  <c r="G242" i="47"/>
  <c r="G241" i="47"/>
  <c r="F242" i="47"/>
  <c r="L228" i="47"/>
  <c r="G186" i="47"/>
  <c r="L185" i="47"/>
  <c r="P185" i="47"/>
  <c r="G185" i="47"/>
  <c r="F186" i="47"/>
  <c r="T178" i="47"/>
  <c r="R178" i="47"/>
  <c r="L173" i="47"/>
  <c r="L172" i="47"/>
  <c r="D159" i="47"/>
  <c r="I159" i="47"/>
  <c r="L157" i="47"/>
  <c r="L158" i="47"/>
  <c r="L159" i="47"/>
  <c r="G157" i="47"/>
  <c r="T163" i="47"/>
  <c r="R163" i="47"/>
  <c r="L165" i="47"/>
  <c r="N157" i="47"/>
  <c r="G129" i="47"/>
  <c r="N131" i="47"/>
  <c r="O137" i="47"/>
  <c r="P157" i="47"/>
  <c r="P159" i="47"/>
  <c r="N159" i="47"/>
  <c r="G158" i="47"/>
  <c r="G159" i="47"/>
  <c r="F158" i="47"/>
  <c r="N146" i="47"/>
  <c r="N118" i="47"/>
  <c r="L130" i="47"/>
  <c r="G130" i="47"/>
  <c r="F130" i="47"/>
  <c r="P129" i="47"/>
  <c r="L129" i="47"/>
  <c r="D146" i="47"/>
  <c r="I146" i="47"/>
  <c r="L146" i="47"/>
  <c r="T150" i="47"/>
  <c r="R150" i="47"/>
  <c r="L152" i="47"/>
  <c r="P146" i="47"/>
  <c r="R146" i="47"/>
  <c r="V144" i="47"/>
  <c r="V145" i="47"/>
  <c r="V146" i="47"/>
  <c r="L151" i="47"/>
  <c r="L148" i="47"/>
  <c r="H300" i="47"/>
  <c r="P660" i="48"/>
  <c r="P662" i="48"/>
  <c r="V660" i="48"/>
  <c r="V661" i="48"/>
  <c r="V662" i="48"/>
  <c r="T666" i="48"/>
  <c r="R666" i="48"/>
  <c r="L669" i="48"/>
  <c r="J732" i="48"/>
  <c r="D660" i="48"/>
  <c r="G661" i="48"/>
  <c r="D661" i="48"/>
  <c r="D662" i="48"/>
  <c r="I662" i="48"/>
  <c r="L660" i="48"/>
  <c r="L662" i="48"/>
  <c r="L668" i="48"/>
  <c r="I732" i="48"/>
  <c r="P507" i="48"/>
  <c r="P509" i="48"/>
  <c r="V507" i="48"/>
  <c r="V508" i="48"/>
  <c r="V509" i="48"/>
  <c r="T513" i="48"/>
  <c r="R513" i="48"/>
  <c r="L516" i="48"/>
  <c r="J694" i="48"/>
  <c r="D507" i="48"/>
  <c r="G508" i="48"/>
  <c r="D508" i="48"/>
  <c r="D509" i="48"/>
  <c r="I509" i="48"/>
  <c r="L507" i="48"/>
  <c r="L509" i="48"/>
  <c r="L515" i="48"/>
  <c r="I694" i="48"/>
  <c r="R509" i="48"/>
  <c r="L514" i="48"/>
  <c r="H694" i="48"/>
  <c r="R662" i="48"/>
  <c r="L667" i="48"/>
  <c r="H732" i="48"/>
  <c r="L666" i="48"/>
  <c r="G732" i="48"/>
  <c r="E662" i="48"/>
  <c r="L665" i="48"/>
  <c r="F732" i="48"/>
  <c r="P647" i="48"/>
  <c r="P649" i="48"/>
  <c r="V647" i="48"/>
  <c r="V648" i="48"/>
  <c r="V649" i="48"/>
  <c r="T653" i="48"/>
  <c r="R653" i="48"/>
  <c r="L656" i="48"/>
  <c r="J729" i="48"/>
  <c r="D647" i="48"/>
  <c r="G648" i="48"/>
  <c r="D648" i="48"/>
  <c r="D649" i="48"/>
  <c r="I649" i="48"/>
  <c r="L647" i="48"/>
  <c r="L649" i="48"/>
  <c r="L655" i="48"/>
  <c r="I729" i="48"/>
  <c r="R649" i="48"/>
  <c r="L654" i="48"/>
  <c r="H729" i="48"/>
  <c r="L653" i="48"/>
  <c r="G729" i="48"/>
  <c r="E649" i="48"/>
  <c r="L652" i="48"/>
  <c r="F729" i="48"/>
  <c r="P632" i="48"/>
  <c r="P634" i="48"/>
  <c r="V632" i="48"/>
  <c r="V633" i="48"/>
  <c r="V634" i="48"/>
  <c r="T638" i="48"/>
  <c r="R638" i="48"/>
  <c r="L641" i="48"/>
  <c r="J725" i="48"/>
  <c r="D632" i="48"/>
  <c r="G633" i="48"/>
  <c r="D633" i="48"/>
  <c r="D634" i="48"/>
  <c r="I634" i="48"/>
  <c r="L632" i="48"/>
  <c r="L634" i="48"/>
  <c r="L640" i="48"/>
  <c r="I725" i="48"/>
  <c r="R634" i="48"/>
  <c r="L639" i="48"/>
  <c r="H725" i="48"/>
  <c r="L638" i="48"/>
  <c r="G725" i="48"/>
  <c r="E634" i="48"/>
  <c r="L637" i="48"/>
  <c r="F725" i="48"/>
  <c r="P619" i="48"/>
  <c r="P621" i="48"/>
  <c r="V619" i="48"/>
  <c r="V620" i="48"/>
  <c r="V621" i="48"/>
  <c r="T625" i="48"/>
  <c r="R625" i="48"/>
  <c r="L628" i="48"/>
  <c r="J722" i="48"/>
  <c r="D619" i="48"/>
  <c r="G620" i="48"/>
  <c r="D620" i="48"/>
  <c r="D621" i="48"/>
  <c r="I621" i="48"/>
  <c r="L619" i="48"/>
  <c r="L620" i="48"/>
  <c r="L621" i="48"/>
  <c r="L627" i="48"/>
  <c r="I722" i="48"/>
  <c r="R621" i="48"/>
  <c r="L626" i="48"/>
  <c r="H722" i="48"/>
  <c r="L625" i="48"/>
  <c r="G722" i="48"/>
  <c r="E621" i="48"/>
  <c r="L624" i="48"/>
  <c r="F722" i="48"/>
  <c r="P604" i="48"/>
  <c r="P606" i="48"/>
  <c r="V604" i="48"/>
  <c r="V605" i="48"/>
  <c r="V606" i="48"/>
  <c r="T610" i="48"/>
  <c r="R610" i="48"/>
  <c r="L613" i="48"/>
  <c r="J718" i="48"/>
  <c r="D604" i="48"/>
  <c r="G605" i="48"/>
  <c r="D605" i="48"/>
  <c r="D606" i="48"/>
  <c r="I606" i="48"/>
  <c r="L604" i="48"/>
  <c r="L605" i="48"/>
  <c r="L606" i="48"/>
  <c r="L612" i="48"/>
  <c r="I718" i="48"/>
  <c r="R606" i="48"/>
  <c r="L611" i="48"/>
  <c r="H718" i="48"/>
  <c r="L610" i="48"/>
  <c r="G718" i="48"/>
  <c r="E606" i="48"/>
  <c r="L609" i="48"/>
  <c r="F718" i="48"/>
  <c r="P591" i="48"/>
  <c r="P593" i="48"/>
  <c r="V591" i="48"/>
  <c r="V592" i="48"/>
  <c r="V593" i="48"/>
  <c r="T597" i="48"/>
  <c r="R597" i="48"/>
  <c r="L600" i="48"/>
  <c r="J715" i="48"/>
  <c r="D591" i="48"/>
  <c r="G592" i="48"/>
  <c r="D592" i="48"/>
  <c r="D593" i="48"/>
  <c r="I593" i="48"/>
  <c r="L591" i="48"/>
  <c r="L592" i="48"/>
  <c r="L593" i="48"/>
  <c r="L599" i="48"/>
  <c r="I715" i="48"/>
  <c r="R593" i="48"/>
  <c r="L598" i="48"/>
  <c r="H715" i="48"/>
  <c r="L597" i="48"/>
  <c r="G715" i="48"/>
  <c r="E593" i="48"/>
  <c r="L596" i="48"/>
  <c r="F715" i="48"/>
  <c r="P576" i="48"/>
  <c r="P578" i="48"/>
  <c r="V576" i="48"/>
  <c r="V577" i="48"/>
  <c r="V578" i="48"/>
  <c r="T582" i="48"/>
  <c r="R582" i="48"/>
  <c r="L585" i="48"/>
  <c r="J711" i="48"/>
  <c r="D576" i="48"/>
  <c r="G577" i="48"/>
  <c r="D577" i="48"/>
  <c r="D578" i="48"/>
  <c r="I578" i="48"/>
  <c r="L576" i="48"/>
  <c r="L577" i="48"/>
  <c r="L578" i="48"/>
  <c r="L584" i="48"/>
  <c r="I711" i="48"/>
  <c r="R578" i="48"/>
  <c r="L583" i="48"/>
  <c r="H711" i="48"/>
  <c r="L582" i="48"/>
  <c r="G711" i="48"/>
  <c r="E578" i="48"/>
  <c r="L581" i="48"/>
  <c r="F711" i="48"/>
  <c r="P563" i="48"/>
  <c r="P565" i="48"/>
  <c r="V563" i="48"/>
  <c r="V564" i="48"/>
  <c r="V565" i="48"/>
  <c r="T569" i="48"/>
  <c r="R569" i="48"/>
  <c r="L572" i="48"/>
  <c r="J708" i="48"/>
  <c r="D563" i="48"/>
  <c r="G564" i="48"/>
  <c r="D564" i="48"/>
  <c r="D565" i="48"/>
  <c r="I565" i="48"/>
  <c r="L563" i="48"/>
  <c r="L564" i="48"/>
  <c r="L565" i="48"/>
  <c r="L571" i="48"/>
  <c r="I708" i="48"/>
  <c r="R565" i="48"/>
  <c r="L570" i="48"/>
  <c r="H708" i="48"/>
  <c r="L569" i="48"/>
  <c r="G708" i="48"/>
  <c r="E565" i="48"/>
  <c r="L568" i="48"/>
  <c r="F708" i="48"/>
  <c r="P548" i="48"/>
  <c r="P550" i="48"/>
  <c r="V548" i="48"/>
  <c r="V549" i="48"/>
  <c r="V550" i="48"/>
  <c r="T554" i="48"/>
  <c r="R554" i="48"/>
  <c r="L557" i="48"/>
  <c r="J704" i="48"/>
  <c r="D548" i="48"/>
  <c r="G549" i="48"/>
  <c r="D549" i="48"/>
  <c r="D550" i="48"/>
  <c r="I550" i="48"/>
  <c r="L548" i="48"/>
  <c r="L549" i="48"/>
  <c r="L550" i="48"/>
  <c r="L556" i="48"/>
  <c r="I704" i="48"/>
  <c r="R550" i="48"/>
  <c r="L555" i="48"/>
  <c r="H704" i="48"/>
  <c r="L554" i="48"/>
  <c r="G704" i="48"/>
  <c r="E550" i="48"/>
  <c r="L553" i="48"/>
  <c r="F704" i="48"/>
  <c r="P535" i="48"/>
  <c r="P537" i="48"/>
  <c r="V535" i="48"/>
  <c r="V536" i="48"/>
  <c r="V537" i="48"/>
  <c r="T541" i="48"/>
  <c r="R541" i="48"/>
  <c r="L544" i="48"/>
  <c r="J701" i="48"/>
  <c r="D535" i="48"/>
  <c r="G536" i="48"/>
  <c r="D536" i="48"/>
  <c r="D537" i="48"/>
  <c r="I537" i="48"/>
  <c r="L535" i="48"/>
  <c r="L536" i="48"/>
  <c r="L537" i="48"/>
  <c r="L543" i="48"/>
  <c r="I701" i="48"/>
  <c r="R537" i="48"/>
  <c r="L542" i="48"/>
  <c r="H701" i="48"/>
  <c r="L541" i="48"/>
  <c r="G701" i="48"/>
  <c r="E537" i="48"/>
  <c r="L540" i="48"/>
  <c r="F701" i="48"/>
  <c r="P520" i="48"/>
  <c r="P522" i="48"/>
  <c r="V520" i="48"/>
  <c r="V521" i="48"/>
  <c r="V522" i="48"/>
  <c r="T526" i="48"/>
  <c r="R526" i="48"/>
  <c r="L529" i="48"/>
  <c r="J697" i="48"/>
  <c r="D520" i="48"/>
  <c r="G521" i="48"/>
  <c r="D521" i="48"/>
  <c r="D522" i="48"/>
  <c r="I522" i="48"/>
  <c r="L520" i="48"/>
  <c r="L522" i="48"/>
  <c r="L528" i="48"/>
  <c r="I697" i="48"/>
  <c r="R522" i="48"/>
  <c r="L527" i="48"/>
  <c r="H697" i="48"/>
  <c r="L526" i="48"/>
  <c r="G697" i="48"/>
  <c r="E522" i="48"/>
  <c r="L525" i="48"/>
  <c r="F697" i="48"/>
  <c r="L513" i="48"/>
  <c r="G694" i="48"/>
  <c r="E509" i="48"/>
  <c r="L512" i="48"/>
  <c r="F694" i="48"/>
  <c r="T331" i="48"/>
  <c r="L329" i="48"/>
  <c r="K703" i="48"/>
  <c r="P492" i="48"/>
  <c r="P494" i="48"/>
  <c r="V492" i="48"/>
  <c r="V493" i="48"/>
  <c r="V494" i="48"/>
  <c r="T498" i="48"/>
  <c r="R498" i="48"/>
  <c r="L501" i="48"/>
  <c r="J690" i="48"/>
  <c r="D492" i="48"/>
  <c r="G493" i="48"/>
  <c r="D493" i="48"/>
  <c r="D494" i="48"/>
  <c r="I494" i="48"/>
  <c r="L492" i="48"/>
  <c r="L494" i="48"/>
  <c r="L500" i="48"/>
  <c r="I690" i="48"/>
  <c r="R494" i="48"/>
  <c r="L499" i="48"/>
  <c r="H690" i="48"/>
  <c r="L498" i="48"/>
  <c r="G690" i="48"/>
  <c r="E494" i="48"/>
  <c r="L497" i="48"/>
  <c r="F690" i="48"/>
  <c r="P479" i="48"/>
  <c r="P481" i="48"/>
  <c r="V479" i="48"/>
  <c r="V480" i="48"/>
  <c r="V481" i="48"/>
  <c r="T485" i="48"/>
  <c r="R485" i="48"/>
  <c r="L488" i="48"/>
  <c r="J687" i="48"/>
  <c r="D479" i="48"/>
  <c r="G480" i="48"/>
  <c r="D480" i="48"/>
  <c r="D481" i="48"/>
  <c r="I481" i="48"/>
  <c r="L479" i="48"/>
  <c r="L481" i="48"/>
  <c r="L487" i="48"/>
  <c r="I687" i="48"/>
  <c r="R481" i="48"/>
  <c r="L486" i="48"/>
  <c r="H687" i="48"/>
  <c r="L485" i="48"/>
  <c r="G687" i="48"/>
  <c r="E481" i="48"/>
  <c r="L484" i="48"/>
  <c r="F687" i="48"/>
  <c r="P464" i="48"/>
  <c r="P466" i="48"/>
  <c r="V464" i="48"/>
  <c r="V465" i="48"/>
  <c r="V466" i="48"/>
  <c r="T470" i="48"/>
  <c r="R470" i="48"/>
  <c r="L473" i="48"/>
  <c r="J683" i="48"/>
  <c r="D464" i="48"/>
  <c r="G465" i="48"/>
  <c r="D465" i="48"/>
  <c r="D466" i="48"/>
  <c r="I466" i="48"/>
  <c r="L464" i="48"/>
  <c r="L466" i="48"/>
  <c r="L472" i="48"/>
  <c r="I683" i="48"/>
  <c r="R466" i="48"/>
  <c r="L471" i="48"/>
  <c r="H683" i="48"/>
  <c r="L470" i="48"/>
  <c r="G683" i="48"/>
  <c r="E466" i="48"/>
  <c r="L469" i="48"/>
  <c r="F683" i="48"/>
  <c r="P451" i="48"/>
  <c r="P453" i="48"/>
  <c r="V451" i="48"/>
  <c r="V452" i="48"/>
  <c r="V453" i="48"/>
  <c r="T457" i="48"/>
  <c r="R457" i="48"/>
  <c r="L460" i="48"/>
  <c r="J680" i="48"/>
  <c r="D451" i="48"/>
  <c r="G452" i="48"/>
  <c r="D452" i="48"/>
  <c r="D453" i="48"/>
  <c r="I453" i="48"/>
  <c r="L451" i="48"/>
  <c r="L453" i="48"/>
  <c r="L459" i="48"/>
  <c r="I680" i="48"/>
  <c r="R453" i="48"/>
  <c r="L458" i="48"/>
  <c r="H680" i="48"/>
  <c r="L457" i="48"/>
  <c r="G680" i="48"/>
  <c r="E453" i="48"/>
  <c r="L456" i="48"/>
  <c r="F680" i="48"/>
  <c r="N662" i="48"/>
  <c r="O668" i="48"/>
  <c r="L664" i="48"/>
  <c r="G662" i="48"/>
  <c r="N649" i="48"/>
  <c r="O655" i="48"/>
  <c r="L651" i="48"/>
  <c r="G649" i="48"/>
  <c r="N634" i="48"/>
  <c r="O640" i="48"/>
  <c r="L636" i="48"/>
  <c r="G634" i="48"/>
  <c r="N621" i="48"/>
  <c r="O627" i="48"/>
  <c r="L623" i="48"/>
  <c r="G621" i="48"/>
  <c r="N606" i="48"/>
  <c r="O612" i="48"/>
  <c r="L608" i="48"/>
  <c r="G606" i="48"/>
  <c r="N593" i="48"/>
  <c r="O599" i="48"/>
  <c r="L595" i="48"/>
  <c r="G593" i="48"/>
  <c r="N578" i="48"/>
  <c r="O584" i="48"/>
  <c r="L580" i="48"/>
  <c r="G578" i="48"/>
  <c r="N565" i="48"/>
  <c r="O571" i="48"/>
  <c r="L567" i="48"/>
  <c r="G565" i="48"/>
  <c r="N550" i="48"/>
  <c r="O556" i="48"/>
  <c r="L552" i="48"/>
  <c r="G550" i="48"/>
  <c r="N537" i="48"/>
  <c r="O543" i="48"/>
  <c r="L539" i="48"/>
  <c r="G537" i="48"/>
  <c r="N522" i="48"/>
  <c r="O528" i="48"/>
  <c r="L524" i="48"/>
  <c r="G522" i="48"/>
  <c r="N509" i="48"/>
  <c r="O515" i="48"/>
  <c r="L511" i="48"/>
  <c r="G509" i="48"/>
  <c r="N494" i="48"/>
  <c r="O500" i="48"/>
  <c r="L496" i="48"/>
  <c r="G494" i="48"/>
  <c r="N481" i="48"/>
  <c r="O487" i="48"/>
  <c r="L483" i="48"/>
  <c r="G481" i="48"/>
  <c r="N466" i="48"/>
  <c r="O472" i="48"/>
  <c r="L468" i="48"/>
  <c r="G466" i="48"/>
  <c r="N453" i="48"/>
  <c r="O459" i="48"/>
  <c r="L455" i="48"/>
  <c r="G453" i="48"/>
  <c r="G127" i="41"/>
  <c r="G117" i="42"/>
  <c r="T124" i="42"/>
  <c r="D41" i="42"/>
  <c r="D101" i="42"/>
  <c r="D161" i="42"/>
  <c r="G161" i="42"/>
  <c r="T168" i="42"/>
  <c r="G147" i="42"/>
  <c r="T154" i="42"/>
  <c r="T138" i="42"/>
  <c r="D71" i="42"/>
  <c r="D131" i="42"/>
  <c r="G131" i="42"/>
  <c r="L136" i="42"/>
  <c r="P4" i="48"/>
  <c r="P6" i="48"/>
  <c r="V4" i="48"/>
  <c r="V5" i="48"/>
  <c r="V6" i="48"/>
  <c r="T10" i="48"/>
  <c r="R10" i="48"/>
  <c r="L13" i="48"/>
  <c r="D229" i="48"/>
  <c r="G230" i="48"/>
  <c r="L229" i="48"/>
  <c r="P229" i="48"/>
  <c r="V229" i="48"/>
  <c r="D230" i="48"/>
  <c r="V230" i="48"/>
  <c r="D231" i="48"/>
  <c r="E231" i="48"/>
  <c r="G231" i="48"/>
  <c r="I231" i="48"/>
  <c r="L231" i="48"/>
  <c r="N231" i="48"/>
  <c r="P231" i="48"/>
  <c r="R231" i="48"/>
  <c r="V231" i="48"/>
  <c r="T235" i="48"/>
  <c r="L233" i="48"/>
  <c r="L234" i="48"/>
  <c r="R235" i="48"/>
  <c r="L235" i="48"/>
  <c r="L236" i="48"/>
  <c r="L237" i="48"/>
  <c r="O237" i="48"/>
  <c r="L238" i="48"/>
  <c r="D242" i="48"/>
  <c r="G243" i="48"/>
  <c r="L242" i="48"/>
  <c r="P242" i="48"/>
  <c r="V242" i="48"/>
  <c r="D243" i="48"/>
  <c r="V243" i="48"/>
  <c r="D244" i="48"/>
  <c r="E244" i="48"/>
  <c r="G244" i="48"/>
  <c r="I244" i="48"/>
  <c r="L244" i="48"/>
  <c r="N244" i="48"/>
  <c r="P244" i="48"/>
  <c r="R244" i="48"/>
  <c r="V244" i="48"/>
  <c r="T248" i="48"/>
  <c r="L246" i="48"/>
  <c r="L247" i="48"/>
  <c r="R248" i="48"/>
  <c r="L248" i="48"/>
  <c r="L249" i="48"/>
  <c r="L250" i="48"/>
  <c r="O250" i="48"/>
  <c r="L251" i="48"/>
  <c r="D256" i="48"/>
  <c r="G257" i="48"/>
  <c r="L256" i="48"/>
  <c r="P256" i="48"/>
  <c r="V256" i="48"/>
  <c r="D257" i="48"/>
  <c r="V257" i="48"/>
  <c r="D258" i="48"/>
  <c r="E258" i="48"/>
  <c r="G258" i="48"/>
  <c r="I258" i="48"/>
  <c r="L258" i="48"/>
  <c r="N258" i="48"/>
  <c r="P258" i="48"/>
  <c r="R258" i="48"/>
  <c r="V258" i="48"/>
  <c r="T262" i="48"/>
  <c r="L260" i="48"/>
  <c r="L261" i="48"/>
  <c r="R262" i="48"/>
  <c r="L262" i="48"/>
  <c r="L263" i="48"/>
  <c r="L264" i="48"/>
  <c r="O264" i="48"/>
  <c r="L265" i="48"/>
  <c r="D269" i="48"/>
  <c r="G270" i="48"/>
  <c r="L269" i="48"/>
  <c r="P269" i="48"/>
  <c r="V269" i="48"/>
  <c r="D270" i="48"/>
  <c r="V270" i="48"/>
  <c r="D271" i="48"/>
  <c r="E271" i="48"/>
  <c r="G271" i="48"/>
  <c r="I271" i="48"/>
  <c r="L271" i="48"/>
  <c r="N271" i="48"/>
  <c r="P271" i="48"/>
  <c r="R271" i="48"/>
  <c r="V271" i="48"/>
  <c r="T275" i="48"/>
  <c r="L273" i="48"/>
  <c r="L274" i="48"/>
  <c r="R275" i="48"/>
  <c r="L275" i="48"/>
  <c r="L276" i="48"/>
  <c r="L277" i="48"/>
  <c r="O277" i="48"/>
  <c r="L278" i="48"/>
  <c r="D284" i="48"/>
  <c r="G285" i="48"/>
  <c r="L284" i="48"/>
  <c r="P284" i="48"/>
  <c r="V284" i="48"/>
  <c r="D285" i="48"/>
  <c r="V285" i="48"/>
  <c r="D286" i="48"/>
  <c r="E286" i="48"/>
  <c r="G286" i="48"/>
  <c r="I286" i="48"/>
  <c r="L286" i="48"/>
  <c r="N286" i="48"/>
  <c r="P286" i="48"/>
  <c r="R286" i="48"/>
  <c r="V286" i="48"/>
  <c r="T290" i="48"/>
  <c r="L288" i="48"/>
  <c r="L289" i="48"/>
  <c r="R290" i="48"/>
  <c r="L290" i="48"/>
  <c r="L291" i="48"/>
  <c r="L292" i="48"/>
  <c r="O292" i="48"/>
  <c r="L293" i="48"/>
  <c r="D297" i="48"/>
  <c r="G298" i="48"/>
  <c r="L297" i="48"/>
  <c r="P297" i="48"/>
  <c r="V297" i="48"/>
  <c r="D298" i="48"/>
  <c r="V298" i="48"/>
  <c r="D299" i="48"/>
  <c r="E299" i="48"/>
  <c r="G299" i="48"/>
  <c r="I299" i="48"/>
  <c r="L299" i="48"/>
  <c r="N299" i="48"/>
  <c r="P299" i="48"/>
  <c r="R299" i="48"/>
  <c r="V299" i="48"/>
  <c r="T303" i="48"/>
  <c r="L301" i="48"/>
  <c r="L302" i="48"/>
  <c r="R303" i="48"/>
  <c r="L303" i="48"/>
  <c r="L304" i="48"/>
  <c r="L305" i="48"/>
  <c r="O305" i="48"/>
  <c r="L306" i="48"/>
  <c r="D312" i="48"/>
  <c r="G313" i="48"/>
  <c r="L312" i="48"/>
  <c r="P312" i="48"/>
  <c r="V312" i="48"/>
  <c r="D313" i="48"/>
  <c r="V313" i="48"/>
  <c r="D314" i="48"/>
  <c r="E314" i="48"/>
  <c r="G314" i="48"/>
  <c r="I314" i="48"/>
  <c r="L314" i="48"/>
  <c r="N314" i="48"/>
  <c r="P314" i="48"/>
  <c r="R314" i="48"/>
  <c r="V314" i="48"/>
  <c r="T318" i="48"/>
  <c r="L316" i="48"/>
  <c r="L317" i="48"/>
  <c r="R318" i="48"/>
  <c r="L318" i="48"/>
  <c r="L319" i="48"/>
  <c r="L320" i="48"/>
  <c r="O320" i="48"/>
  <c r="L321" i="48"/>
  <c r="D325" i="48"/>
  <c r="G326" i="48"/>
  <c r="L325" i="48"/>
  <c r="P325" i="48"/>
  <c r="V325" i="48"/>
  <c r="D326" i="48"/>
  <c r="V326" i="48"/>
  <c r="D327" i="48"/>
  <c r="E327" i="48"/>
  <c r="G327" i="48"/>
  <c r="I327" i="48"/>
  <c r="L327" i="48"/>
  <c r="N327" i="48"/>
  <c r="P327" i="48"/>
  <c r="R327" i="48"/>
  <c r="V327" i="48"/>
  <c r="L330" i="48"/>
  <c r="R331" i="48"/>
  <c r="L331" i="48"/>
  <c r="L332" i="48"/>
  <c r="L333" i="48"/>
  <c r="O333" i="48"/>
  <c r="L334" i="48"/>
  <c r="D340" i="48"/>
  <c r="G341" i="48"/>
  <c r="L340" i="48"/>
  <c r="P340" i="48"/>
  <c r="V340" i="48"/>
  <c r="D341" i="48"/>
  <c r="V341" i="48"/>
  <c r="D342" i="48"/>
  <c r="E342" i="48"/>
  <c r="G342" i="48"/>
  <c r="I342" i="48"/>
  <c r="L342" i="48"/>
  <c r="N342" i="48"/>
  <c r="P342" i="48"/>
  <c r="R342" i="48"/>
  <c r="V342" i="48"/>
  <c r="T346" i="48"/>
  <c r="L344" i="48"/>
  <c r="L345" i="48"/>
  <c r="R346" i="48"/>
  <c r="L346" i="48"/>
  <c r="L347" i="48"/>
  <c r="L348" i="48"/>
  <c r="O348" i="48"/>
  <c r="L349" i="48"/>
  <c r="D353" i="48"/>
  <c r="G354" i="48"/>
  <c r="L353" i="48"/>
  <c r="P353" i="48"/>
  <c r="V353" i="48"/>
  <c r="D354" i="48"/>
  <c r="V354" i="48"/>
  <c r="D355" i="48"/>
  <c r="E355" i="48"/>
  <c r="G355" i="48"/>
  <c r="I355" i="48"/>
  <c r="L355" i="48"/>
  <c r="N355" i="48"/>
  <c r="P355" i="48"/>
  <c r="R355" i="48"/>
  <c r="V355" i="48"/>
  <c r="T359" i="48"/>
  <c r="L357" i="48"/>
  <c r="L358" i="48"/>
  <c r="R359" i="48"/>
  <c r="L359" i="48"/>
  <c r="L360" i="48"/>
  <c r="L361" i="48"/>
  <c r="O361" i="48"/>
  <c r="L362" i="48"/>
  <c r="D368" i="48"/>
  <c r="G369" i="48"/>
  <c r="L368" i="48"/>
  <c r="P368" i="48"/>
  <c r="V368" i="48"/>
  <c r="D369" i="48"/>
  <c r="V369" i="48"/>
  <c r="D370" i="48"/>
  <c r="E370" i="48"/>
  <c r="G370" i="48"/>
  <c r="I370" i="48"/>
  <c r="L370" i="48"/>
  <c r="N370" i="48"/>
  <c r="P370" i="48"/>
  <c r="R370" i="48"/>
  <c r="V370" i="48"/>
  <c r="T374" i="48"/>
  <c r="L372" i="48"/>
  <c r="L373" i="48"/>
  <c r="R374" i="48"/>
  <c r="L374" i="48"/>
  <c r="L375" i="48"/>
  <c r="L376" i="48"/>
  <c r="O376" i="48"/>
  <c r="L377" i="48"/>
  <c r="D381" i="48"/>
  <c r="G382" i="48"/>
  <c r="L381" i="48"/>
  <c r="P381" i="48"/>
  <c r="V381" i="48"/>
  <c r="D382" i="48"/>
  <c r="V382" i="48"/>
  <c r="D383" i="48"/>
  <c r="E383" i="48"/>
  <c r="G383" i="48"/>
  <c r="I383" i="48"/>
  <c r="L383" i="48"/>
  <c r="N383" i="48"/>
  <c r="P383" i="48"/>
  <c r="R383" i="48"/>
  <c r="V383" i="48"/>
  <c r="T387" i="48"/>
  <c r="L385" i="48"/>
  <c r="L386" i="48"/>
  <c r="R387" i="48"/>
  <c r="L387" i="48"/>
  <c r="L388" i="48"/>
  <c r="L389" i="48"/>
  <c r="O389" i="48"/>
  <c r="L390" i="48"/>
  <c r="D396" i="48"/>
  <c r="G397" i="48"/>
  <c r="L396" i="48"/>
  <c r="P396" i="48"/>
  <c r="V396" i="48"/>
  <c r="D397" i="48"/>
  <c r="V397" i="48"/>
  <c r="D398" i="48"/>
  <c r="E398" i="48"/>
  <c r="G398" i="48"/>
  <c r="I398" i="48"/>
  <c r="L398" i="48"/>
  <c r="N398" i="48"/>
  <c r="P398" i="48"/>
  <c r="R398" i="48"/>
  <c r="V398" i="48"/>
  <c r="T402" i="48"/>
  <c r="L400" i="48"/>
  <c r="L401" i="48"/>
  <c r="R402" i="48"/>
  <c r="L402" i="48"/>
  <c r="L403" i="48"/>
  <c r="L404" i="48"/>
  <c r="O404" i="48"/>
  <c r="L405" i="48"/>
  <c r="D409" i="48"/>
  <c r="G410" i="48"/>
  <c r="L409" i="48"/>
  <c r="P409" i="48"/>
  <c r="V409" i="48"/>
  <c r="D410" i="48"/>
  <c r="V410" i="48"/>
  <c r="D411" i="48"/>
  <c r="E411" i="48"/>
  <c r="G411" i="48"/>
  <c r="I411" i="48"/>
  <c r="L411" i="48"/>
  <c r="N411" i="48"/>
  <c r="P411" i="48"/>
  <c r="R411" i="48"/>
  <c r="V411" i="48"/>
  <c r="T415" i="48"/>
  <c r="L413" i="48"/>
  <c r="L414" i="48"/>
  <c r="R415" i="48"/>
  <c r="L415" i="48"/>
  <c r="L416" i="48"/>
  <c r="L417" i="48"/>
  <c r="O417" i="48"/>
  <c r="L418" i="48"/>
  <c r="D424" i="48"/>
  <c r="G425" i="48"/>
  <c r="L424" i="48"/>
  <c r="P424" i="48"/>
  <c r="V424" i="48"/>
  <c r="D425" i="48"/>
  <c r="V425" i="48"/>
  <c r="D426" i="48"/>
  <c r="E426" i="48"/>
  <c r="G426" i="48"/>
  <c r="I426" i="48"/>
  <c r="L426" i="48"/>
  <c r="N426" i="48"/>
  <c r="P426" i="48"/>
  <c r="R426" i="48"/>
  <c r="V426" i="48"/>
  <c r="T430" i="48"/>
  <c r="L428" i="48"/>
  <c r="L429" i="48"/>
  <c r="R430" i="48"/>
  <c r="L430" i="48"/>
  <c r="L431" i="48"/>
  <c r="L432" i="48"/>
  <c r="O432" i="48"/>
  <c r="L433" i="48"/>
  <c r="D437" i="48"/>
  <c r="G438" i="48"/>
  <c r="L437" i="48"/>
  <c r="P437" i="48"/>
  <c r="V437" i="48"/>
  <c r="D438" i="48"/>
  <c r="V438" i="48"/>
  <c r="D439" i="48"/>
  <c r="E439" i="48"/>
  <c r="G439" i="48"/>
  <c r="I439" i="48"/>
  <c r="L439" i="48"/>
  <c r="N439" i="48"/>
  <c r="P439" i="48"/>
  <c r="R439" i="48"/>
  <c r="V439" i="48"/>
  <c r="T443" i="48"/>
  <c r="L441" i="48"/>
  <c r="L442" i="48"/>
  <c r="R443" i="48"/>
  <c r="L443" i="48"/>
  <c r="L444" i="48"/>
  <c r="L445" i="48"/>
  <c r="O445" i="48"/>
  <c r="L446" i="48"/>
  <c r="D677" i="48"/>
  <c r="E6" i="48"/>
  <c r="L9" i="48"/>
  <c r="F678" i="48"/>
  <c r="D4" i="48"/>
  <c r="G5" i="48"/>
  <c r="D5" i="48"/>
  <c r="D6" i="48"/>
  <c r="L10" i="48"/>
  <c r="G678" i="48"/>
  <c r="I6" i="48"/>
  <c r="L4" i="48"/>
  <c r="L6" i="48"/>
  <c r="R6" i="48"/>
  <c r="L11" i="48"/>
  <c r="H678" i="48"/>
  <c r="L12" i="48"/>
  <c r="I678" i="48"/>
  <c r="J678" i="48"/>
  <c r="L8" i="48"/>
  <c r="K678" i="48"/>
  <c r="F679" i="48"/>
  <c r="G679" i="48"/>
  <c r="H679" i="48"/>
  <c r="I679" i="48"/>
  <c r="J679" i="48"/>
  <c r="K679" i="48"/>
  <c r="E19" i="48"/>
  <c r="L22" i="48"/>
  <c r="F681" i="48"/>
  <c r="T23" i="48"/>
  <c r="R23" i="48"/>
  <c r="D17" i="48"/>
  <c r="G18" i="48"/>
  <c r="D18" i="48"/>
  <c r="D19" i="48"/>
  <c r="L23" i="48"/>
  <c r="G681" i="48"/>
  <c r="I19" i="48"/>
  <c r="L17" i="48"/>
  <c r="L19" i="48"/>
  <c r="P17" i="48"/>
  <c r="P19" i="48"/>
  <c r="R19" i="48"/>
  <c r="V17" i="48"/>
  <c r="V18" i="48"/>
  <c r="V19" i="48"/>
  <c r="L24" i="48"/>
  <c r="H681" i="48"/>
  <c r="L25" i="48"/>
  <c r="I681" i="48"/>
  <c r="L26" i="48"/>
  <c r="J681" i="48"/>
  <c r="L21" i="48"/>
  <c r="K681" i="48"/>
  <c r="F682" i="48"/>
  <c r="G682" i="48"/>
  <c r="H682" i="48"/>
  <c r="I682" i="48"/>
  <c r="J682" i="48"/>
  <c r="K682" i="48"/>
  <c r="D684" i="48"/>
  <c r="E34" i="48"/>
  <c r="L37" i="48"/>
  <c r="F685" i="48"/>
  <c r="T38" i="48"/>
  <c r="R38" i="48"/>
  <c r="D32" i="48"/>
  <c r="G33" i="48"/>
  <c r="D33" i="48"/>
  <c r="D34" i="48"/>
  <c r="L38" i="48"/>
  <c r="G685" i="48"/>
  <c r="I34" i="48"/>
  <c r="L32" i="48"/>
  <c r="L34" i="48"/>
  <c r="P32" i="48"/>
  <c r="P34" i="48"/>
  <c r="R34" i="48"/>
  <c r="V32" i="48"/>
  <c r="V33" i="48"/>
  <c r="V34" i="48"/>
  <c r="L39" i="48"/>
  <c r="H685" i="48"/>
  <c r="L40" i="48"/>
  <c r="I685" i="48"/>
  <c r="L41" i="48"/>
  <c r="J685" i="48"/>
  <c r="L36" i="48"/>
  <c r="K685" i="48"/>
  <c r="F686" i="48"/>
  <c r="G686" i="48"/>
  <c r="H686" i="48"/>
  <c r="I686" i="48"/>
  <c r="J686" i="48"/>
  <c r="K686" i="48"/>
  <c r="E47" i="48"/>
  <c r="L50" i="48"/>
  <c r="F688" i="48"/>
  <c r="T51" i="48"/>
  <c r="R51" i="48"/>
  <c r="D45" i="48"/>
  <c r="G46" i="48"/>
  <c r="D46" i="48"/>
  <c r="D47" i="48"/>
  <c r="L51" i="48"/>
  <c r="G688" i="48"/>
  <c r="I47" i="48"/>
  <c r="L45" i="48"/>
  <c r="L47" i="48"/>
  <c r="P45" i="48"/>
  <c r="P47" i="48"/>
  <c r="R47" i="48"/>
  <c r="V45" i="48"/>
  <c r="V46" i="48"/>
  <c r="V47" i="48"/>
  <c r="L52" i="48"/>
  <c r="H688" i="48"/>
  <c r="L53" i="48"/>
  <c r="I688" i="48"/>
  <c r="L54" i="48"/>
  <c r="J688" i="48"/>
  <c r="L49" i="48"/>
  <c r="K688" i="48"/>
  <c r="F689" i="48"/>
  <c r="G689" i="48"/>
  <c r="H689" i="48"/>
  <c r="I689" i="48"/>
  <c r="J689" i="48"/>
  <c r="K689" i="48"/>
  <c r="D691" i="48"/>
  <c r="E62" i="48"/>
  <c r="L65" i="48"/>
  <c r="F692" i="48"/>
  <c r="T66" i="48"/>
  <c r="R66" i="48"/>
  <c r="D60" i="48"/>
  <c r="G61" i="48"/>
  <c r="D61" i="48"/>
  <c r="D62" i="48"/>
  <c r="L66" i="48"/>
  <c r="G692" i="48"/>
  <c r="I62" i="48"/>
  <c r="L60" i="48"/>
  <c r="L62" i="48"/>
  <c r="P60" i="48"/>
  <c r="P62" i="48"/>
  <c r="R62" i="48"/>
  <c r="V60" i="48"/>
  <c r="V61" i="48"/>
  <c r="V62" i="48"/>
  <c r="L67" i="48"/>
  <c r="H692" i="48"/>
  <c r="L68" i="48"/>
  <c r="I692" i="48"/>
  <c r="L69" i="48"/>
  <c r="J692" i="48"/>
  <c r="L64" i="48"/>
  <c r="K692" i="48"/>
  <c r="F693" i="48"/>
  <c r="G693" i="48"/>
  <c r="H693" i="48"/>
  <c r="I693" i="48"/>
  <c r="J693" i="48"/>
  <c r="K693" i="48"/>
  <c r="E75" i="48"/>
  <c r="L78" i="48"/>
  <c r="F695" i="48"/>
  <c r="T79" i="48"/>
  <c r="R79" i="48"/>
  <c r="D73" i="48"/>
  <c r="G74" i="48"/>
  <c r="D74" i="48"/>
  <c r="D75" i="48"/>
  <c r="L79" i="48"/>
  <c r="G695" i="48"/>
  <c r="I75" i="48"/>
  <c r="L73" i="48"/>
  <c r="L75" i="48"/>
  <c r="P73" i="48"/>
  <c r="P75" i="48"/>
  <c r="R75" i="48"/>
  <c r="V73" i="48"/>
  <c r="V74" i="48"/>
  <c r="V75" i="48"/>
  <c r="L80" i="48"/>
  <c r="H695" i="48"/>
  <c r="L81" i="48"/>
  <c r="I695" i="48"/>
  <c r="L82" i="48"/>
  <c r="J695" i="48"/>
  <c r="L77" i="48"/>
  <c r="K695" i="48"/>
  <c r="F696" i="48"/>
  <c r="G696" i="48"/>
  <c r="H696" i="48"/>
  <c r="I696" i="48"/>
  <c r="J696" i="48"/>
  <c r="K696" i="48"/>
  <c r="D698" i="48"/>
  <c r="E90" i="48"/>
  <c r="L93" i="48"/>
  <c r="F699" i="48"/>
  <c r="T94" i="48"/>
  <c r="R94" i="48"/>
  <c r="D88" i="48"/>
  <c r="G89" i="48"/>
  <c r="D89" i="48"/>
  <c r="D90" i="48"/>
  <c r="L94" i="48"/>
  <c r="G699" i="48"/>
  <c r="I90" i="48"/>
  <c r="L88" i="48"/>
  <c r="L89" i="48"/>
  <c r="L90" i="48"/>
  <c r="P88" i="48"/>
  <c r="P90" i="48"/>
  <c r="R90" i="48"/>
  <c r="V88" i="48"/>
  <c r="V89" i="48"/>
  <c r="V90" i="48"/>
  <c r="L95" i="48"/>
  <c r="H699" i="48"/>
  <c r="L96" i="48"/>
  <c r="I699" i="48"/>
  <c r="L97" i="48"/>
  <c r="J699" i="48"/>
  <c r="L92" i="48"/>
  <c r="K699" i="48"/>
  <c r="F700" i="48"/>
  <c r="G700" i="48"/>
  <c r="H700" i="48"/>
  <c r="I700" i="48"/>
  <c r="J700" i="48"/>
  <c r="K700" i="48"/>
  <c r="E103" i="48"/>
  <c r="L106" i="48"/>
  <c r="F702" i="48"/>
  <c r="T107" i="48"/>
  <c r="R107" i="48"/>
  <c r="D101" i="48"/>
  <c r="G102" i="48"/>
  <c r="D102" i="48"/>
  <c r="D103" i="48"/>
  <c r="L107" i="48"/>
  <c r="G702" i="48"/>
  <c r="I103" i="48"/>
  <c r="L101" i="48"/>
  <c r="L102" i="48"/>
  <c r="L103" i="48"/>
  <c r="P101" i="48"/>
  <c r="P103" i="48"/>
  <c r="R103" i="48"/>
  <c r="V101" i="48"/>
  <c r="V102" i="48"/>
  <c r="V103" i="48"/>
  <c r="L108" i="48"/>
  <c r="H702" i="48"/>
  <c r="L109" i="48"/>
  <c r="I702" i="48"/>
  <c r="L110" i="48"/>
  <c r="J702" i="48"/>
  <c r="L105" i="48"/>
  <c r="K702" i="48"/>
  <c r="F703" i="48"/>
  <c r="G703" i="48"/>
  <c r="H703" i="48"/>
  <c r="I703" i="48"/>
  <c r="J703" i="48"/>
  <c r="D705" i="48"/>
  <c r="E118" i="48"/>
  <c r="L121" i="48"/>
  <c r="F706" i="48"/>
  <c r="T122" i="48"/>
  <c r="R122" i="48"/>
  <c r="D116" i="48"/>
  <c r="G117" i="48"/>
  <c r="D117" i="48"/>
  <c r="D118" i="48"/>
  <c r="L122" i="48"/>
  <c r="G706" i="48"/>
  <c r="I118" i="48"/>
  <c r="L116" i="48"/>
  <c r="L117" i="48"/>
  <c r="L118" i="48"/>
  <c r="P116" i="48"/>
  <c r="P118" i="48"/>
  <c r="R118" i="48"/>
  <c r="V116" i="48"/>
  <c r="V117" i="48"/>
  <c r="V118" i="48"/>
  <c r="L123" i="48"/>
  <c r="H706" i="48"/>
  <c r="L124" i="48"/>
  <c r="I706" i="48"/>
  <c r="L125" i="48"/>
  <c r="J706" i="48"/>
  <c r="L120" i="48"/>
  <c r="K706" i="48"/>
  <c r="F707" i="48"/>
  <c r="G707" i="48"/>
  <c r="H707" i="48"/>
  <c r="I707" i="48"/>
  <c r="J707" i="48"/>
  <c r="K707" i="48"/>
  <c r="E131" i="48"/>
  <c r="L134" i="48"/>
  <c r="F709" i="48"/>
  <c r="T135" i="48"/>
  <c r="R135" i="48"/>
  <c r="D129" i="48"/>
  <c r="G130" i="48"/>
  <c r="D130" i="48"/>
  <c r="D131" i="48"/>
  <c r="L135" i="48"/>
  <c r="G709" i="48"/>
  <c r="I131" i="48"/>
  <c r="L129" i="48"/>
  <c r="L130" i="48"/>
  <c r="L131" i="48"/>
  <c r="P129" i="48"/>
  <c r="P131" i="48"/>
  <c r="R131" i="48"/>
  <c r="V129" i="48"/>
  <c r="V130" i="48"/>
  <c r="V131" i="48"/>
  <c r="L136" i="48"/>
  <c r="H709" i="48"/>
  <c r="L137" i="48"/>
  <c r="I709" i="48"/>
  <c r="L138" i="48"/>
  <c r="J709" i="48"/>
  <c r="L133" i="48"/>
  <c r="K709" i="48"/>
  <c r="F710" i="48"/>
  <c r="G710" i="48"/>
  <c r="H710" i="48"/>
  <c r="I710" i="48"/>
  <c r="J710" i="48"/>
  <c r="K710" i="48"/>
  <c r="D712" i="48"/>
  <c r="E146" i="48"/>
  <c r="L149" i="48"/>
  <c r="F713" i="48"/>
  <c r="T150" i="48"/>
  <c r="R150" i="48"/>
  <c r="D144" i="48"/>
  <c r="G145" i="48"/>
  <c r="D145" i="48"/>
  <c r="D146" i="48"/>
  <c r="L150" i="48"/>
  <c r="G713" i="48"/>
  <c r="I146" i="48"/>
  <c r="L144" i="48"/>
  <c r="L145" i="48"/>
  <c r="L146" i="48"/>
  <c r="P144" i="48"/>
  <c r="P146" i="48"/>
  <c r="R146" i="48"/>
  <c r="V144" i="48"/>
  <c r="V145" i="48"/>
  <c r="V146" i="48"/>
  <c r="L151" i="48"/>
  <c r="H713" i="48"/>
  <c r="L152" i="48"/>
  <c r="I713" i="48"/>
  <c r="L153" i="48"/>
  <c r="J713" i="48"/>
  <c r="L148" i="48"/>
  <c r="K713" i="48"/>
  <c r="F714" i="48"/>
  <c r="G714" i="48"/>
  <c r="H714" i="48"/>
  <c r="I714" i="48"/>
  <c r="J714" i="48"/>
  <c r="K714" i="48"/>
  <c r="E159" i="48"/>
  <c r="L162" i="48"/>
  <c r="F716" i="48"/>
  <c r="T163" i="48"/>
  <c r="R163" i="48"/>
  <c r="D157" i="48"/>
  <c r="G158" i="48"/>
  <c r="D158" i="48"/>
  <c r="D159" i="48"/>
  <c r="L163" i="48"/>
  <c r="G716" i="48"/>
  <c r="I159" i="48"/>
  <c r="L157" i="48"/>
  <c r="L158" i="48"/>
  <c r="L159" i="48"/>
  <c r="P157" i="48"/>
  <c r="P159" i="48"/>
  <c r="R159" i="48"/>
  <c r="V157" i="48"/>
  <c r="V158" i="48"/>
  <c r="V159" i="48"/>
  <c r="L164" i="48"/>
  <c r="H716" i="48"/>
  <c r="L165" i="48"/>
  <c r="I716" i="48"/>
  <c r="L166" i="48"/>
  <c r="J716" i="48"/>
  <c r="L161" i="48"/>
  <c r="K716" i="48"/>
  <c r="F717" i="48"/>
  <c r="G717" i="48"/>
  <c r="H717" i="48"/>
  <c r="I717" i="48"/>
  <c r="J717" i="48"/>
  <c r="K717" i="48"/>
  <c r="D719" i="48"/>
  <c r="E174" i="48"/>
  <c r="L177" i="48"/>
  <c r="F720" i="48"/>
  <c r="T178" i="48"/>
  <c r="R178" i="48"/>
  <c r="D172" i="48"/>
  <c r="G173" i="48"/>
  <c r="D173" i="48"/>
  <c r="D174" i="48"/>
  <c r="L178" i="48"/>
  <c r="G720" i="48"/>
  <c r="I174" i="48"/>
  <c r="L172" i="48"/>
  <c r="L173" i="48"/>
  <c r="L174" i="48"/>
  <c r="P172" i="48"/>
  <c r="P174" i="48"/>
  <c r="R174" i="48"/>
  <c r="V172" i="48"/>
  <c r="V173" i="48"/>
  <c r="V174" i="48"/>
  <c r="L179" i="48"/>
  <c r="H720" i="48"/>
  <c r="L180" i="48"/>
  <c r="I720" i="48"/>
  <c r="L181" i="48"/>
  <c r="J720" i="48"/>
  <c r="L176" i="48"/>
  <c r="K720" i="48"/>
  <c r="F721" i="48"/>
  <c r="G721" i="48"/>
  <c r="H721" i="48"/>
  <c r="I721" i="48"/>
  <c r="J721" i="48"/>
  <c r="K721" i="48"/>
  <c r="E187" i="48"/>
  <c r="L190" i="48"/>
  <c r="F723" i="48"/>
  <c r="T191" i="48"/>
  <c r="R191" i="48"/>
  <c r="D185" i="48"/>
  <c r="G186" i="48"/>
  <c r="D186" i="48"/>
  <c r="D187" i="48"/>
  <c r="L191" i="48"/>
  <c r="G723" i="48"/>
  <c r="I187" i="48"/>
  <c r="L185" i="48"/>
  <c r="L187" i="48"/>
  <c r="P185" i="48"/>
  <c r="P187" i="48"/>
  <c r="R187" i="48"/>
  <c r="V185" i="48"/>
  <c r="V186" i="48"/>
  <c r="V187" i="48"/>
  <c r="L192" i="48"/>
  <c r="H723" i="48"/>
  <c r="L193" i="48"/>
  <c r="I723" i="48"/>
  <c r="L194" i="48"/>
  <c r="J723" i="48"/>
  <c r="L189" i="48"/>
  <c r="K723" i="48"/>
  <c r="F724" i="48"/>
  <c r="G724" i="48"/>
  <c r="H724" i="48"/>
  <c r="I724" i="48"/>
  <c r="J724" i="48"/>
  <c r="K724" i="48"/>
  <c r="D726" i="48"/>
  <c r="E202" i="48"/>
  <c r="L205" i="48"/>
  <c r="F727" i="48"/>
  <c r="T206" i="48"/>
  <c r="R206" i="48"/>
  <c r="D200" i="48"/>
  <c r="G201" i="48"/>
  <c r="D201" i="48"/>
  <c r="D202" i="48"/>
  <c r="L206" i="48"/>
  <c r="G727" i="48"/>
  <c r="I202" i="48"/>
  <c r="L200" i="48"/>
  <c r="L202" i="48"/>
  <c r="P200" i="48"/>
  <c r="P202" i="48"/>
  <c r="R202" i="48"/>
  <c r="V200" i="48"/>
  <c r="V201" i="48"/>
  <c r="V202" i="48"/>
  <c r="L207" i="48"/>
  <c r="H727" i="48"/>
  <c r="L208" i="48"/>
  <c r="I727" i="48"/>
  <c r="L209" i="48"/>
  <c r="J727" i="48"/>
  <c r="L204" i="48"/>
  <c r="K727" i="48"/>
  <c r="F728" i="48"/>
  <c r="G728" i="48"/>
  <c r="H728" i="48"/>
  <c r="I728" i="48"/>
  <c r="J728" i="48"/>
  <c r="K728" i="48"/>
  <c r="E215" i="48"/>
  <c r="L218" i="48"/>
  <c r="F730" i="48"/>
  <c r="T219" i="48"/>
  <c r="R219" i="48"/>
  <c r="D213" i="48"/>
  <c r="G214" i="48"/>
  <c r="D214" i="48"/>
  <c r="D215" i="48"/>
  <c r="L219" i="48"/>
  <c r="G730" i="48"/>
  <c r="I215" i="48"/>
  <c r="L213" i="48"/>
  <c r="L215" i="48"/>
  <c r="P213" i="48"/>
  <c r="P215" i="48"/>
  <c r="R215" i="48"/>
  <c r="V213" i="48"/>
  <c r="V214" i="48"/>
  <c r="V215" i="48"/>
  <c r="L220" i="48"/>
  <c r="H730" i="48"/>
  <c r="L221" i="48"/>
  <c r="I730" i="48"/>
  <c r="L222" i="48"/>
  <c r="J730" i="48"/>
  <c r="L217" i="48"/>
  <c r="K730" i="48"/>
  <c r="F731" i="48"/>
  <c r="G731" i="48"/>
  <c r="H731" i="48"/>
  <c r="I731" i="48"/>
  <c r="J731" i="48"/>
  <c r="K731" i="48"/>
  <c r="G34" i="48"/>
  <c r="N34" i="48"/>
  <c r="O40" i="48"/>
  <c r="G47" i="48"/>
  <c r="N47" i="48"/>
  <c r="O53" i="48"/>
  <c r="P243" i="47"/>
  <c r="V241" i="47"/>
  <c r="V242" i="47"/>
  <c r="V243" i="47"/>
  <c r="T247" i="47"/>
  <c r="R247" i="47"/>
  <c r="L250" i="47"/>
  <c r="J307" i="47"/>
  <c r="D243" i="47"/>
  <c r="I243" i="47"/>
  <c r="L241" i="47"/>
  <c r="L242" i="47"/>
  <c r="L243" i="47"/>
  <c r="L249" i="47"/>
  <c r="I307" i="47"/>
  <c r="R243" i="47"/>
  <c r="L248" i="47"/>
  <c r="H307" i="47"/>
  <c r="L247" i="47"/>
  <c r="G307" i="47"/>
  <c r="P230" i="47"/>
  <c r="V228" i="47"/>
  <c r="V229" i="47"/>
  <c r="V230" i="47"/>
  <c r="T234" i="47"/>
  <c r="R234" i="47"/>
  <c r="L237" i="47"/>
  <c r="J306" i="47"/>
  <c r="D230" i="47"/>
  <c r="I230" i="47"/>
  <c r="L229" i="47"/>
  <c r="L230" i="47"/>
  <c r="L236" i="47"/>
  <c r="I306" i="47"/>
  <c r="R230" i="47"/>
  <c r="L235" i="47"/>
  <c r="H306" i="47"/>
  <c r="L234" i="47"/>
  <c r="G306" i="47"/>
  <c r="L245" i="47"/>
  <c r="K307" i="47"/>
  <c r="L232" i="47"/>
  <c r="K306" i="47"/>
  <c r="E243" i="47"/>
  <c r="L246" i="47"/>
  <c r="F307" i="47"/>
  <c r="E230" i="47"/>
  <c r="L233" i="47"/>
  <c r="F306" i="47"/>
  <c r="P187" i="47"/>
  <c r="V185" i="47"/>
  <c r="V186" i="47"/>
  <c r="V187" i="47"/>
  <c r="T191" i="47"/>
  <c r="R191" i="47"/>
  <c r="L194" i="47"/>
  <c r="J304" i="47"/>
  <c r="D187" i="47"/>
  <c r="I187" i="47"/>
  <c r="L186" i="47"/>
  <c r="L187" i="47"/>
  <c r="L193" i="47"/>
  <c r="I304" i="47"/>
  <c r="R187" i="47"/>
  <c r="L192" i="47"/>
  <c r="H304" i="47"/>
  <c r="L191" i="47"/>
  <c r="G304" i="47"/>
  <c r="E187" i="47"/>
  <c r="L190" i="47"/>
  <c r="F304" i="47"/>
  <c r="L189" i="47"/>
  <c r="K304" i="47"/>
  <c r="D174" i="47"/>
  <c r="I174" i="47"/>
  <c r="L174" i="47"/>
  <c r="P174" i="47"/>
  <c r="R174" i="47"/>
  <c r="V172" i="47"/>
  <c r="V173" i="47"/>
  <c r="V174" i="47"/>
  <c r="L179" i="47"/>
  <c r="H303" i="47"/>
  <c r="L181" i="47"/>
  <c r="J303" i="47"/>
  <c r="L180" i="47"/>
  <c r="I303" i="47"/>
  <c r="L178" i="47"/>
  <c r="G303" i="47"/>
  <c r="L176" i="47"/>
  <c r="K303" i="47"/>
  <c r="E174" i="47"/>
  <c r="L177" i="47"/>
  <c r="F303" i="47"/>
  <c r="O165" i="47"/>
  <c r="T135" i="47"/>
  <c r="T122" i="47"/>
  <c r="D181" i="43"/>
  <c r="D305" i="47"/>
  <c r="D302" i="47"/>
  <c r="N187" i="47"/>
  <c r="O193" i="47"/>
  <c r="G187" i="47"/>
  <c r="N174" i="47"/>
  <c r="O180" i="47"/>
  <c r="G174" i="47"/>
  <c r="N243" i="47"/>
  <c r="O249" i="47"/>
  <c r="G243" i="47"/>
  <c r="N230" i="47"/>
  <c r="O236" i="47"/>
  <c r="G230" i="47"/>
  <c r="D93" i="46"/>
  <c r="D97" i="45"/>
  <c r="N42" i="41"/>
  <c r="O49" i="41"/>
  <c r="D174" i="44"/>
  <c r="L15" i="44"/>
  <c r="D178" i="43"/>
  <c r="N164" i="42"/>
  <c r="O171" i="42"/>
  <c r="D178" i="42"/>
  <c r="D42" i="42"/>
  <c r="D44" i="42"/>
  <c r="I44" i="42"/>
  <c r="L41" i="42"/>
  <c r="L44" i="42"/>
  <c r="P41" i="42"/>
  <c r="P44" i="42"/>
  <c r="R44" i="42"/>
  <c r="V41" i="42"/>
  <c r="V42" i="42"/>
  <c r="V43" i="42"/>
  <c r="V44" i="42"/>
  <c r="L49" i="42"/>
  <c r="D18" i="42"/>
  <c r="I18" i="42"/>
  <c r="L17" i="42"/>
  <c r="L18" i="42"/>
  <c r="P15" i="42"/>
  <c r="N16" i="42"/>
  <c r="P16" i="42"/>
  <c r="P17" i="42"/>
  <c r="P18" i="42"/>
  <c r="R18" i="42"/>
  <c r="V15" i="42"/>
  <c r="V16" i="42"/>
  <c r="V18" i="42"/>
  <c r="L23" i="42"/>
  <c r="N44" i="42"/>
  <c r="O51" i="42"/>
  <c r="N74" i="42"/>
  <c r="O81" i="42"/>
  <c r="N68" i="41"/>
  <c r="N69" i="41"/>
  <c r="N71" i="41"/>
  <c r="O78" i="41"/>
  <c r="G55" i="41"/>
  <c r="N16" i="41"/>
  <c r="N55" i="41"/>
  <c r="N56" i="41"/>
  <c r="N57" i="41"/>
  <c r="O63" i="41"/>
  <c r="D72" i="42"/>
  <c r="G72" i="42"/>
  <c r="G74" i="42"/>
  <c r="E74" i="42"/>
  <c r="D74" i="42"/>
  <c r="F72" i="42"/>
  <c r="D174" i="41"/>
  <c r="L43" i="40"/>
  <c r="D183" i="40"/>
  <c r="N58" i="40"/>
  <c r="N16" i="40"/>
  <c r="G15" i="40"/>
  <c r="L15" i="40"/>
  <c r="P15" i="40"/>
  <c r="V15" i="40"/>
  <c r="G16" i="40"/>
  <c r="L16" i="40"/>
  <c r="P16" i="40"/>
  <c r="V16" i="40"/>
  <c r="P17" i="40"/>
  <c r="V17" i="40"/>
  <c r="D18" i="40"/>
  <c r="E18" i="40"/>
  <c r="G18" i="40"/>
  <c r="I18" i="40"/>
  <c r="L18" i="40"/>
  <c r="N18" i="40"/>
  <c r="P18" i="40"/>
  <c r="R18" i="40"/>
  <c r="V18" i="40"/>
  <c r="T22" i="40"/>
  <c r="L20" i="40"/>
  <c r="L21" i="40"/>
  <c r="L22" i="40"/>
  <c r="L23" i="40"/>
  <c r="O23" i="40"/>
  <c r="L24" i="40"/>
  <c r="L25" i="40"/>
  <c r="G42" i="40"/>
  <c r="L42" i="40"/>
  <c r="N42" i="40"/>
  <c r="P42" i="40"/>
  <c r="V42" i="40"/>
  <c r="G43" i="40"/>
  <c r="F43" i="40"/>
  <c r="P43" i="40"/>
  <c r="V43" i="40"/>
  <c r="L44" i="40"/>
  <c r="P44" i="40"/>
  <c r="V44" i="40"/>
  <c r="D45" i="40"/>
  <c r="E45" i="40"/>
  <c r="G45" i="40"/>
  <c r="I45" i="40"/>
  <c r="L45" i="40"/>
  <c r="N45" i="40"/>
  <c r="P45" i="40"/>
  <c r="R45" i="40"/>
  <c r="V45" i="40"/>
  <c r="T49" i="40"/>
  <c r="L47" i="40"/>
  <c r="L48" i="40"/>
  <c r="L49" i="40"/>
  <c r="L50" i="40"/>
  <c r="L51" i="40"/>
  <c r="L52" i="40"/>
  <c r="O52" i="40"/>
  <c r="C172" i="39"/>
  <c r="O17" i="39"/>
  <c r="U17" i="39"/>
  <c r="F15" i="39"/>
  <c r="K15" i="39"/>
  <c r="N215" i="48"/>
  <c r="N202" i="48"/>
  <c r="N187" i="48"/>
  <c r="N174" i="48"/>
  <c r="N159" i="48"/>
  <c r="N146" i="48"/>
  <c r="N131" i="48"/>
  <c r="N118" i="48"/>
  <c r="N103" i="48"/>
  <c r="N90" i="48"/>
  <c r="N75" i="48"/>
  <c r="N62" i="48"/>
  <c r="N19" i="48"/>
  <c r="N6" i="48"/>
  <c r="V101" i="47"/>
  <c r="V102" i="47"/>
  <c r="V103" i="47"/>
  <c r="R103" i="47"/>
  <c r="P101" i="47"/>
  <c r="P103" i="47"/>
  <c r="N103" i="47"/>
  <c r="L101" i="47"/>
  <c r="L102" i="47"/>
  <c r="L103" i="47"/>
  <c r="I103" i="47"/>
  <c r="G101" i="47"/>
  <c r="G102" i="47"/>
  <c r="G103" i="47"/>
  <c r="E103" i="47"/>
  <c r="D103" i="47"/>
  <c r="F102" i="47"/>
  <c r="V73" i="47"/>
  <c r="V74" i="47"/>
  <c r="V75" i="47"/>
  <c r="R75" i="47"/>
  <c r="P73" i="47"/>
  <c r="P75" i="47"/>
  <c r="N75" i="47"/>
  <c r="L73" i="47"/>
  <c r="L74" i="47"/>
  <c r="L75" i="47"/>
  <c r="I75" i="47"/>
  <c r="G73" i="47"/>
  <c r="G74" i="47"/>
  <c r="G75" i="47"/>
  <c r="E75" i="47"/>
  <c r="D75" i="47"/>
  <c r="F74" i="47"/>
  <c r="R47" i="47"/>
  <c r="P45" i="47"/>
  <c r="P46" i="47"/>
  <c r="P47" i="47"/>
  <c r="N47" i="47"/>
  <c r="L45" i="47"/>
  <c r="L46" i="47"/>
  <c r="L47" i="47"/>
  <c r="I47" i="47"/>
  <c r="G45" i="47"/>
  <c r="G46" i="47"/>
  <c r="G47" i="47"/>
  <c r="E47" i="47"/>
  <c r="D47" i="47"/>
  <c r="F46" i="47"/>
  <c r="V17" i="47"/>
  <c r="V18" i="47"/>
  <c r="V19" i="47"/>
  <c r="R19" i="47"/>
  <c r="P17" i="47"/>
  <c r="P19" i="47"/>
  <c r="N19" i="47"/>
  <c r="L17" i="47"/>
  <c r="L18" i="47"/>
  <c r="L19" i="47"/>
  <c r="I19" i="47"/>
  <c r="G17" i="47"/>
  <c r="G18" i="47"/>
  <c r="G19" i="47"/>
  <c r="E19" i="47"/>
  <c r="D19" i="47"/>
  <c r="F18" i="47"/>
  <c r="V4" i="47"/>
  <c r="V5" i="47"/>
  <c r="V6" i="47"/>
  <c r="R6" i="47"/>
  <c r="P4" i="47"/>
  <c r="P5" i="47"/>
  <c r="P6" i="47"/>
  <c r="N6" i="47"/>
  <c r="L6" i="47"/>
  <c r="I6" i="47"/>
  <c r="G4" i="47"/>
  <c r="G5" i="47"/>
  <c r="G6" i="47"/>
  <c r="E6" i="47"/>
  <c r="D6" i="47"/>
  <c r="N48" i="46"/>
  <c r="N49" i="46"/>
  <c r="N63" i="46"/>
  <c r="N62" i="46"/>
  <c r="N64" i="46"/>
  <c r="N78" i="46"/>
  <c r="P78" i="46"/>
  <c r="L78" i="46"/>
  <c r="G78" i="46"/>
  <c r="G77" i="46"/>
  <c r="F78" i="46"/>
  <c r="N77" i="46"/>
  <c r="P77" i="46"/>
  <c r="L77" i="46"/>
  <c r="P63" i="46"/>
  <c r="L63" i="46"/>
  <c r="G63" i="46"/>
  <c r="G62" i="46"/>
  <c r="F63" i="46"/>
  <c r="P62" i="46"/>
  <c r="L62" i="46"/>
  <c r="P48" i="46"/>
  <c r="L48" i="46"/>
  <c r="G48" i="46"/>
  <c r="G47" i="46"/>
  <c r="F48" i="46"/>
  <c r="P47" i="46"/>
  <c r="L47" i="46"/>
  <c r="N17" i="46"/>
  <c r="N18" i="46"/>
  <c r="N33" i="46"/>
  <c r="N32" i="46"/>
  <c r="P33" i="46"/>
  <c r="L33" i="46"/>
  <c r="G33" i="46"/>
  <c r="G32" i="46"/>
  <c r="F33" i="46"/>
  <c r="P32" i="46"/>
  <c r="L32" i="46"/>
  <c r="P17" i="46"/>
  <c r="L17" i="46"/>
  <c r="G17" i="46"/>
  <c r="G16" i="46"/>
  <c r="F17" i="46"/>
  <c r="P16" i="46"/>
  <c r="L16" i="46"/>
  <c r="N34" i="46"/>
  <c r="G80" i="45"/>
  <c r="T86" i="45"/>
  <c r="N82" i="45"/>
  <c r="N67" i="45"/>
  <c r="N51" i="45"/>
  <c r="N35" i="45"/>
  <c r="N19" i="45"/>
  <c r="G99" i="44"/>
  <c r="N102" i="44"/>
  <c r="O109" i="44"/>
  <c r="G86" i="44"/>
  <c r="N88" i="44"/>
  <c r="O94" i="44"/>
  <c r="N59" i="44"/>
  <c r="N160" i="44"/>
  <c r="N146" i="44"/>
  <c r="N131" i="44"/>
  <c r="N117" i="44"/>
  <c r="N73" i="44"/>
  <c r="N17" i="44"/>
  <c r="N43" i="44"/>
  <c r="N120" i="43"/>
  <c r="N104" i="43"/>
  <c r="G87" i="43"/>
  <c r="T94" i="43"/>
  <c r="N90" i="43"/>
  <c r="V41" i="43"/>
  <c r="V42" i="43"/>
  <c r="V43" i="43"/>
  <c r="V44" i="43"/>
  <c r="R44" i="43"/>
  <c r="P41" i="43"/>
  <c r="P44" i="43"/>
  <c r="N44" i="43"/>
  <c r="L44" i="43"/>
  <c r="I44" i="43"/>
  <c r="G41" i="43"/>
  <c r="G42" i="43"/>
  <c r="G44" i="43"/>
  <c r="E44" i="43"/>
  <c r="D44" i="43"/>
  <c r="F42" i="43"/>
  <c r="V15" i="43"/>
  <c r="V16" i="43"/>
  <c r="V18" i="43"/>
  <c r="R18" i="43"/>
  <c r="P15" i="43"/>
  <c r="P18" i="43"/>
  <c r="N18" i="43"/>
  <c r="L15" i="43"/>
  <c r="L16" i="43"/>
  <c r="L17" i="43"/>
  <c r="L18" i="43"/>
  <c r="I18" i="43"/>
  <c r="G15" i="43"/>
  <c r="G16" i="43"/>
  <c r="G18" i="43"/>
  <c r="E18" i="43"/>
  <c r="D18" i="43"/>
  <c r="F16" i="43"/>
  <c r="G101" i="42"/>
  <c r="G42" i="42"/>
  <c r="F42" i="42"/>
  <c r="G148" i="42"/>
  <c r="F148" i="42"/>
  <c r="G118" i="42"/>
  <c r="F118" i="42"/>
  <c r="G88" i="42"/>
  <c r="G87" i="42"/>
  <c r="F88" i="42"/>
  <c r="G58" i="42"/>
  <c r="G57" i="42"/>
  <c r="F58" i="42"/>
  <c r="P161" i="42"/>
  <c r="P164" i="42"/>
  <c r="P131" i="42"/>
  <c r="P134" i="42"/>
  <c r="N134" i="42"/>
  <c r="N88" i="42"/>
  <c r="N90" i="42"/>
  <c r="N117" i="42"/>
  <c r="N118" i="42"/>
  <c r="N119" i="42"/>
  <c r="N120" i="42"/>
  <c r="N147" i="42"/>
  <c r="P147" i="42"/>
  <c r="N148" i="42"/>
  <c r="P148" i="42"/>
  <c r="N149" i="42"/>
  <c r="P149" i="42"/>
  <c r="P150" i="42"/>
  <c r="N150" i="42"/>
  <c r="P117" i="42"/>
  <c r="P118" i="42"/>
  <c r="P119" i="42"/>
  <c r="P120" i="42"/>
  <c r="P101" i="42"/>
  <c r="P104" i="42"/>
  <c r="P87" i="42"/>
  <c r="P88" i="42"/>
  <c r="P89" i="42"/>
  <c r="P90" i="42"/>
  <c r="P71" i="42"/>
  <c r="P74" i="42"/>
  <c r="N18" i="42"/>
  <c r="N57" i="42"/>
  <c r="P57" i="42"/>
  <c r="N58" i="42"/>
  <c r="P58" i="42"/>
  <c r="N59" i="42"/>
  <c r="P59" i="42"/>
  <c r="P60" i="42"/>
  <c r="N104" i="42"/>
  <c r="N60" i="42"/>
  <c r="G44" i="42"/>
  <c r="E44" i="42"/>
  <c r="G15" i="42"/>
  <c r="G16" i="42"/>
  <c r="G18" i="42"/>
  <c r="E18" i="42"/>
  <c r="F16" i="42"/>
  <c r="N156" i="41"/>
  <c r="N155" i="41"/>
  <c r="N158" i="41"/>
  <c r="N86" i="41"/>
  <c r="N113" i="41"/>
  <c r="N114" i="41"/>
  <c r="N115" i="41"/>
  <c r="N142" i="41"/>
  <c r="N143" i="41"/>
  <c r="N144" i="41"/>
  <c r="N126" i="41"/>
  <c r="N127" i="41"/>
  <c r="N129" i="41"/>
  <c r="N100" i="41"/>
  <c r="G84" i="41"/>
  <c r="O92" i="41"/>
  <c r="G14" i="41"/>
  <c r="O22" i="41"/>
  <c r="V39" i="41"/>
  <c r="V40" i="41"/>
  <c r="V41" i="41"/>
  <c r="V42" i="41"/>
  <c r="R42" i="41"/>
  <c r="P39" i="41"/>
  <c r="P40" i="41"/>
  <c r="P42" i="41"/>
  <c r="L39" i="41"/>
  <c r="L42" i="41"/>
  <c r="I42" i="41"/>
  <c r="G40" i="41"/>
  <c r="G42" i="41"/>
  <c r="E42" i="41"/>
  <c r="D42" i="41"/>
  <c r="V14" i="41"/>
  <c r="V15" i="41"/>
  <c r="V16" i="41"/>
  <c r="R16" i="41"/>
  <c r="P14" i="41"/>
  <c r="P15" i="41"/>
  <c r="P16" i="41"/>
  <c r="L16" i="41"/>
  <c r="I16" i="41"/>
  <c r="G15" i="41"/>
  <c r="G16" i="41"/>
  <c r="E16" i="41"/>
  <c r="D16" i="41"/>
  <c r="G162" i="40"/>
  <c r="T169" i="40"/>
  <c r="G148" i="40"/>
  <c r="T155" i="40"/>
  <c r="N165" i="40"/>
  <c r="N135" i="40"/>
  <c r="N148" i="40"/>
  <c r="N149" i="40"/>
  <c r="N151" i="40"/>
  <c r="N118" i="40"/>
  <c r="N119" i="40"/>
  <c r="N121" i="40"/>
  <c r="N59" i="40"/>
  <c r="G118" i="40"/>
  <c r="O126" i="40"/>
  <c r="O156" i="40"/>
  <c r="G102" i="40"/>
  <c r="N102" i="40"/>
  <c r="N105" i="40"/>
  <c r="O112" i="40"/>
  <c r="D91" i="40"/>
  <c r="I91" i="40"/>
  <c r="L88" i="40"/>
  <c r="L89" i="40"/>
  <c r="L91" i="40"/>
  <c r="G88" i="40"/>
  <c r="T95" i="40"/>
  <c r="R95" i="40"/>
  <c r="L97" i="40"/>
  <c r="P88" i="40"/>
  <c r="N89" i="40"/>
  <c r="P89" i="40"/>
  <c r="P90" i="40"/>
  <c r="P91" i="40"/>
  <c r="R91" i="40"/>
  <c r="V88" i="40"/>
  <c r="V89" i="40"/>
  <c r="V90" i="40"/>
  <c r="V91" i="40"/>
  <c r="L96" i="40"/>
  <c r="N91" i="40"/>
  <c r="G72" i="40"/>
  <c r="N75" i="40"/>
  <c r="O82" i="40"/>
  <c r="N61" i="40"/>
  <c r="G58" i="40"/>
  <c r="O66" i="40"/>
  <c r="O112" i="39"/>
  <c r="O113" i="39"/>
  <c r="O114" i="39"/>
  <c r="O115" i="39"/>
  <c r="U112" i="39"/>
  <c r="U113" i="39"/>
  <c r="U114" i="39"/>
  <c r="U115" i="39"/>
  <c r="F112" i="39"/>
  <c r="S119" i="39"/>
  <c r="Q119" i="39"/>
  <c r="K122" i="39"/>
  <c r="I182" i="39"/>
  <c r="O54" i="39"/>
  <c r="O55" i="39"/>
  <c r="O56" i="39"/>
  <c r="O57" i="39"/>
  <c r="U54" i="39"/>
  <c r="U55" i="39"/>
  <c r="U56" i="39"/>
  <c r="U57" i="39"/>
  <c r="K64" i="39"/>
  <c r="I176" i="39"/>
  <c r="C57" i="39"/>
  <c r="H57" i="39"/>
  <c r="F54" i="39"/>
  <c r="K54" i="39"/>
  <c r="K55" i="39"/>
  <c r="K57" i="39"/>
  <c r="Q57" i="39"/>
  <c r="K62" i="39"/>
  <c r="G176" i="39"/>
  <c r="F39" i="39"/>
  <c r="S22" i="39"/>
  <c r="K20" i="39"/>
  <c r="J173" i="39"/>
  <c r="F155" i="39"/>
  <c r="S161" i="39"/>
  <c r="M155" i="39"/>
  <c r="M156" i="39"/>
  <c r="M157" i="39"/>
  <c r="N164" i="39"/>
  <c r="O141" i="39"/>
  <c r="O142" i="39"/>
  <c r="O143" i="39"/>
  <c r="O144" i="39"/>
  <c r="U141" i="39"/>
  <c r="U142" i="39"/>
  <c r="U143" i="39"/>
  <c r="U144" i="39"/>
  <c r="F141" i="39"/>
  <c r="S148" i="39"/>
  <c r="Q148" i="39"/>
  <c r="K151" i="39"/>
  <c r="C144" i="39"/>
  <c r="H144" i="39"/>
  <c r="K141" i="39"/>
  <c r="K142" i="39"/>
  <c r="K144" i="39"/>
  <c r="K150" i="39"/>
  <c r="Q144" i="39"/>
  <c r="K149" i="39"/>
  <c r="K148" i="39"/>
  <c r="D144" i="39"/>
  <c r="K147" i="39"/>
  <c r="F142" i="39"/>
  <c r="F144" i="39"/>
  <c r="M144" i="39"/>
  <c r="N151" i="39"/>
  <c r="K112" i="39"/>
  <c r="F113" i="39"/>
  <c r="K113" i="39"/>
  <c r="C115" i="39"/>
  <c r="D115" i="39"/>
  <c r="F115" i="39"/>
  <c r="H115" i="39"/>
  <c r="K115" i="39"/>
  <c r="M115" i="39"/>
  <c r="Q115" i="39"/>
  <c r="F126" i="39"/>
  <c r="S132" i="39"/>
  <c r="Q132" i="39"/>
  <c r="M127" i="39"/>
  <c r="M126" i="39"/>
  <c r="M69" i="39"/>
  <c r="M68" i="39"/>
  <c r="M128" i="39"/>
  <c r="K118" i="39"/>
  <c r="K117" i="39"/>
  <c r="N122" i="39"/>
  <c r="C99" i="39"/>
  <c r="H99" i="39"/>
  <c r="F97" i="39"/>
  <c r="F98" i="39"/>
  <c r="K97" i="39"/>
  <c r="K98" i="39"/>
  <c r="K99" i="39"/>
  <c r="O97" i="39"/>
  <c r="O98" i="39"/>
  <c r="O99" i="39"/>
  <c r="Q99" i="39"/>
  <c r="U97" i="39"/>
  <c r="U98" i="39"/>
  <c r="U99" i="39"/>
  <c r="S103" i="39"/>
  <c r="Q103" i="39"/>
  <c r="K104" i="39"/>
  <c r="D99" i="39"/>
  <c r="K102" i="39"/>
  <c r="K101" i="39"/>
  <c r="O83" i="39"/>
  <c r="O84" i="39"/>
  <c r="O85" i="39"/>
  <c r="O86" i="39"/>
  <c r="U83" i="39"/>
  <c r="U84" i="39"/>
  <c r="U85" i="39"/>
  <c r="U86" i="39"/>
  <c r="F83" i="39"/>
  <c r="S90" i="39"/>
  <c r="Q90" i="39"/>
  <c r="K93" i="39"/>
  <c r="C86" i="39"/>
  <c r="H86" i="39"/>
  <c r="K83" i="39"/>
  <c r="K84" i="39"/>
  <c r="K86" i="39"/>
  <c r="Q86" i="39"/>
  <c r="K91" i="39"/>
  <c r="D86" i="39"/>
  <c r="K89" i="39"/>
  <c r="M86" i="39"/>
  <c r="N93" i="39"/>
  <c r="F84" i="39"/>
  <c r="F86" i="39"/>
  <c r="S61" i="39"/>
  <c r="M57" i="39"/>
  <c r="N64" i="39"/>
  <c r="F55" i="39"/>
  <c r="F57" i="39"/>
  <c r="D57" i="39"/>
  <c r="M99" i="39"/>
  <c r="N106" i="39"/>
  <c r="O68" i="39"/>
  <c r="O69" i="39"/>
  <c r="O70" i="39"/>
  <c r="U68" i="39"/>
  <c r="U69" i="39"/>
  <c r="U70" i="39"/>
  <c r="K77" i="39"/>
  <c r="C70" i="39"/>
  <c r="H70" i="39"/>
  <c r="F68" i="39"/>
  <c r="F69" i="39"/>
  <c r="K68" i="39"/>
  <c r="K69" i="39"/>
  <c r="K70" i="39"/>
  <c r="K76" i="39"/>
  <c r="Q70" i="39"/>
  <c r="K75" i="39"/>
  <c r="K74" i="39"/>
  <c r="D70" i="39"/>
  <c r="K73" i="39"/>
  <c r="S74" i="39"/>
  <c r="K72" i="39"/>
  <c r="M70" i="39"/>
  <c r="N77" i="39"/>
  <c r="M41" i="39"/>
  <c r="N48" i="39"/>
  <c r="M18" i="39"/>
  <c r="N25" i="39"/>
  <c r="F40" i="39"/>
  <c r="E40" i="39"/>
  <c r="O16" i="39"/>
  <c r="O15" i="39"/>
  <c r="O18" i="39"/>
  <c r="F16" i="39"/>
  <c r="O221" i="48"/>
  <c r="G215" i="48"/>
  <c r="O208" i="48"/>
  <c r="G202" i="48"/>
  <c r="O193" i="48"/>
  <c r="G187" i="48"/>
  <c r="O180" i="48"/>
  <c r="G174" i="48"/>
  <c r="O165" i="48"/>
  <c r="G159" i="48"/>
  <c r="O152" i="48"/>
  <c r="G146" i="48"/>
  <c r="O137" i="48"/>
  <c r="G131" i="48"/>
  <c r="O124" i="48"/>
  <c r="G118" i="48"/>
  <c r="O109" i="48"/>
  <c r="G103" i="48"/>
  <c r="O96" i="48"/>
  <c r="G90" i="48"/>
  <c r="O81" i="48"/>
  <c r="G75" i="48"/>
  <c r="O68" i="48"/>
  <c r="G62" i="48"/>
  <c r="O25" i="48"/>
  <c r="G19" i="48"/>
  <c r="O12" i="48"/>
  <c r="G6" i="48"/>
  <c r="L161" i="47"/>
  <c r="K301" i="47"/>
  <c r="K300" i="47"/>
  <c r="L133" i="47"/>
  <c r="K298" i="47"/>
  <c r="L120" i="47"/>
  <c r="K297" i="47"/>
  <c r="T107" i="47"/>
  <c r="L105" i="47"/>
  <c r="K295" i="47"/>
  <c r="T94" i="47"/>
  <c r="L92" i="47"/>
  <c r="K294" i="47"/>
  <c r="T79" i="47"/>
  <c r="L77" i="47"/>
  <c r="K292" i="47"/>
  <c r="T66" i="47"/>
  <c r="L64" i="47"/>
  <c r="K291" i="47"/>
  <c r="T51" i="47"/>
  <c r="L49" i="47"/>
  <c r="K289" i="47"/>
  <c r="R38" i="47"/>
  <c r="T38" i="47"/>
  <c r="L36" i="47"/>
  <c r="K288" i="47"/>
  <c r="T23" i="47"/>
  <c r="L21" i="47"/>
  <c r="K286" i="47"/>
  <c r="R10" i="47"/>
  <c r="T10" i="47"/>
  <c r="L8" i="47"/>
  <c r="K285" i="47"/>
  <c r="R159" i="47"/>
  <c r="V157" i="47"/>
  <c r="V158" i="47"/>
  <c r="V159" i="47"/>
  <c r="L166" i="47"/>
  <c r="L164" i="47"/>
  <c r="L163" i="47"/>
  <c r="E159" i="47"/>
  <c r="L162" i="47"/>
  <c r="L153" i="47"/>
  <c r="L150" i="47"/>
  <c r="E146" i="47"/>
  <c r="L149" i="47"/>
  <c r="G146" i="47"/>
  <c r="R122" i="47"/>
  <c r="R135" i="47"/>
  <c r="R107" i="47"/>
  <c r="R94" i="47"/>
  <c r="R79" i="47"/>
  <c r="R66" i="47"/>
  <c r="R131" i="47"/>
  <c r="V129" i="47"/>
  <c r="V130" i="47"/>
  <c r="V131" i="47"/>
  <c r="P131" i="47"/>
  <c r="L138" i="47"/>
  <c r="D131" i="47"/>
  <c r="I131" i="47"/>
  <c r="L131" i="47"/>
  <c r="L137" i="47"/>
  <c r="L136" i="47"/>
  <c r="L135" i="47"/>
  <c r="E131" i="47"/>
  <c r="L134" i="47"/>
  <c r="G131" i="47"/>
  <c r="R118" i="47"/>
  <c r="V116" i="47"/>
  <c r="V117" i="47"/>
  <c r="V118" i="47"/>
  <c r="P118" i="47"/>
  <c r="L125" i="47"/>
  <c r="O124" i="47"/>
  <c r="D118" i="47"/>
  <c r="I118" i="47"/>
  <c r="L118" i="47"/>
  <c r="L124" i="47"/>
  <c r="L123" i="47"/>
  <c r="L122" i="47"/>
  <c r="E118" i="47"/>
  <c r="L121" i="47"/>
  <c r="G118" i="47"/>
  <c r="L110" i="47"/>
  <c r="O109" i="47"/>
  <c r="L109" i="47"/>
  <c r="L108" i="47"/>
  <c r="L107" i="47"/>
  <c r="L106" i="47"/>
  <c r="L97" i="47"/>
  <c r="O96" i="47"/>
  <c r="L96" i="47"/>
  <c r="L95" i="47"/>
  <c r="L94" i="47"/>
  <c r="L93" i="47"/>
  <c r="L82" i="47"/>
  <c r="O81" i="47"/>
  <c r="L81" i="47"/>
  <c r="L80" i="47"/>
  <c r="L79" i="47"/>
  <c r="L78" i="47"/>
  <c r="L69" i="47"/>
  <c r="O68" i="47"/>
  <c r="L68" i="47"/>
  <c r="L67" i="47"/>
  <c r="L66" i="47"/>
  <c r="L65" i="47"/>
  <c r="V45" i="47"/>
  <c r="V46" i="47"/>
  <c r="V47" i="47"/>
  <c r="L54" i="47"/>
  <c r="O53" i="47"/>
  <c r="L53" i="47"/>
  <c r="L52" i="47"/>
  <c r="L51" i="47"/>
  <c r="L50" i="47"/>
  <c r="L41" i="47"/>
  <c r="O40" i="47"/>
  <c r="L40" i="47"/>
  <c r="L39" i="47"/>
  <c r="L38" i="47"/>
  <c r="L37" i="47"/>
  <c r="L26" i="47"/>
  <c r="O25" i="47"/>
  <c r="L25" i="47"/>
  <c r="L24" i="47"/>
  <c r="L23" i="47"/>
  <c r="L22" i="47"/>
  <c r="L13" i="47"/>
  <c r="O12" i="47"/>
  <c r="L12" i="47"/>
  <c r="L11" i="47"/>
  <c r="L10" i="47"/>
  <c r="L9" i="47"/>
  <c r="K159" i="39"/>
  <c r="J186" i="39"/>
  <c r="K146" i="39"/>
  <c r="J185" i="39"/>
  <c r="T83" i="46"/>
  <c r="R79" i="46"/>
  <c r="V77" i="46"/>
  <c r="V78" i="46"/>
  <c r="V79" i="46"/>
  <c r="R83" i="46"/>
  <c r="P79" i="46"/>
  <c r="L86" i="46"/>
  <c r="N79" i="46"/>
  <c r="O85" i="46"/>
  <c r="D79" i="46"/>
  <c r="I79" i="46"/>
  <c r="L79" i="46"/>
  <c r="L85" i="46"/>
  <c r="L84" i="46"/>
  <c r="L83" i="46"/>
  <c r="E79" i="46"/>
  <c r="L82" i="46"/>
  <c r="L81" i="46"/>
  <c r="G79" i="46"/>
  <c r="R82" i="45"/>
  <c r="V80" i="45"/>
  <c r="V81" i="45"/>
  <c r="V82" i="45"/>
  <c r="R86" i="45"/>
  <c r="P80" i="45"/>
  <c r="P81" i="45"/>
  <c r="P82" i="45"/>
  <c r="L89" i="45"/>
  <c r="O88" i="45"/>
  <c r="D82" i="45"/>
  <c r="I82" i="45"/>
  <c r="L80" i="45"/>
  <c r="L81" i="45"/>
  <c r="L82" i="45"/>
  <c r="L88" i="45"/>
  <c r="L87" i="45"/>
  <c r="L86" i="45"/>
  <c r="E82" i="45"/>
  <c r="L85" i="45"/>
  <c r="L84" i="45"/>
  <c r="G81" i="45"/>
  <c r="G82" i="45"/>
  <c r="F81" i="45"/>
  <c r="G157" i="44"/>
  <c r="T164" i="44"/>
  <c r="G144" i="44"/>
  <c r="T150" i="44"/>
  <c r="R160" i="44"/>
  <c r="V157" i="44"/>
  <c r="V158" i="44"/>
  <c r="V159" i="44"/>
  <c r="V160" i="44"/>
  <c r="R164" i="44"/>
  <c r="O167" i="44"/>
  <c r="P157" i="44"/>
  <c r="P160" i="44"/>
  <c r="L167" i="44"/>
  <c r="D160" i="44"/>
  <c r="I160" i="44"/>
  <c r="L157" i="44"/>
  <c r="L158" i="44"/>
  <c r="L159" i="44"/>
  <c r="L160" i="44"/>
  <c r="L166" i="44"/>
  <c r="L165" i="44"/>
  <c r="L164" i="44"/>
  <c r="E160" i="44"/>
  <c r="L163" i="44"/>
  <c r="L162" i="44"/>
  <c r="G158" i="44"/>
  <c r="G160" i="44"/>
  <c r="F158" i="44"/>
  <c r="R146" i="44"/>
  <c r="V144" i="44"/>
  <c r="V145" i="44"/>
  <c r="V146" i="44"/>
  <c r="R150" i="44"/>
  <c r="P144" i="44"/>
  <c r="P146" i="44"/>
  <c r="L153" i="44"/>
  <c r="O152" i="44"/>
  <c r="D146" i="44"/>
  <c r="I146" i="44"/>
  <c r="L144" i="44"/>
  <c r="L145" i="44"/>
  <c r="L146" i="44"/>
  <c r="L152" i="44"/>
  <c r="L151" i="44"/>
  <c r="L150" i="44"/>
  <c r="E146" i="44"/>
  <c r="L149" i="44"/>
  <c r="L148" i="44"/>
  <c r="G145" i="44"/>
  <c r="G146" i="44"/>
  <c r="F145" i="44"/>
  <c r="G161" i="43"/>
  <c r="T168" i="43"/>
  <c r="G147" i="43"/>
  <c r="T154" i="43"/>
  <c r="R164" i="43"/>
  <c r="V161" i="43"/>
  <c r="V162" i="43"/>
  <c r="V163" i="43"/>
  <c r="V164" i="43"/>
  <c r="R168" i="43"/>
  <c r="N164" i="43"/>
  <c r="O171" i="43"/>
  <c r="P161" i="43"/>
  <c r="P164" i="43"/>
  <c r="L171" i="43"/>
  <c r="D164" i="43"/>
  <c r="I164" i="43"/>
  <c r="L164" i="43"/>
  <c r="L170" i="43"/>
  <c r="L169" i="43"/>
  <c r="L168" i="43"/>
  <c r="E164" i="43"/>
  <c r="L167" i="43"/>
  <c r="L166" i="43"/>
  <c r="G162" i="43"/>
  <c r="G164" i="43"/>
  <c r="F162" i="43"/>
  <c r="R150" i="43"/>
  <c r="V147" i="43"/>
  <c r="V148" i="43"/>
  <c r="V150" i="43"/>
  <c r="R154" i="43"/>
  <c r="P147" i="43"/>
  <c r="P150" i="43"/>
  <c r="L157" i="43"/>
  <c r="N150" i="43"/>
  <c r="O156" i="43"/>
  <c r="D150" i="43"/>
  <c r="I150" i="43"/>
  <c r="L147" i="43"/>
  <c r="L148" i="43"/>
  <c r="L149" i="43"/>
  <c r="L150" i="43"/>
  <c r="L156" i="43"/>
  <c r="L155" i="43"/>
  <c r="L154" i="43"/>
  <c r="E150" i="43"/>
  <c r="L153" i="43"/>
  <c r="L152" i="43"/>
  <c r="G148" i="43"/>
  <c r="G150" i="43"/>
  <c r="F148" i="43"/>
  <c r="R168" i="42"/>
  <c r="R154" i="42"/>
  <c r="R164" i="42"/>
  <c r="V161" i="42"/>
  <c r="V162" i="42"/>
  <c r="V163" i="42"/>
  <c r="V164" i="42"/>
  <c r="L171" i="42"/>
  <c r="D164" i="42"/>
  <c r="I164" i="42"/>
  <c r="L161" i="42"/>
  <c r="L164" i="42"/>
  <c r="L170" i="42"/>
  <c r="L169" i="42"/>
  <c r="L168" i="42"/>
  <c r="E164" i="42"/>
  <c r="L167" i="42"/>
  <c r="L166" i="42"/>
  <c r="G162" i="42"/>
  <c r="G164" i="42"/>
  <c r="F162" i="42"/>
  <c r="R150" i="42"/>
  <c r="V147" i="42"/>
  <c r="V148" i="42"/>
  <c r="V150" i="42"/>
  <c r="L157" i="42"/>
  <c r="O156" i="42"/>
  <c r="D150" i="42"/>
  <c r="I150" i="42"/>
  <c r="L149" i="42"/>
  <c r="L150" i="42"/>
  <c r="L156" i="42"/>
  <c r="L155" i="42"/>
  <c r="L154" i="42"/>
  <c r="E150" i="42"/>
  <c r="L153" i="42"/>
  <c r="L152" i="42"/>
  <c r="G150" i="42"/>
  <c r="T162" i="41"/>
  <c r="G142" i="41"/>
  <c r="T148" i="41"/>
  <c r="G113" i="41"/>
  <c r="T119" i="41"/>
  <c r="R119" i="41"/>
  <c r="R158" i="41"/>
  <c r="V155" i="41"/>
  <c r="V156" i="41"/>
  <c r="V157" i="41"/>
  <c r="V158" i="41"/>
  <c r="R162" i="41"/>
  <c r="O165" i="41"/>
  <c r="P155" i="41"/>
  <c r="P156" i="41"/>
  <c r="P158" i="41"/>
  <c r="L165" i="41"/>
  <c r="D158" i="41"/>
  <c r="I158" i="41"/>
  <c r="L155" i="41"/>
  <c r="L158" i="41"/>
  <c r="L164" i="41"/>
  <c r="L163" i="41"/>
  <c r="L162" i="41"/>
  <c r="E158" i="41"/>
  <c r="L161" i="41"/>
  <c r="L160" i="41"/>
  <c r="G156" i="41"/>
  <c r="G158" i="41"/>
  <c r="R144" i="41"/>
  <c r="V142" i="41"/>
  <c r="V143" i="41"/>
  <c r="V144" i="41"/>
  <c r="R148" i="41"/>
  <c r="P142" i="41"/>
  <c r="P143" i="41"/>
  <c r="P144" i="41"/>
  <c r="L151" i="41"/>
  <c r="O150" i="41"/>
  <c r="D144" i="41"/>
  <c r="I144" i="41"/>
  <c r="L144" i="41"/>
  <c r="L150" i="41"/>
  <c r="L149" i="41"/>
  <c r="L148" i="41"/>
  <c r="E144" i="41"/>
  <c r="L147" i="41"/>
  <c r="L146" i="41"/>
  <c r="G143" i="41"/>
  <c r="G144" i="41"/>
  <c r="L167" i="40"/>
  <c r="K197" i="40"/>
  <c r="L153" i="40"/>
  <c r="K196" i="40"/>
  <c r="R165" i="40"/>
  <c r="V162" i="40"/>
  <c r="V163" i="40"/>
  <c r="V164" i="40"/>
  <c r="V165" i="40"/>
  <c r="R169" i="40"/>
  <c r="O172" i="40"/>
  <c r="P162" i="40"/>
  <c r="P163" i="40"/>
  <c r="P164" i="40"/>
  <c r="P165" i="40"/>
  <c r="L172" i="40"/>
  <c r="D165" i="40"/>
  <c r="I165" i="40"/>
  <c r="L162" i="40"/>
  <c r="L163" i="40"/>
  <c r="L164" i="40"/>
  <c r="L165" i="40"/>
  <c r="L171" i="40"/>
  <c r="L170" i="40"/>
  <c r="L169" i="40"/>
  <c r="E165" i="40"/>
  <c r="L168" i="40"/>
  <c r="G163" i="40"/>
  <c r="G165" i="40"/>
  <c r="F163" i="40"/>
  <c r="R151" i="40"/>
  <c r="V148" i="40"/>
  <c r="V149" i="40"/>
  <c r="V150" i="40"/>
  <c r="V151" i="40"/>
  <c r="R155" i="40"/>
  <c r="P148" i="40"/>
  <c r="P149" i="40"/>
  <c r="P150" i="40"/>
  <c r="P151" i="40"/>
  <c r="L158" i="40"/>
  <c r="D151" i="40"/>
  <c r="I151" i="40"/>
  <c r="L148" i="40"/>
  <c r="L149" i="40"/>
  <c r="L151" i="40"/>
  <c r="L157" i="40"/>
  <c r="L156" i="40"/>
  <c r="L155" i="40"/>
  <c r="E151" i="40"/>
  <c r="L154" i="40"/>
  <c r="G149" i="40"/>
  <c r="G151" i="40"/>
  <c r="Q157" i="39"/>
  <c r="U155" i="39"/>
  <c r="U156" i="39"/>
  <c r="U157" i="39"/>
  <c r="Q161" i="39"/>
  <c r="O155" i="39"/>
  <c r="O156" i="39"/>
  <c r="O157" i="39"/>
  <c r="K164" i="39"/>
  <c r="C157" i="39"/>
  <c r="H157" i="39"/>
  <c r="F156" i="39"/>
  <c r="K155" i="39"/>
  <c r="K156" i="39"/>
  <c r="K157" i="39"/>
  <c r="K163" i="39"/>
  <c r="K162" i="39"/>
  <c r="K161" i="39"/>
  <c r="D157" i="39"/>
  <c r="K160" i="39"/>
  <c r="F157" i="39"/>
  <c r="K188" i="41"/>
  <c r="K187" i="41"/>
  <c r="T133" i="41"/>
  <c r="L131" i="41"/>
  <c r="K185" i="41"/>
  <c r="L117" i="41"/>
  <c r="K184" i="41"/>
  <c r="T104" i="41"/>
  <c r="L102" i="41"/>
  <c r="K182" i="41"/>
  <c r="T90" i="41"/>
  <c r="L88" i="41"/>
  <c r="K181" i="41"/>
  <c r="T75" i="41"/>
  <c r="L73" i="41"/>
  <c r="K179" i="41"/>
  <c r="R61" i="41"/>
  <c r="T61" i="41"/>
  <c r="L59" i="41"/>
  <c r="K178" i="41"/>
  <c r="T46" i="41"/>
  <c r="L44" i="41"/>
  <c r="K176" i="41"/>
  <c r="R20" i="41"/>
  <c r="T20" i="41"/>
  <c r="L18" i="41"/>
  <c r="K175" i="41"/>
  <c r="T68" i="46"/>
  <c r="R68" i="46"/>
  <c r="T53" i="46"/>
  <c r="R53" i="46"/>
  <c r="R64" i="46"/>
  <c r="V62" i="46"/>
  <c r="V63" i="46"/>
  <c r="V64" i="46"/>
  <c r="P64" i="46"/>
  <c r="L71" i="46"/>
  <c r="O70" i="46"/>
  <c r="D64" i="46"/>
  <c r="I64" i="46"/>
  <c r="L64" i="46"/>
  <c r="L70" i="46"/>
  <c r="L69" i="46"/>
  <c r="L68" i="46"/>
  <c r="E64" i="46"/>
  <c r="L67" i="46"/>
  <c r="L66" i="46"/>
  <c r="G64" i="46"/>
  <c r="R49" i="46"/>
  <c r="V47" i="46"/>
  <c r="V48" i="46"/>
  <c r="V49" i="46"/>
  <c r="P49" i="46"/>
  <c r="L56" i="46"/>
  <c r="O55" i="46"/>
  <c r="D49" i="46"/>
  <c r="I49" i="46"/>
  <c r="L49" i="46"/>
  <c r="L55" i="46"/>
  <c r="L54" i="46"/>
  <c r="L53" i="46"/>
  <c r="E49" i="46"/>
  <c r="L52" i="46"/>
  <c r="L51" i="46"/>
  <c r="G49" i="46"/>
  <c r="R34" i="46"/>
  <c r="V32" i="46"/>
  <c r="V33" i="46"/>
  <c r="V34" i="46"/>
  <c r="P34" i="46"/>
  <c r="L41" i="46"/>
  <c r="O40" i="46"/>
  <c r="D34" i="46"/>
  <c r="I34" i="46"/>
  <c r="L34" i="46"/>
  <c r="L40" i="46"/>
  <c r="L39" i="46"/>
  <c r="T38" i="46"/>
  <c r="L38" i="46"/>
  <c r="E34" i="46"/>
  <c r="L37" i="46"/>
  <c r="L36" i="46"/>
  <c r="G34" i="46"/>
  <c r="R18" i="46"/>
  <c r="V16" i="46"/>
  <c r="V17" i="46"/>
  <c r="V18" i="46"/>
  <c r="P18" i="46"/>
  <c r="L25" i="46"/>
  <c r="O24" i="46"/>
  <c r="D18" i="46"/>
  <c r="I18" i="46"/>
  <c r="L18" i="46"/>
  <c r="L24" i="46"/>
  <c r="L23" i="46"/>
  <c r="T22" i="46"/>
  <c r="L22" i="46"/>
  <c r="E18" i="46"/>
  <c r="L21" i="46"/>
  <c r="L20" i="46"/>
  <c r="G18" i="46"/>
  <c r="K102" i="46"/>
  <c r="K100" i="46"/>
  <c r="K98" i="46"/>
  <c r="K96" i="46"/>
  <c r="K94" i="46"/>
  <c r="K106" i="45"/>
  <c r="G65" i="45"/>
  <c r="T71" i="45"/>
  <c r="L69" i="45"/>
  <c r="K104" i="45"/>
  <c r="G49" i="45"/>
  <c r="T55" i="45"/>
  <c r="L53" i="45"/>
  <c r="K102" i="45"/>
  <c r="T39" i="45"/>
  <c r="G33" i="45"/>
  <c r="L37" i="45"/>
  <c r="K100" i="45"/>
  <c r="T23" i="45"/>
  <c r="G17" i="45"/>
  <c r="L21" i="45"/>
  <c r="K98" i="45"/>
  <c r="R71" i="45"/>
  <c r="R55" i="45"/>
  <c r="R67" i="45"/>
  <c r="V65" i="45"/>
  <c r="V66" i="45"/>
  <c r="V67" i="45"/>
  <c r="P65" i="45"/>
  <c r="P66" i="45"/>
  <c r="P67" i="45"/>
  <c r="L74" i="45"/>
  <c r="O73" i="45"/>
  <c r="D67" i="45"/>
  <c r="I67" i="45"/>
  <c r="L65" i="45"/>
  <c r="L66" i="45"/>
  <c r="L67" i="45"/>
  <c r="L73" i="45"/>
  <c r="L72" i="45"/>
  <c r="L71" i="45"/>
  <c r="E67" i="45"/>
  <c r="L70" i="45"/>
  <c r="G66" i="45"/>
  <c r="G67" i="45"/>
  <c r="F66" i="45"/>
  <c r="R51" i="45"/>
  <c r="V49" i="45"/>
  <c r="V50" i="45"/>
  <c r="V51" i="45"/>
  <c r="P49" i="45"/>
  <c r="P50" i="45"/>
  <c r="P51" i="45"/>
  <c r="L58" i="45"/>
  <c r="O57" i="45"/>
  <c r="D51" i="45"/>
  <c r="I51" i="45"/>
  <c r="L49" i="45"/>
  <c r="L50" i="45"/>
  <c r="L51" i="45"/>
  <c r="L57" i="45"/>
  <c r="L56" i="45"/>
  <c r="L55" i="45"/>
  <c r="E51" i="45"/>
  <c r="L54" i="45"/>
  <c r="G50" i="45"/>
  <c r="G51" i="45"/>
  <c r="F50" i="45"/>
  <c r="R35" i="45"/>
  <c r="V33" i="45"/>
  <c r="V34" i="45"/>
  <c r="V35" i="45"/>
  <c r="P33" i="45"/>
  <c r="P34" i="45"/>
  <c r="P35" i="45"/>
  <c r="L42" i="45"/>
  <c r="O41" i="45"/>
  <c r="D35" i="45"/>
  <c r="I35" i="45"/>
  <c r="L33" i="45"/>
  <c r="L34" i="45"/>
  <c r="L35" i="45"/>
  <c r="L41" i="45"/>
  <c r="L40" i="45"/>
  <c r="L39" i="45"/>
  <c r="E35" i="45"/>
  <c r="L38" i="45"/>
  <c r="G34" i="45"/>
  <c r="G35" i="45"/>
  <c r="F34" i="45"/>
  <c r="R19" i="45"/>
  <c r="V17" i="45"/>
  <c r="V18" i="45"/>
  <c r="V19" i="45"/>
  <c r="P17" i="45"/>
  <c r="P19" i="45"/>
  <c r="L26" i="45"/>
  <c r="O25" i="45"/>
  <c r="D19" i="45"/>
  <c r="I19" i="45"/>
  <c r="L17" i="45"/>
  <c r="L18" i="45"/>
  <c r="L19" i="45"/>
  <c r="L25" i="45"/>
  <c r="L24" i="45"/>
  <c r="L23" i="45"/>
  <c r="E19" i="45"/>
  <c r="L22" i="45"/>
  <c r="G18" i="45"/>
  <c r="G19" i="45"/>
  <c r="F18" i="45"/>
  <c r="G128" i="44"/>
  <c r="T135" i="44"/>
  <c r="R135" i="44"/>
  <c r="G115" i="44"/>
  <c r="T121" i="44"/>
  <c r="R121" i="44"/>
  <c r="T106" i="44"/>
  <c r="R106" i="44"/>
  <c r="T92" i="44"/>
  <c r="R92" i="44"/>
  <c r="K188" i="44"/>
  <c r="K187" i="44"/>
  <c r="L133" i="44"/>
  <c r="K185" i="44"/>
  <c r="L119" i="44"/>
  <c r="K184" i="44"/>
  <c r="L104" i="44"/>
  <c r="K182" i="44"/>
  <c r="L90" i="44"/>
  <c r="K181" i="44"/>
  <c r="T77" i="44"/>
  <c r="G70" i="44"/>
  <c r="L75" i="44"/>
  <c r="K179" i="44"/>
  <c r="G57" i="44"/>
  <c r="T63" i="44"/>
  <c r="L61" i="44"/>
  <c r="K178" i="44"/>
  <c r="T47" i="44"/>
  <c r="G40" i="44"/>
  <c r="L45" i="44"/>
  <c r="K176" i="44"/>
  <c r="G15" i="44"/>
  <c r="T21" i="44"/>
  <c r="L19" i="44"/>
  <c r="K175" i="44"/>
  <c r="R131" i="44"/>
  <c r="V128" i="44"/>
  <c r="V129" i="44"/>
  <c r="V130" i="44"/>
  <c r="V131" i="44"/>
  <c r="O138" i="44"/>
  <c r="P128" i="44"/>
  <c r="P131" i="44"/>
  <c r="L138" i="44"/>
  <c r="D131" i="44"/>
  <c r="I131" i="44"/>
  <c r="L128" i="44"/>
  <c r="L129" i="44"/>
  <c r="L130" i="44"/>
  <c r="L131" i="44"/>
  <c r="L137" i="44"/>
  <c r="L136" i="44"/>
  <c r="L135" i="44"/>
  <c r="E131" i="44"/>
  <c r="L134" i="44"/>
  <c r="G129" i="44"/>
  <c r="G131" i="44"/>
  <c r="F129" i="44"/>
  <c r="R117" i="44"/>
  <c r="V115" i="44"/>
  <c r="V116" i="44"/>
  <c r="V117" i="44"/>
  <c r="P115" i="44"/>
  <c r="P117" i="44"/>
  <c r="L124" i="44"/>
  <c r="O123" i="44"/>
  <c r="D117" i="44"/>
  <c r="I117" i="44"/>
  <c r="L115" i="44"/>
  <c r="L116" i="44"/>
  <c r="L117" i="44"/>
  <c r="L123" i="44"/>
  <c r="L122" i="44"/>
  <c r="L121" i="44"/>
  <c r="E117" i="44"/>
  <c r="L120" i="44"/>
  <c r="G116" i="44"/>
  <c r="G117" i="44"/>
  <c r="F116" i="44"/>
  <c r="R102" i="44"/>
  <c r="V99" i="44"/>
  <c r="V100" i="44"/>
  <c r="V101" i="44"/>
  <c r="V102" i="44"/>
  <c r="P99" i="44"/>
  <c r="P102" i="44"/>
  <c r="L109" i="44"/>
  <c r="D102" i="44"/>
  <c r="I102" i="44"/>
  <c r="L99" i="44"/>
  <c r="L100" i="44"/>
  <c r="L101" i="44"/>
  <c r="L102" i="44"/>
  <c r="L108" i="44"/>
  <c r="L107" i="44"/>
  <c r="L106" i="44"/>
  <c r="E102" i="44"/>
  <c r="L105" i="44"/>
  <c r="G100" i="44"/>
  <c r="G102" i="44"/>
  <c r="F100" i="44"/>
  <c r="R88" i="44"/>
  <c r="V86" i="44"/>
  <c r="V87" i="44"/>
  <c r="V88" i="44"/>
  <c r="P86" i="44"/>
  <c r="P88" i="44"/>
  <c r="L95" i="44"/>
  <c r="D88" i="44"/>
  <c r="I88" i="44"/>
  <c r="L86" i="44"/>
  <c r="L87" i="44"/>
  <c r="L88" i="44"/>
  <c r="L94" i="44"/>
  <c r="L93" i="44"/>
  <c r="L92" i="44"/>
  <c r="E88" i="44"/>
  <c r="L91" i="44"/>
  <c r="G87" i="44"/>
  <c r="G88" i="44"/>
  <c r="F87" i="44"/>
  <c r="R73" i="44"/>
  <c r="V70" i="44"/>
  <c r="V71" i="44"/>
  <c r="V72" i="44"/>
  <c r="V73" i="44"/>
  <c r="O80" i="44"/>
  <c r="P70" i="44"/>
  <c r="P73" i="44"/>
  <c r="L80" i="44"/>
  <c r="D73" i="44"/>
  <c r="I73" i="44"/>
  <c r="L70" i="44"/>
  <c r="L71" i="44"/>
  <c r="L72" i="44"/>
  <c r="L73" i="44"/>
  <c r="L79" i="44"/>
  <c r="L78" i="44"/>
  <c r="L77" i="44"/>
  <c r="E73" i="44"/>
  <c r="L76" i="44"/>
  <c r="G71" i="44"/>
  <c r="G73" i="44"/>
  <c r="F71" i="44"/>
  <c r="R59" i="44"/>
  <c r="V57" i="44"/>
  <c r="V58" i="44"/>
  <c r="V59" i="44"/>
  <c r="R63" i="44"/>
  <c r="P57" i="44"/>
  <c r="P58" i="44"/>
  <c r="P59" i="44"/>
  <c r="L66" i="44"/>
  <c r="O65" i="44"/>
  <c r="D59" i="44"/>
  <c r="I59" i="44"/>
  <c r="L57" i="44"/>
  <c r="L58" i="44"/>
  <c r="L59" i="44"/>
  <c r="L65" i="44"/>
  <c r="L64" i="44"/>
  <c r="L63" i="44"/>
  <c r="E59" i="44"/>
  <c r="L62" i="44"/>
  <c r="G58" i="44"/>
  <c r="G59" i="44"/>
  <c r="F58" i="44"/>
  <c r="R43" i="44"/>
  <c r="V40" i="44"/>
  <c r="V41" i="44"/>
  <c r="V42" i="44"/>
  <c r="V43" i="44"/>
  <c r="O50" i="44"/>
  <c r="P40" i="44"/>
  <c r="P43" i="44"/>
  <c r="L50" i="44"/>
  <c r="D43" i="44"/>
  <c r="I43" i="44"/>
  <c r="L40" i="44"/>
  <c r="L41" i="44"/>
  <c r="L42" i="44"/>
  <c r="L43" i="44"/>
  <c r="L49" i="44"/>
  <c r="L48" i="44"/>
  <c r="L47" i="44"/>
  <c r="E43" i="44"/>
  <c r="L46" i="44"/>
  <c r="G41" i="44"/>
  <c r="G43" i="44"/>
  <c r="F41" i="44"/>
  <c r="R17" i="44"/>
  <c r="V15" i="44"/>
  <c r="V16" i="44"/>
  <c r="V17" i="44"/>
  <c r="R21" i="44"/>
  <c r="P15" i="44"/>
  <c r="P17" i="44"/>
  <c r="L24" i="44"/>
  <c r="O23" i="44"/>
  <c r="D17" i="44"/>
  <c r="I17" i="44"/>
  <c r="L16" i="44"/>
  <c r="L17" i="44"/>
  <c r="L23" i="44"/>
  <c r="L22" i="44"/>
  <c r="L21" i="44"/>
  <c r="E17" i="44"/>
  <c r="L20" i="44"/>
  <c r="G16" i="44"/>
  <c r="G17" i="44"/>
  <c r="F16" i="44"/>
  <c r="K191" i="43"/>
  <c r="K192" i="43"/>
  <c r="G131" i="43"/>
  <c r="T138" i="43"/>
  <c r="L136" i="43"/>
  <c r="K189" i="43"/>
  <c r="G117" i="43"/>
  <c r="T124" i="43"/>
  <c r="L122" i="43"/>
  <c r="K188" i="43"/>
  <c r="G101" i="43"/>
  <c r="T108" i="43"/>
  <c r="L106" i="43"/>
  <c r="K186" i="43"/>
  <c r="L92" i="43"/>
  <c r="K185" i="43"/>
  <c r="T78" i="43"/>
  <c r="G71" i="43"/>
  <c r="L76" i="43"/>
  <c r="K183" i="43"/>
  <c r="T64" i="43"/>
  <c r="G57" i="43"/>
  <c r="L62" i="43"/>
  <c r="K182" i="43"/>
  <c r="T48" i="43"/>
  <c r="L46" i="43"/>
  <c r="K180" i="43"/>
  <c r="T22" i="43"/>
  <c r="L20" i="43"/>
  <c r="K179" i="43"/>
  <c r="D134" i="43"/>
  <c r="I134" i="43"/>
  <c r="L134" i="43"/>
  <c r="P131" i="43"/>
  <c r="P134" i="43"/>
  <c r="R134" i="43"/>
  <c r="V131" i="43"/>
  <c r="V132" i="43"/>
  <c r="V133" i="43"/>
  <c r="V134" i="43"/>
  <c r="R138" i="43"/>
  <c r="L139" i="43"/>
  <c r="R124" i="43"/>
  <c r="R94" i="43"/>
  <c r="R108" i="43"/>
  <c r="N134" i="43"/>
  <c r="O141" i="43"/>
  <c r="L141" i="43"/>
  <c r="L140" i="43"/>
  <c r="L138" i="43"/>
  <c r="E134" i="43"/>
  <c r="L137" i="43"/>
  <c r="G132" i="43"/>
  <c r="G134" i="43"/>
  <c r="F132" i="43"/>
  <c r="R120" i="43"/>
  <c r="V117" i="43"/>
  <c r="V118" i="43"/>
  <c r="V120" i="43"/>
  <c r="P117" i="43"/>
  <c r="P120" i="43"/>
  <c r="L127" i="43"/>
  <c r="O126" i="43"/>
  <c r="D120" i="43"/>
  <c r="I120" i="43"/>
  <c r="L117" i="43"/>
  <c r="L118" i="43"/>
  <c r="L119" i="43"/>
  <c r="L120" i="43"/>
  <c r="L126" i="43"/>
  <c r="L125" i="43"/>
  <c r="L124" i="43"/>
  <c r="E120" i="43"/>
  <c r="L123" i="43"/>
  <c r="G118" i="43"/>
  <c r="G120" i="43"/>
  <c r="F118" i="43"/>
  <c r="R104" i="43"/>
  <c r="V101" i="43"/>
  <c r="V102" i="43"/>
  <c r="V103" i="43"/>
  <c r="V104" i="43"/>
  <c r="O111" i="43"/>
  <c r="P101" i="43"/>
  <c r="P104" i="43"/>
  <c r="L111" i="43"/>
  <c r="D104" i="43"/>
  <c r="I104" i="43"/>
  <c r="L104" i="43"/>
  <c r="L110" i="43"/>
  <c r="L109" i="43"/>
  <c r="L108" i="43"/>
  <c r="E104" i="43"/>
  <c r="L107" i="43"/>
  <c r="G102" i="43"/>
  <c r="G104" i="43"/>
  <c r="F102" i="43"/>
  <c r="R90" i="43"/>
  <c r="V87" i="43"/>
  <c r="V88" i="43"/>
  <c r="V90" i="43"/>
  <c r="P87" i="43"/>
  <c r="P90" i="43"/>
  <c r="L97" i="43"/>
  <c r="O96" i="43"/>
  <c r="D90" i="43"/>
  <c r="I90" i="43"/>
  <c r="L87" i="43"/>
  <c r="L88" i="43"/>
  <c r="L89" i="43"/>
  <c r="L90" i="43"/>
  <c r="L96" i="43"/>
  <c r="L95" i="43"/>
  <c r="L94" i="43"/>
  <c r="E90" i="43"/>
  <c r="L93" i="43"/>
  <c r="G88" i="43"/>
  <c r="G90" i="43"/>
  <c r="F88" i="43"/>
  <c r="R74" i="43"/>
  <c r="V71" i="43"/>
  <c r="V72" i="43"/>
  <c r="V73" i="43"/>
  <c r="V74" i="43"/>
  <c r="N74" i="43"/>
  <c r="O81" i="43"/>
  <c r="P71" i="43"/>
  <c r="P74" i="43"/>
  <c r="L81" i="43"/>
  <c r="D74" i="43"/>
  <c r="I74" i="43"/>
  <c r="L74" i="43"/>
  <c r="L80" i="43"/>
  <c r="L79" i="43"/>
  <c r="L78" i="43"/>
  <c r="E74" i="43"/>
  <c r="L77" i="43"/>
  <c r="G72" i="43"/>
  <c r="G74" i="43"/>
  <c r="F72" i="43"/>
  <c r="R60" i="43"/>
  <c r="V57" i="43"/>
  <c r="V58" i="43"/>
  <c r="V60" i="43"/>
  <c r="P57" i="43"/>
  <c r="P60" i="43"/>
  <c r="L67" i="43"/>
  <c r="N60" i="43"/>
  <c r="O66" i="43"/>
  <c r="D60" i="43"/>
  <c r="I60" i="43"/>
  <c r="L57" i="43"/>
  <c r="L58" i="43"/>
  <c r="L59" i="43"/>
  <c r="L60" i="43"/>
  <c r="L66" i="43"/>
  <c r="L65" i="43"/>
  <c r="L64" i="43"/>
  <c r="E60" i="43"/>
  <c r="L63" i="43"/>
  <c r="G58" i="43"/>
  <c r="G60" i="43"/>
  <c r="F58" i="43"/>
  <c r="O51" i="43"/>
  <c r="L51" i="43"/>
  <c r="L50" i="43"/>
  <c r="L49" i="43"/>
  <c r="L48" i="43"/>
  <c r="L47" i="43"/>
  <c r="L25" i="43"/>
  <c r="O24" i="43"/>
  <c r="L24" i="43"/>
  <c r="L23" i="43"/>
  <c r="L22" i="43"/>
  <c r="L21" i="43"/>
  <c r="T108" i="42"/>
  <c r="R108" i="42"/>
  <c r="T94" i="42"/>
  <c r="R94" i="42"/>
  <c r="K192" i="42"/>
  <c r="K191" i="42"/>
  <c r="K189" i="42"/>
  <c r="L122" i="42"/>
  <c r="K188" i="42"/>
  <c r="L92" i="42"/>
  <c r="K185" i="42"/>
  <c r="T78" i="42"/>
  <c r="L76" i="42"/>
  <c r="K183" i="42"/>
  <c r="T64" i="42"/>
  <c r="L62" i="42"/>
  <c r="K182" i="42"/>
  <c r="T48" i="42"/>
  <c r="L46" i="42"/>
  <c r="K180" i="42"/>
  <c r="T22" i="42"/>
  <c r="L20" i="42"/>
  <c r="K179" i="42"/>
  <c r="R134" i="42"/>
  <c r="V131" i="42"/>
  <c r="V132" i="42"/>
  <c r="V133" i="42"/>
  <c r="V134" i="42"/>
  <c r="O141" i="42"/>
  <c r="L141" i="42"/>
  <c r="D134" i="42"/>
  <c r="I134" i="42"/>
  <c r="L131" i="42"/>
  <c r="L134" i="42"/>
  <c r="L140" i="42"/>
  <c r="L139" i="42"/>
  <c r="L138" i="42"/>
  <c r="E134" i="42"/>
  <c r="L137" i="42"/>
  <c r="G132" i="42"/>
  <c r="G134" i="42"/>
  <c r="F132" i="42"/>
  <c r="R120" i="42"/>
  <c r="V117" i="42"/>
  <c r="V118" i="42"/>
  <c r="V120" i="42"/>
  <c r="L127" i="42"/>
  <c r="O126" i="42"/>
  <c r="D120" i="42"/>
  <c r="I120" i="42"/>
  <c r="L119" i="42"/>
  <c r="L120" i="42"/>
  <c r="L126" i="42"/>
  <c r="L125" i="42"/>
  <c r="L124" i="42"/>
  <c r="E120" i="42"/>
  <c r="L123" i="42"/>
  <c r="G120" i="42"/>
  <c r="R104" i="42"/>
  <c r="V101" i="42"/>
  <c r="V102" i="42"/>
  <c r="V103" i="42"/>
  <c r="V104" i="42"/>
  <c r="O111" i="42"/>
  <c r="D104" i="42"/>
  <c r="I104" i="42"/>
  <c r="L101" i="42"/>
  <c r="L104" i="42"/>
  <c r="E104" i="42"/>
  <c r="L107" i="42"/>
  <c r="G102" i="42"/>
  <c r="G104" i="42"/>
  <c r="F102" i="42"/>
  <c r="R90" i="42"/>
  <c r="V87" i="42"/>
  <c r="V88" i="42"/>
  <c r="V90" i="42"/>
  <c r="L97" i="42"/>
  <c r="O96" i="42"/>
  <c r="D90" i="42"/>
  <c r="I90" i="42"/>
  <c r="L89" i="42"/>
  <c r="L90" i="42"/>
  <c r="L96" i="42"/>
  <c r="L95" i="42"/>
  <c r="L94" i="42"/>
  <c r="E90" i="42"/>
  <c r="L93" i="42"/>
  <c r="G90" i="42"/>
  <c r="R74" i="42"/>
  <c r="V71" i="42"/>
  <c r="V72" i="42"/>
  <c r="V73" i="42"/>
  <c r="V74" i="42"/>
  <c r="L81" i="42"/>
  <c r="I74" i="42"/>
  <c r="L71" i="42"/>
  <c r="L74" i="42"/>
  <c r="L80" i="42"/>
  <c r="L79" i="42"/>
  <c r="L78" i="42"/>
  <c r="L77" i="42"/>
  <c r="R60" i="42"/>
  <c r="V57" i="42"/>
  <c r="V58" i="42"/>
  <c r="V60" i="42"/>
  <c r="L67" i="42"/>
  <c r="O66" i="42"/>
  <c r="D60" i="42"/>
  <c r="I60" i="42"/>
  <c r="L59" i="42"/>
  <c r="L60" i="42"/>
  <c r="L66" i="42"/>
  <c r="L65" i="42"/>
  <c r="L64" i="42"/>
  <c r="E60" i="42"/>
  <c r="L63" i="42"/>
  <c r="G60" i="42"/>
  <c r="L51" i="42"/>
  <c r="L50" i="42"/>
  <c r="L48" i="42"/>
  <c r="L47" i="42"/>
  <c r="L25" i="42"/>
  <c r="O24" i="42"/>
  <c r="L24" i="42"/>
  <c r="L22" i="42"/>
  <c r="L21" i="42"/>
  <c r="J301" i="47"/>
  <c r="I301" i="47"/>
  <c r="H301" i="47"/>
  <c r="G301" i="47"/>
  <c r="F301" i="47"/>
  <c r="J300" i="47"/>
  <c r="I300" i="47"/>
  <c r="G300" i="47"/>
  <c r="F300" i="47"/>
  <c r="D299" i="47"/>
  <c r="J298" i="47"/>
  <c r="I298" i="47"/>
  <c r="H298" i="47"/>
  <c r="G298" i="47"/>
  <c r="F298" i="47"/>
  <c r="J297" i="47"/>
  <c r="I297" i="47"/>
  <c r="H297" i="47"/>
  <c r="G297" i="47"/>
  <c r="F297" i="47"/>
  <c r="D296" i="47"/>
  <c r="J295" i="47"/>
  <c r="I295" i="47"/>
  <c r="H295" i="47"/>
  <c r="G295" i="47"/>
  <c r="F295" i="47"/>
  <c r="J294" i="47"/>
  <c r="I294" i="47"/>
  <c r="H294" i="47"/>
  <c r="G294" i="47"/>
  <c r="F294" i="47"/>
  <c r="D293" i="47"/>
  <c r="J292" i="47"/>
  <c r="I292" i="47"/>
  <c r="H292" i="47"/>
  <c r="G292" i="47"/>
  <c r="F292" i="47"/>
  <c r="J291" i="47"/>
  <c r="I291" i="47"/>
  <c r="H291" i="47"/>
  <c r="G291" i="47"/>
  <c r="F291" i="47"/>
  <c r="D290" i="47"/>
  <c r="J289" i="47"/>
  <c r="I289" i="47"/>
  <c r="H289" i="47"/>
  <c r="G289" i="47"/>
  <c r="F289" i="47"/>
  <c r="J288" i="47"/>
  <c r="I288" i="47"/>
  <c r="H288" i="47"/>
  <c r="G288" i="47"/>
  <c r="F288" i="47"/>
  <c r="D287" i="47"/>
  <c r="J286" i="47"/>
  <c r="I286" i="47"/>
  <c r="H286" i="47"/>
  <c r="G286" i="47"/>
  <c r="F286" i="47"/>
  <c r="J285" i="47"/>
  <c r="I285" i="47"/>
  <c r="H285" i="47"/>
  <c r="G285" i="47"/>
  <c r="F285" i="47"/>
  <c r="D284" i="47"/>
  <c r="J102" i="46"/>
  <c r="I102" i="46"/>
  <c r="H102" i="46"/>
  <c r="G102" i="46"/>
  <c r="F102" i="46"/>
  <c r="D101" i="46"/>
  <c r="J100" i="46"/>
  <c r="I100" i="46"/>
  <c r="H100" i="46"/>
  <c r="G100" i="46"/>
  <c r="F100" i="46"/>
  <c r="D99" i="46"/>
  <c r="J98" i="46"/>
  <c r="I98" i="46"/>
  <c r="H98" i="46"/>
  <c r="G98" i="46"/>
  <c r="F98" i="46"/>
  <c r="D97" i="46"/>
  <c r="J96" i="46"/>
  <c r="I96" i="46"/>
  <c r="H96" i="46"/>
  <c r="G96" i="46"/>
  <c r="F96" i="46"/>
  <c r="D95" i="46"/>
  <c r="J94" i="46"/>
  <c r="I94" i="46"/>
  <c r="H94" i="46"/>
  <c r="G94" i="46"/>
  <c r="F94" i="46"/>
  <c r="J106" i="45"/>
  <c r="I106" i="45"/>
  <c r="H106" i="45"/>
  <c r="G106" i="45"/>
  <c r="F106" i="45"/>
  <c r="D105" i="45"/>
  <c r="J104" i="45"/>
  <c r="I104" i="45"/>
  <c r="H104" i="45"/>
  <c r="G104" i="45"/>
  <c r="F104" i="45"/>
  <c r="D103" i="45"/>
  <c r="J102" i="45"/>
  <c r="I102" i="45"/>
  <c r="H102" i="45"/>
  <c r="G102" i="45"/>
  <c r="F102" i="45"/>
  <c r="D101" i="45"/>
  <c r="J100" i="45"/>
  <c r="I100" i="45"/>
  <c r="H100" i="45"/>
  <c r="G100" i="45"/>
  <c r="F100" i="45"/>
  <c r="D99" i="45"/>
  <c r="J98" i="45"/>
  <c r="I98" i="45"/>
  <c r="H98" i="45"/>
  <c r="G98" i="45"/>
  <c r="F98" i="45"/>
  <c r="J188" i="44"/>
  <c r="I188" i="44"/>
  <c r="H188" i="44"/>
  <c r="G188" i="44"/>
  <c r="F188" i="44"/>
  <c r="J187" i="44"/>
  <c r="I187" i="44"/>
  <c r="H187" i="44"/>
  <c r="G187" i="44"/>
  <c r="F187" i="44"/>
  <c r="D186" i="44"/>
  <c r="J185" i="44"/>
  <c r="I185" i="44"/>
  <c r="H185" i="44"/>
  <c r="G185" i="44"/>
  <c r="F185" i="44"/>
  <c r="J184" i="44"/>
  <c r="I184" i="44"/>
  <c r="H184" i="44"/>
  <c r="G184" i="44"/>
  <c r="F184" i="44"/>
  <c r="D183" i="44"/>
  <c r="J182" i="44"/>
  <c r="I182" i="44"/>
  <c r="H182" i="44"/>
  <c r="G182" i="44"/>
  <c r="F182" i="44"/>
  <c r="J181" i="44"/>
  <c r="I181" i="44"/>
  <c r="H181" i="44"/>
  <c r="G181" i="44"/>
  <c r="F181" i="44"/>
  <c r="D180" i="44"/>
  <c r="J179" i="44"/>
  <c r="I179" i="44"/>
  <c r="H179" i="44"/>
  <c r="G179" i="44"/>
  <c r="F179" i="44"/>
  <c r="J178" i="44"/>
  <c r="I178" i="44"/>
  <c r="H178" i="44"/>
  <c r="G178" i="44"/>
  <c r="F178" i="44"/>
  <c r="D177" i="44"/>
  <c r="J176" i="44"/>
  <c r="I176" i="44"/>
  <c r="H176" i="44"/>
  <c r="G176" i="44"/>
  <c r="F176" i="44"/>
  <c r="J175" i="44"/>
  <c r="I175" i="44"/>
  <c r="H175" i="44"/>
  <c r="G175" i="44"/>
  <c r="F175" i="44"/>
  <c r="J192" i="43"/>
  <c r="I192" i="43"/>
  <c r="H192" i="43"/>
  <c r="G192" i="43"/>
  <c r="F192" i="43"/>
  <c r="J191" i="43"/>
  <c r="I191" i="43"/>
  <c r="H191" i="43"/>
  <c r="G191" i="43"/>
  <c r="F191" i="43"/>
  <c r="D190" i="43"/>
  <c r="J189" i="43"/>
  <c r="I189" i="43"/>
  <c r="H189" i="43"/>
  <c r="G189" i="43"/>
  <c r="F189" i="43"/>
  <c r="J188" i="43"/>
  <c r="I188" i="43"/>
  <c r="H188" i="43"/>
  <c r="G188" i="43"/>
  <c r="F188" i="43"/>
  <c r="D187" i="43"/>
  <c r="J186" i="43"/>
  <c r="I186" i="43"/>
  <c r="H186" i="43"/>
  <c r="G186" i="43"/>
  <c r="F186" i="43"/>
  <c r="J185" i="43"/>
  <c r="I185" i="43"/>
  <c r="H185" i="43"/>
  <c r="G185" i="43"/>
  <c r="F185" i="43"/>
  <c r="D184" i="43"/>
  <c r="J183" i="43"/>
  <c r="I183" i="43"/>
  <c r="H183" i="43"/>
  <c r="G183" i="43"/>
  <c r="F183" i="43"/>
  <c r="J182" i="43"/>
  <c r="I182" i="43"/>
  <c r="H182" i="43"/>
  <c r="G182" i="43"/>
  <c r="F182" i="43"/>
  <c r="J180" i="43"/>
  <c r="I180" i="43"/>
  <c r="H180" i="43"/>
  <c r="G180" i="43"/>
  <c r="F180" i="43"/>
  <c r="J179" i="43"/>
  <c r="I179" i="43"/>
  <c r="H179" i="43"/>
  <c r="G179" i="43"/>
  <c r="F179" i="43"/>
  <c r="J192" i="42"/>
  <c r="I192" i="42"/>
  <c r="H192" i="42"/>
  <c r="G192" i="42"/>
  <c r="F192" i="42"/>
  <c r="J191" i="42"/>
  <c r="I191" i="42"/>
  <c r="H191" i="42"/>
  <c r="G191" i="42"/>
  <c r="F191" i="42"/>
  <c r="D190" i="42"/>
  <c r="J189" i="42"/>
  <c r="I189" i="42"/>
  <c r="H189" i="42"/>
  <c r="G189" i="42"/>
  <c r="F189" i="42"/>
  <c r="J188" i="42"/>
  <c r="I188" i="42"/>
  <c r="H188" i="42"/>
  <c r="G188" i="42"/>
  <c r="F188" i="42"/>
  <c r="D187" i="42"/>
  <c r="F186" i="42"/>
  <c r="J185" i="42"/>
  <c r="I185" i="42"/>
  <c r="H185" i="42"/>
  <c r="G185" i="42"/>
  <c r="F185" i="42"/>
  <c r="D184" i="42"/>
  <c r="J183" i="42"/>
  <c r="I183" i="42"/>
  <c r="H183" i="42"/>
  <c r="G183" i="42"/>
  <c r="F183" i="42"/>
  <c r="J182" i="42"/>
  <c r="I182" i="42"/>
  <c r="H182" i="42"/>
  <c r="G182" i="42"/>
  <c r="F182" i="42"/>
  <c r="D181" i="42"/>
  <c r="J180" i="42"/>
  <c r="I180" i="42"/>
  <c r="H180" i="42"/>
  <c r="G180" i="42"/>
  <c r="F180" i="42"/>
  <c r="J179" i="42"/>
  <c r="I179" i="42"/>
  <c r="H179" i="42"/>
  <c r="G179" i="42"/>
  <c r="F179" i="42"/>
  <c r="R133" i="41"/>
  <c r="R104" i="41"/>
  <c r="R90" i="41"/>
  <c r="R129" i="41"/>
  <c r="V126" i="41"/>
  <c r="V127" i="41"/>
  <c r="V128" i="41"/>
  <c r="V129" i="41"/>
  <c r="O136" i="41"/>
  <c r="P126" i="41"/>
  <c r="P127" i="41"/>
  <c r="P129" i="41"/>
  <c r="L136" i="41"/>
  <c r="D129" i="41"/>
  <c r="I129" i="41"/>
  <c r="L126" i="41"/>
  <c r="L129" i="41"/>
  <c r="L135" i="41"/>
  <c r="L134" i="41"/>
  <c r="L133" i="41"/>
  <c r="E129" i="41"/>
  <c r="L132" i="41"/>
  <c r="G129" i="41"/>
  <c r="R115" i="41"/>
  <c r="V113" i="41"/>
  <c r="V114" i="41"/>
  <c r="V115" i="41"/>
  <c r="P113" i="41"/>
  <c r="P114" i="41"/>
  <c r="P115" i="41"/>
  <c r="L122" i="41"/>
  <c r="O121" i="41"/>
  <c r="D115" i="41"/>
  <c r="I115" i="41"/>
  <c r="L115" i="41"/>
  <c r="L121" i="41"/>
  <c r="L120" i="41"/>
  <c r="L119" i="41"/>
  <c r="E115" i="41"/>
  <c r="L118" i="41"/>
  <c r="G114" i="41"/>
  <c r="G115" i="41"/>
  <c r="R100" i="41"/>
  <c r="V97" i="41"/>
  <c r="V98" i="41"/>
  <c r="V99" i="41"/>
  <c r="V100" i="41"/>
  <c r="O107" i="41"/>
  <c r="P97" i="41"/>
  <c r="P98" i="41"/>
  <c r="P100" i="41"/>
  <c r="L107" i="41"/>
  <c r="D100" i="41"/>
  <c r="I100" i="41"/>
  <c r="L97" i="41"/>
  <c r="L100" i="41"/>
  <c r="L106" i="41"/>
  <c r="L105" i="41"/>
  <c r="L104" i="41"/>
  <c r="E100" i="41"/>
  <c r="L103" i="41"/>
  <c r="G98" i="41"/>
  <c r="G100" i="41"/>
  <c r="R86" i="41"/>
  <c r="V84" i="41"/>
  <c r="V85" i="41"/>
  <c r="V86" i="41"/>
  <c r="P84" i="41"/>
  <c r="P85" i="41"/>
  <c r="P86" i="41"/>
  <c r="L93" i="41"/>
  <c r="D86" i="41"/>
  <c r="I86" i="41"/>
  <c r="L86" i="41"/>
  <c r="L92" i="41"/>
  <c r="L91" i="41"/>
  <c r="L90" i="41"/>
  <c r="E86" i="41"/>
  <c r="L89" i="41"/>
  <c r="G85" i="41"/>
  <c r="G86" i="41"/>
  <c r="R71" i="41"/>
  <c r="V68" i="41"/>
  <c r="V69" i="41"/>
  <c r="V70" i="41"/>
  <c r="V71" i="41"/>
  <c r="P68" i="41"/>
  <c r="P69" i="41"/>
  <c r="P70" i="41"/>
  <c r="P71" i="41"/>
  <c r="L78" i="41"/>
  <c r="D71" i="41"/>
  <c r="I71" i="41"/>
  <c r="L68" i="41"/>
  <c r="L71" i="41"/>
  <c r="L77" i="41"/>
  <c r="L76" i="41"/>
  <c r="L75" i="41"/>
  <c r="E71" i="41"/>
  <c r="L74" i="41"/>
  <c r="G69" i="41"/>
  <c r="G71" i="41"/>
  <c r="R57" i="41"/>
  <c r="V55" i="41"/>
  <c r="V56" i="41"/>
  <c r="V57" i="41"/>
  <c r="P55" i="41"/>
  <c r="P56" i="41"/>
  <c r="P57" i="41"/>
  <c r="L64" i="41"/>
  <c r="D57" i="41"/>
  <c r="I57" i="41"/>
  <c r="L57" i="41"/>
  <c r="L63" i="41"/>
  <c r="L62" i="41"/>
  <c r="L61" i="41"/>
  <c r="E57" i="41"/>
  <c r="L60" i="41"/>
  <c r="G56" i="41"/>
  <c r="G57" i="41"/>
  <c r="L19" i="41"/>
  <c r="L49" i="41"/>
  <c r="L48" i="41"/>
  <c r="L47" i="41"/>
  <c r="L46" i="41"/>
  <c r="L45" i="41"/>
  <c r="L23" i="41"/>
  <c r="L22" i="41"/>
  <c r="L21" i="41"/>
  <c r="L20" i="41"/>
  <c r="G132" i="40"/>
  <c r="T139" i="40"/>
  <c r="R139" i="40"/>
  <c r="T125" i="40"/>
  <c r="R125" i="40"/>
  <c r="T109" i="40"/>
  <c r="R109" i="40"/>
  <c r="L137" i="40"/>
  <c r="K194" i="40"/>
  <c r="L123" i="40"/>
  <c r="K193" i="40"/>
  <c r="L107" i="40"/>
  <c r="K191" i="40"/>
  <c r="L93" i="40"/>
  <c r="K190" i="40"/>
  <c r="T79" i="40"/>
  <c r="L77" i="40"/>
  <c r="K188" i="40"/>
  <c r="T65" i="40"/>
  <c r="L63" i="40"/>
  <c r="K187" i="40"/>
  <c r="K185" i="40"/>
  <c r="K184" i="40"/>
  <c r="R135" i="40"/>
  <c r="V132" i="40"/>
  <c r="V133" i="40"/>
  <c r="V134" i="40"/>
  <c r="V135" i="40"/>
  <c r="O142" i="40"/>
  <c r="P132" i="40"/>
  <c r="P133" i="40"/>
  <c r="P134" i="40"/>
  <c r="P135" i="40"/>
  <c r="L142" i="40"/>
  <c r="D135" i="40"/>
  <c r="I135" i="40"/>
  <c r="L132" i="40"/>
  <c r="L133" i="40"/>
  <c r="L134" i="40"/>
  <c r="L135" i="40"/>
  <c r="L141" i="40"/>
  <c r="L140" i="40"/>
  <c r="L139" i="40"/>
  <c r="E135" i="40"/>
  <c r="L138" i="40"/>
  <c r="G133" i="40"/>
  <c r="G135" i="40"/>
  <c r="F133" i="40"/>
  <c r="R121" i="40"/>
  <c r="V118" i="40"/>
  <c r="V119" i="40"/>
  <c r="V120" i="40"/>
  <c r="V121" i="40"/>
  <c r="P118" i="40"/>
  <c r="P119" i="40"/>
  <c r="P120" i="40"/>
  <c r="P121" i="40"/>
  <c r="L128" i="40"/>
  <c r="D121" i="40"/>
  <c r="I121" i="40"/>
  <c r="L118" i="40"/>
  <c r="L119" i="40"/>
  <c r="L121" i="40"/>
  <c r="L127" i="40"/>
  <c r="L126" i="40"/>
  <c r="L125" i="40"/>
  <c r="E121" i="40"/>
  <c r="L124" i="40"/>
  <c r="G119" i="40"/>
  <c r="G121" i="40"/>
  <c r="R105" i="40"/>
  <c r="V102" i="40"/>
  <c r="V103" i="40"/>
  <c r="V104" i="40"/>
  <c r="V105" i="40"/>
  <c r="P102" i="40"/>
  <c r="P103" i="40"/>
  <c r="P104" i="40"/>
  <c r="P105" i="40"/>
  <c r="L112" i="40"/>
  <c r="D105" i="40"/>
  <c r="I105" i="40"/>
  <c r="L102" i="40"/>
  <c r="L103" i="40"/>
  <c r="L104" i="40"/>
  <c r="L105" i="40"/>
  <c r="L111" i="40"/>
  <c r="L110" i="40"/>
  <c r="L109" i="40"/>
  <c r="E105" i="40"/>
  <c r="L108" i="40"/>
  <c r="G103" i="40"/>
  <c r="G105" i="40"/>
  <c r="F103" i="40"/>
  <c r="L98" i="40"/>
  <c r="O96" i="40"/>
  <c r="L95" i="40"/>
  <c r="E91" i="40"/>
  <c r="L94" i="40"/>
  <c r="G89" i="40"/>
  <c r="G91" i="40"/>
  <c r="R75" i="40"/>
  <c r="V72" i="40"/>
  <c r="V73" i="40"/>
  <c r="V74" i="40"/>
  <c r="V75" i="40"/>
  <c r="P72" i="40"/>
  <c r="P73" i="40"/>
  <c r="P74" i="40"/>
  <c r="P75" i="40"/>
  <c r="L82" i="40"/>
  <c r="D75" i="40"/>
  <c r="I75" i="40"/>
  <c r="L72" i="40"/>
  <c r="L73" i="40"/>
  <c r="L74" i="40"/>
  <c r="L75" i="40"/>
  <c r="L81" i="40"/>
  <c r="L80" i="40"/>
  <c r="L79" i="40"/>
  <c r="E75" i="40"/>
  <c r="L78" i="40"/>
  <c r="G73" i="40"/>
  <c r="G75" i="40"/>
  <c r="F73" i="40"/>
  <c r="R61" i="40"/>
  <c r="V58" i="40"/>
  <c r="V59" i="40"/>
  <c r="V60" i="40"/>
  <c r="V61" i="40"/>
  <c r="P58" i="40"/>
  <c r="P59" i="40"/>
  <c r="P60" i="40"/>
  <c r="P61" i="40"/>
  <c r="L68" i="40"/>
  <c r="D61" i="40"/>
  <c r="I61" i="40"/>
  <c r="L58" i="40"/>
  <c r="L59" i="40"/>
  <c r="L61" i="40"/>
  <c r="L67" i="40"/>
  <c r="L66" i="40"/>
  <c r="L65" i="40"/>
  <c r="E61" i="40"/>
  <c r="L64" i="40"/>
  <c r="G59" i="40"/>
  <c r="G61" i="40"/>
  <c r="K130" i="39"/>
  <c r="J183" i="39"/>
  <c r="J182" i="39"/>
  <c r="J180" i="39"/>
  <c r="K88" i="39"/>
  <c r="J179" i="39"/>
  <c r="Q128" i="39"/>
  <c r="U126" i="39"/>
  <c r="U127" i="39"/>
  <c r="U128" i="39"/>
  <c r="N135" i="39"/>
  <c r="O126" i="39"/>
  <c r="O127" i="39"/>
  <c r="O128" i="39"/>
  <c r="K135" i="39"/>
  <c r="C128" i="39"/>
  <c r="H128" i="39"/>
  <c r="F127" i="39"/>
  <c r="K126" i="39"/>
  <c r="K127" i="39"/>
  <c r="K128" i="39"/>
  <c r="K134" i="39"/>
  <c r="K133" i="39"/>
  <c r="K132" i="39"/>
  <c r="D128" i="39"/>
  <c r="K131" i="39"/>
  <c r="F128" i="39"/>
  <c r="K121" i="39"/>
  <c r="K120" i="39"/>
  <c r="K119" i="39"/>
  <c r="K106" i="39"/>
  <c r="K105" i="39"/>
  <c r="K103" i="39"/>
  <c r="F99" i="39"/>
  <c r="K92" i="39"/>
  <c r="K90" i="39"/>
  <c r="J177" i="39"/>
  <c r="K59" i="39"/>
  <c r="J176" i="39"/>
  <c r="O39" i="39"/>
  <c r="O40" i="39"/>
  <c r="O41" i="39"/>
  <c r="U39" i="39"/>
  <c r="U40" i="39"/>
  <c r="U41" i="39"/>
  <c r="C41" i="39"/>
  <c r="H41" i="39"/>
  <c r="K41" i="39"/>
  <c r="Q41" i="39"/>
  <c r="D41" i="39"/>
  <c r="K44" i="39"/>
  <c r="E174" i="39"/>
  <c r="U15" i="39"/>
  <c r="U16" i="39"/>
  <c r="U18" i="39"/>
  <c r="K25" i="39"/>
  <c r="I173" i="39"/>
  <c r="C18" i="39"/>
  <c r="H18" i="39"/>
  <c r="K16" i="39"/>
  <c r="K18" i="39"/>
  <c r="K24" i="39"/>
  <c r="H173" i="39"/>
  <c r="Q18" i="39"/>
  <c r="K23" i="39"/>
  <c r="G173" i="39"/>
  <c r="K22" i="39"/>
  <c r="F173" i="39"/>
  <c r="D18" i="39"/>
  <c r="K21" i="39"/>
  <c r="E173" i="39"/>
  <c r="J188" i="41"/>
  <c r="I188" i="41"/>
  <c r="H188" i="41"/>
  <c r="G188" i="41"/>
  <c r="F188" i="41"/>
  <c r="J187" i="41"/>
  <c r="I187" i="41"/>
  <c r="H187" i="41"/>
  <c r="G187" i="41"/>
  <c r="F187" i="41"/>
  <c r="D186" i="41"/>
  <c r="J185" i="41"/>
  <c r="I185" i="41"/>
  <c r="H185" i="41"/>
  <c r="G185" i="41"/>
  <c r="F185" i="41"/>
  <c r="J184" i="41"/>
  <c r="I184" i="41"/>
  <c r="H184" i="41"/>
  <c r="G184" i="41"/>
  <c r="F184" i="41"/>
  <c r="D183" i="41"/>
  <c r="J182" i="41"/>
  <c r="I182" i="41"/>
  <c r="H182" i="41"/>
  <c r="G182" i="41"/>
  <c r="F182" i="41"/>
  <c r="J181" i="41"/>
  <c r="I181" i="41"/>
  <c r="H181" i="41"/>
  <c r="G181" i="41"/>
  <c r="F181" i="41"/>
  <c r="D180" i="41"/>
  <c r="J179" i="41"/>
  <c r="I179" i="41"/>
  <c r="H179" i="41"/>
  <c r="G179" i="41"/>
  <c r="F179" i="41"/>
  <c r="J178" i="41"/>
  <c r="I178" i="41"/>
  <c r="H178" i="41"/>
  <c r="G178" i="41"/>
  <c r="F178" i="41"/>
  <c r="D177" i="41"/>
  <c r="J176" i="41"/>
  <c r="I176" i="41"/>
  <c r="H176" i="41"/>
  <c r="G176" i="41"/>
  <c r="F176" i="41"/>
  <c r="J175" i="41"/>
  <c r="I175" i="41"/>
  <c r="H175" i="41"/>
  <c r="G175" i="41"/>
  <c r="F175" i="41"/>
  <c r="F41" i="39"/>
  <c r="K60" i="39"/>
  <c r="K61" i="39"/>
  <c r="K63" i="39"/>
  <c r="F70" i="39"/>
  <c r="F18" i="39"/>
  <c r="J197" i="40"/>
  <c r="I197" i="40"/>
  <c r="H197" i="40"/>
  <c r="G197" i="40"/>
  <c r="F197" i="40"/>
  <c r="J196" i="40"/>
  <c r="I196" i="40"/>
  <c r="H196" i="40"/>
  <c r="G196" i="40"/>
  <c r="F196" i="40"/>
  <c r="D195" i="40"/>
  <c r="J194" i="40"/>
  <c r="I194" i="40"/>
  <c r="H194" i="40"/>
  <c r="G194" i="40"/>
  <c r="F194" i="40"/>
  <c r="J193" i="40"/>
  <c r="I193" i="40"/>
  <c r="H193" i="40"/>
  <c r="G193" i="40"/>
  <c r="F193" i="40"/>
  <c r="D192" i="40"/>
  <c r="J191" i="40"/>
  <c r="I191" i="40"/>
  <c r="H191" i="40"/>
  <c r="G191" i="40"/>
  <c r="F191" i="40"/>
  <c r="J190" i="40"/>
  <c r="I190" i="40"/>
  <c r="H190" i="40"/>
  <c r="G190" i="40"/>
  <c r="F190" i="40"/>
  <c r="D189" i="40"/>
  <c r="J188" i="40"/>
  <c r="I188" i="40"/>
  <c r="H188" i="40"/>
  <c r="G188" i="40"/>
  <c r="F188" i="40"/>
  <c r="J187" i="40"/>
  <c r="I187" i="40"/>
  <c r="H187" i="40"/>
  <c r="G187" i="40"/>
  <c r="F187" i="40"/>
  <c r="D186" i="40"/>
  <c r="J185" i="40"/>
  <c r="I185" i="40"/>
  <c r="H185" i="40"/>
  <c r="G185" i="40"/>
  <c r="F185" i="40"/>
  <c r="J184" i="40"/>
  <c r="I184" i="40"/>
  <c r="H184" i="40"/>
  <c r="G184" i="40"/>
  <c r="F184" i="40"/>
  <c r="I186" i="39"/>
  <c r="H186" i="39"/>
  <c r="G186" i="39"/>
  <c r="F186" i="39"/>
  <c r="E186" i="39"/>
  <c r="I185" i="39"/>
  <c r="E185" i="39"/>
  <c r="C184" i="39"/>
  <c r="I183" i="39"/>
  <c r="H183" i="39"/>
  <c r="G183" i="39"/>
  <c r="F183" i="39"/>
  <c r="E183" i="39"/>
  <c r="H182" i="39"/>
  <c r="G182" i="39"/>
  <c r="F182" i="39"/>
  <c r="E182" i="39"/>
  <c r="C181" i="39"/>
  <c r="I180" i="39"/>
  <c r="H180" i="39"/>
  <c r="G180" i="39"/>
  <c r="F180" i="39"/>
  <c r="E180" i="39"/>
  <c r="I179" i="39"/>
  <c r="H179" i="39"/>
  <c r="G179" i="39"/>
  <c r="F179" i="39"/>
  <c r="E179" i="39"/>
  <c r="C178" i="39"/>
  <c r="I177" i="39"/>
  <c r="H177" i="39"/>
  <c r="G177" i="39"/>
  <c r="F177" i="39"/>
  <c r="E177" i="39"/>
  <c r="H176" i="39"/>
  <c r="F176" i="39"/>
  <c r="E176" i="39"/>
  <c r="C175" i="39"/>
  <c r="L106" i="42"/>
  <c r="K186" i="42"/>
  <c r="L111" i="42"/>
  <c r="J186" i="42"/>
  <c r="L110" i="42"/>
  <c r="I186" i="42"/>
  <c r="L109" i="42"/>
  <c r="H186" i="42"/>
  <c r="L108" i="42"/>
  <c r="G186" i="42"/>
  <c r="H185" i="39"/>
  <c r="G185" i="39"/>
  <c r="F185" i="39"/>
  <c r="O152" i="47"/>
  <c r="S45" i="39"/>
  <c r="K43" i="39"/>
  <c r="J174" i="39"/>
  <c r="K48" i="39"/>
  <c r="I174" i="39"/>
  <c r="K47" i="39"/>
  <c r="H174" i="39"/>
  <c r="K46" i="39"/>
  <c r="G174" i="39"/>
  <c r="K45" i="39"/>
  <c r="F174" i="39"/>
</calcChain>
</file>

<file path=xl/sharedStrings.xml><?xml version="1.0" encoding="utf-8"?>
<sst xmlns="http://schemas.openxmlformats.org/spreadsheetml/2006/main" count="5823" uniqueCount="210">
  <si>
    <t>mol</t>
  </si>
  <si>
    <t>Catalyst</t>
  </si>
  <si>
    <t>Reagent</t>
  </si>
  <si>
    <t>Product</t>
  </si>
  <si>
    <t>Total</t>
  </si>
  <si>
    <t>Yield</t>
  </si>
  <si>
    <t>AE</t>
  </si>
  <si>
    <t>RME</t>
  </si>
  <si>
    <t>Reaction Solvent</t>
  </si>
  <si>
    <t>Workup Solvent</t>
  </si>
  <si>
    <t>Work up Chemical</t>
  </si>
  <si>
    <t>mass (g)</t>
  </si>
  <si>
    <t>MW</t>
  </si>
  <si>
    <t>equiv</t>
  </si>
  <si>
    <r>
      <t>Reactant (</t>
    </r>
    <r>
      <rPr>
        <b/>
        <sz val="11"/>
        <color rgb="FF0070C0"/>
        <rFont val="Calibri"/>
        <family val="2"/>
        <scheme val="minor"/>
      </rPr>
      <t>Limiting Reactant First</t>
    </r>
    <r>
      <rPr>
        <b/>
        <sz val="11"/>
        <color theme="1"/>
        <rFont val="Calibri"/>
        <family val="2"/>
        <scheme val="minor"/>
      </rPr>
      <t>)</t>
    </r>
  </si>
  <si>
    <t>Mol</t>
  </si>
  <si>
    <t>Volume (mL)</t>
  </si>
  <si>
    <r>
      <t>Density (g.mL</t>
    </r>
    <r>
      <rPr>
        <b/>
        <vertAlign val="superscript"/>
        <sz val="11"/>
        <color theme="1"/>
        <rFont val="Calibri"/>
        <family val="2"/>
        <scheme val="minor"/>
      </rPr>
      <t>-1</t>
    </r>
    <r>
      <rPr>
        <b/>
        <sz val="11"/>
        <color theme="1"/>
        <rFont val="Calibri"/>
        <family val="2"/>
        <scheme val="minor"/>
      </rPr>
      <t>)</t>
    </r>
  </si>
  <si>
    <t>Mass                                    (g)</t>
  </si>
  <si>
    <t xml:space="preserve"> Volume (mL)</t>
  </si>
  <si>
    <r>
      <t>Density     (g mL</t>
    </r>
    <r>
      <rPr>
        <b/>
        <vertAlign val="superscript"/>
        <sz val="11"/>
        <color theme="1"/>
        <rFont val="Calibri"/>
        <family val="2"/>
        <scheme val="minor"/>
      </rPr>
      <t>-1</t>
    </r>
    <r>
      <rPr>
        <b/>
        <sz val="11"/>
        <color theme="1"/>
        <rFont val="Calibri"/>
        <family val="2"/>
        <scheme val="minor"/>
      </rPr>
      <t>)</t>
    </r>
  </si>
  <si>
    <t>Mass                (g)</t>
  </si>
  <si>
    <t>Mass          (g)</t>
  </si>
  <si>
    <t>Mass             (g)</t>
  </si>
  <si>
    <t>Mass                    (g)</t>
  </si>
  <si>
    <t>Mass         (g)</t>
  </si>
  <si>
    <t>METRICS</t>
  </si>
  <si>
    <t>THF</t>
  </si>
  <si>
    <r>
      <t>MW (g mmol</t>
    </r>
    <r>
      <rPr>
        <b/>
        <vertAlign val="superscript"/>
        <sz val="11"/>
        <color theme="1"/>
        <rFont val="Calibri"/>
        <family val="2"/>
        <scheme val="minor"/>
      </rPr>
      <t>-1</t>
    </r>
    <r>
      <rPr>
        <b/>
        <sz val="11"/>
        <color theme="1"/>
        <rFont val="Calibri"/>
        <family val="2"/>
        <scheme val="minor"/>
      </rPr>
      <t>)</t>
    </r>
  </si>
  <si>
    <t>Entry</t>
  </si>
  <si>
    <t>Substrate</t>
  </si>
  <si>
    <t>(%)</t>
  </si>
  <si>
    <t>PMI</t>
  </si>
  <si>
    <r>
      <t>(g g</t>
    </r>
    <r>
      <rPr>
        <vertAlign val="superscript"/>
        <sz val="10"/>
        <color rgb="FF000000"/>
        <rFont val="Arial"/>
        <family val="2"/>
      </rPr>
      <t>-1</t>
    </r>
    <r>
      <rPr>
        <sz val="10"/>
        <color rgb="FF000000"/>
        <rFont val="Arial"/>
        <family val="2"/>
      </rPr>
      <t>)</t>
    </r>
  </si>
  <si>
    <r>
      <t>PMI</t>
    </r>
    <r>
      <rPr>
        <vertAlign val="subscript"/>
        <sz val="10"/>
        <color rgb="FF000000"/>
        <rFont val="Arial"/>
        <family val="2"/>
      </rPr>
      <t>RRC</t>
    </r>
  </si>
  <si>
    <r>
      <t>PMI</t>
    </r>
    <r>
      <rPr>
        <vertAlign val="subscript"/>
        <sz val="10"/>
        <color rgb="FF000000"/>
        <rFont val="Arial"/>
        <family val="2"/>
      </rPr>
      <t>solv</t>
    </r>
  </si>
  <si>
    <t>OPRD, 1999, 3 ,145-148</t>
  </si>
  <si>
    <t>SOCl2</t>
  </si>
  <si>
    <t>DMF</t>
  </si>
  <si>
    <t>Imidazole</t>
  </si>
  <si>
    <t>EtOAc</t>
  </si>
  <si>
    <t>Water</t>
  </si>
  <si>
    <t>L-glutamine</t>
  </si>
  <si>
    <t>D-2-chloropropionic acid</t>
  </si>
  <si>
    <t>PhMe</t>
  </si>
  <si>
    <t>NaOH</t>
  </si>
  <si>
    <t>OPRD, 2000, 4, 147-152</t>
  </si>
  <si>
    <t>DCM</t>
  </si>
  <si>
    <t>(COCl)2</t>
  </si>
  <si>
    <t>NEt3</t>
  </si>
  <si>
    <t>Trimethylhydrazine</t>
  </si>
  <si>
    <t>1,4-Dioxane</t>
  </si>
  <si>
    <t>Pyridine</t>
  </si>
  <si>
    <t>2-aminopyrazine</t>
  </si>
  <si>
    <t>OPRD, 2012, 16, 830-835</t>
  </si>
  <si>
    <t>OPRD, 2004, 8, 360-362</t>
  </si>
  <si>
    <t>OPRD, 2013, 17, 981-984</t>
  </si>
  <si>
    <t>3,4,5-Trimethoxybenzoic acid</t>
  </si>
  <si>
    <t>CDI</t>
  </si>
  <si>
    <t>Dimethylaminoethoxybenzylamine</t>
  </si>
  <si>
    <t>K2CO3</t>
  </si>
  <si>
    <r>
      <t>N-t</t>
    </r>
    <r>
      <rPr>
        <sz val="11"/>
        <color theme="1"/>
        <rFont val="Calibri"/>
        <family val="2"/>
        <scheme val="minor"/>
      </rPr>
      <t>-Boc- glycine</t>
    </r>
  </si>
  <si>
    <t>NMP</t>
  </si>
  <si>
    <t>OPRD, 2009, 13, 60-63</t>
  </si>
  <si>
    <r>
      <t>i</t>
    </r>
    <r>
      <rPr>
        <sz val="11"/>
        <color theme="1"/>
        <rFont val="Calibri"/>
        <family val="2"/>
        <scheme val="minor"/>
      </rPr>
      <t>-PrOAc</t>
    </r>
  </si>
  <si>
    <t>HOBt</t>
  </si>
  <si>
    <t>DCC</t>
  </si>
  <si>
    <t>N-Methylpiperazine</t>
  </si>
  <si>
    <t>Density =</t>
  </si>
  <si>
    <t>Volume  =</t>
  </si>
  <si>
    <t>OPRD, 1999, 3, 409-415</t>
  </si>
  <si>
    <t>OPRD, 2002, 6, 54-63</t>
  </si>
  <si>
    <t>OPRD, 2009, 13, 310-314</t>
  </si>
  <si>
    <t>OPRD, 2002, 6, 238-241</t>
  </si>
  <si>
    <t>EtOH</t>
  </si>
  <si>
    <t>(S)-BocAla</t>
  </si>
  <si>
    <t>NMM</t>
  </si>
  <si>
    <t>EDC HCl</t>
  </si>
  <si>
    <t>EDCI</t>
  </si>
  <si>
    <t>OPRD, 2009, 13, 463-467</t>
  </si>
  <si>
    <t>OPRD, 2009, 13, 1161-1168</t>
  </si>
  <si>
    <t>PivCl</t>
  </si>
  <si>
    <r>
      <t>(1</t>
    </r>
    <r>
      <rPr>
        <i/>
        <sz val="11"/>
        <color theme="1"/>
        <rFont val="Calibri"/>
        <family val="2"/>
        <scheme val="minor"/>
      </rPr>
      <t>S,</t>
    </r>
    <r>
      <rPr>
        <sz val="11"/>
        <color theme="1"/>
        <rFont val="Calibri"/>
        <family val="2"/>
        <scheme val="minor"/>
      </rPr>
      <t>2</t>
    </r>
    <r>
      <rPr>
        <i/>
        <sz val="11"/>
        <color theme="1"/>
        <rFont val="Calibri"/>
        <family val="2"/>
        <scheme val="minor"/>
      </rPr>
      <t>S</t>
    </r>
    <r>
      <rPr>
        <sz val="11"/>
        <color theme="1"/>
        <rFont val="Calibri"/>
        <family val="2"/>
        <scheme val="minor"/>
      </rPr>
      <t>)-(+)-Pseudoephedrine</t>
    </r>
  </si>
  <si>
    <t>Acid 9</t>
  </si>
  <si>
    <r>
      <t>(S</t>
    </r>
    <r>
      <rPr>
        <b/>
        <sz val="11"/>
        <color theme="1"/>
        <rFont val="Calibri"/>
        <family val="2"/>
        <scheme val="minor"/>
      </rPr>
      <t>)-(-)-4-benzyl-2-oxazolidinone</t>
    </r>
  </si>
  <si>
    <t>LiCl</t>
  </si>
  <si>
    <t>Asian J. Org. Chem. 2012, 1, 80-89</t>
  </si>
  <si>
    <t>IBCF</t>
  </si>
  <si>
    <t>Scheme 28 0.2 M</t>
  </si>
  <si>
    <t>MeCN</t>
  </si>
  <si>
    <t>OPRD, 2012, 16, 1635-1645</t>
  </si>
  <si>
    <t>T3P</t>
  </si>
  <si>
    <t>CDI 1</t>
  </si>
  <si>
    <t>ICBF 1</t>
  </si>
  <si>
    <r>
      <t>MW (g mol</t>
    </r>
    <r>
      <rPr>
        <b/>
        <vertAlign val="superscript"/>
        <sz val="11"/>
        <color theme="1"/>
        <rFont val="Calibri"/>
        <family val="2"/>
        <scheme val="minor"/>
      </rPr>
      <t>-1</t>
    </r>
    <r>
      <rPr>
        <b/>
        <sz val="11"/>
        <color theme="1"/>
        <rFont val="Calibri"/>
        <family val="2"/>
        <scheme val="minor"/>
      </rPr>
      <t>)</t>
    </r>
  </si>
  <si>
    <t>(3S)-N-[(1,1-Dimethylethoxy)carbonyl]glycyl-3-[3-bromo- 5-chloro-2-hydroxyphenyl]- -alanine ethyl ester (3). A solution of N-t-Boc-glycine (81.2 kg, 464 mol) at 25 °C in ethyl acetate (428 L) in reactor 1 was transferred to a slurry of CDI (75.2 kg, 464 mol) at 25 °C in ethyl acetate (325 L) in reactor 2. Reactor 1 was rinsed with ethyl acetate (50 L), and the rinse was transferred to reactor 2. Minor foaming was observed, but the pressure did not increase. The clear yellow solution was stirred for 21 h at 25 °C. Note: A reaction time of only 1 h is necessary for complete conversion to 4. A solution of 2 (221.6 kg, 91.6% assay, 410.3 mol) in NMP (239 L) was prepared in reactor 1 at 25 °C. The solution of 4 in reactor 2 was transferred to the solution of 2 in reactor 1 over 19 min. Reactor 2 was rinsed with ethyl acetate (50 L), and the rinse was transferred to reactor 1. The reaction mixture was sampled after 4 h at 25 °C, and HPLC analysis showed 2.7 area % of 2 remained. The reaction mixture was diluted with ethyl acetate (828 L), washed once with 1M HCl (aq) (1188 L), and washed three times with water (3 × 1170 L). The organic layer was concentrated by atmospheric distillation (71-84 °C pot temperature) of ethyl acetate (1090 L) over a 7 h period, and then the solution was cooled to 55 °C. Toluene (275 L) was charged at a rate to keep the solution above 50 °C. The solution was sampled, and GC analysis showed that the weight ratio of ethyl acetate:toluene was 0.40. Ethyl acetate (169 L) was added to achieve the desired 1.03 weight ratio. Heptane (550 L) was charged at a rate to keep the solution above 45 °C, and the solution was reheated to 50 °C. Seeds of 3 (1.7 kg) were added, and the slurry was stirred at 50 °C for 4 h. Heptane (137 L) was charged and the slurry was stirred for 100 min at 50 °C. Heptane (137 L) was added and the slurry was cooled to 45 °C over 50 min and held for 75 min. The slurry was cooled to 30 °C over 3.25 h and held for 1 h, and then cooled to -5 °C over 3.42 h and held for 37.25 h. The slurry was filtered, washed with a mixture of cold toluene/heptane (217 L/412 L), and dried in a tumble dryer to give 3 (170.6 kg, 84.8% yield adjusted for seeds and assay).</t>
  </si>
  <si>
    <t>water NaOH</t>
  </si>
  <si>
    <t>To a reaction vessel was charged ethanol (358 L), 314 (59.94 kg, 264.4 mol), HOBt (2.04 kg, 13.32 mol), (S)-BocAla (51.28 kg, 271.0 mol), and NMM (57.30 kg, 566.5 mol) to form a solution. EDC (56.58 kg, 295.1 mol) was then charged, and the reaction mixture was stirred at 25 °C for 10 h followed by the slow addition of water (541 L) over 1 h. The resulting slurry was filtered, rinsed with 600 L of 80/20 water/EtOH, and dried to provide 88.155 kg of 4; 91% yield;</t>
  </si>
  <si>
    <t>N-[1-(3-phenylpropane-1-yl)piperidin-4-yl]-5-thia-1,8bdiazaacenathenaphthylen- 4-carboxamide (4). To a solution
of 7â2HCl (2.24 kg) in DMF (13 L) was added NEt3 (2.15 L) dropwise at 20-30 °C. The mixture was stirred for 30
min at the same temperature. To the resulting mixture was added 1 (1.595 kg), HOBt (225 g) and EDCI (1.47 kg), and
the whole was stirred for 2 h at 70-80 °C. A solution of  NaHCO3 (61 g) in water (65 L) was added dropwise to the
reaction mixture at 20-30 °C, and the whole mixture was stirred for 3 h at the same temperature. The resulting crystals
were collected by filtration and washed with water (10 L 3). The solution of crude wet 4 and water (12.4 L) in ethanol
denatured with methanol (32.9 L) was refluxed for 0.5 h. The resulting solution was filtered through filter paper, and
then the filter paper was washed with a mixture of water (1.5 L) and ethanol denatured with methanol (3.5 L). The
filtrate and washings were combined and gradually cooled to 0-5 °C for 3 h. The resulting crystals were collected by
filtration and washed with a mixture of water (1.2 L) and ethanol denatured with methanol (2.8 L), and dried under
reduced pressure at 50 °C to give 4 (2.33 kg, yield 76%) as a red crystalline powder.</t>
  </si>
  <si>
    <t>(S)-3-Methylpentanoic Acid, ((1′S,2′S)-2′-Hydroxy-1′- methyl-2′-phenylethyl)methyl-amide (7). To a solution of 6  (2.32 kg, 20.00 mol) in CH2Cl2 (14 L) at -5 °C was added Et3N (2.93 L, 2.12 kg, 21.00 mol, 1.05 equiv), followed by pivaloyl chloride (2.46 L, 2.41 kg, 20.00 mol, 1.00 equiv), while maintaining the internal temperature &lt;0 °C. The resultant slurry was stirred for 1 h, and then Et3N (2.93 L, 2.12 kg, 21.00 mol, 1.05 equiv) was added. (1S,2S)-(+)-Pseudoephedrine (3.30 kg, 20.00 mol, 1.00 equiv) was added as a solid in portions, maintaining the internal temperature &lt;5 °C. The resultant slurry was stirred for 1 h, and water (14 L) was added. The organic layer was isolated, washed with 1 M HCl (14 L), 1 M NaOH (14 L), and water (14 L) and concentrated in vacuo to constant residue weight. The residue was dissolved in THF (10 L) and concentrated in vacuo to constant residue weight again. The residue (amide 7) was dissolved in THF (10 L) and used in the next step without any further purification or treatment. LC-MS indicated &gt;99% purity with m/z: 264 (M + 1), 246 (M - 17). Chiral HPLC indicated &gt;99.5% chiral purity. A sample was purified by flash chromatography (5% MeOH in CH2Cl2) for analytical characterization.</t>
  </si>
  <si>
    <t>D-2-chloropropionic acid (600 g, 5.53 mol; 98.8% ee), was added SOCl2 (724 g, 6.08 mol) at 65 °C and heated further for 1 h at 85 °C. The reaction mixture was cooled to room temperature to give 745 g of the oily product. The mixture (722 g) was diluted with toluene (400 mL) to make a toluene solution of D-2- chloropropionyl chloride (5.36 mol). A mixture of L-glutamine (784 g, 5.36 mol), H2O (300 mL), and toluene (150 mL) was cooled to 0-5 °C and stirred, and then to the cooled solution was added 5 mol/L aqueous NaOH (1000 mL). To the solution, were added concurrently a toluene solution of D-2-chloropropionyl chloride described above and 5 mol/L aqueous NaOH below 10 °C while maintaining the pH of the reaction solution at pH 10. The reaction mixture was stirred further 1 h at 10 °C. To the mixture, was added concentrated HCl (30 mL) at room temperature to adjust the pH to 6. Then, toluene was removed by extraction. To the water layer, was added concentrated HCl (410 mL) at room temperature to adjust the pH to 2. The precipitated crystals were filtered and dried in vacuo to afford 3b: 1038 g (4.38 mol; diastereomeric excess 99.7% de; yield 81.7% from D-2- chloropropionic acid)</t>
  </si>
  <si>
    <t>(R)-2-(4-(Cyclopropylsulfonyl)phenyl)-N-(pyrazin-2- yl)-3-(tetrahydro-2H-pyran-4-yl)propanamide ((R)-1). At 20−25 °C, a reactor was charged with THF (100 L) followed by chiral acid (R)-9 (23.10 kg, 55.59 mol) which was rinsed into the reactor with THF (5 L). DMF (0.275 kg, 3.76 mol) was charged to the reactor followed by the addition of oxalyl chloride (9.125 kg, 71.89 mol) over 0.25 h, maintaining the temperature below 30 °C. The resulting mixture was held for 1.0 h, and a sample was quenched into MeOH for HPLC analysis, which indicated &gt;99% conversion to the acid chloride via analysis of the methyl ester derivative. THF (116 L) was charged to a second reactor followed by 2-aminopyrazine (10; 7.15 kg, 75.23 mol), which was rinsed into the reactor with THF (6 L). Pyridine (54 kg, 682.7 mol) was charged to the second reactor, and the temperature was maintained at 20−25 °C. The acid chloride mixture was transferred to the mixture of 10 in THF over 0.75 h while maintaining the temperature below 30 °C. THF (24 L) was used to rinse the acid chloride reactor into the second reactor. The resulting mixture was held for 1.0 h, and a sample was quenched into MeOH for HPLC analysis, which indicated &lt;1% of the methyl ester derivative and production of (R)-1. Solids (pyridinium hydrochloride) were removed via filtration, and the resulting waste cake was washed with EtOAc (230 L), which was combined with the reaction mixture. Aqueous HCl (81.8 kg of 37% HCl in 61 L water) was added to the reaction mixture over 10 min while maintaining the temperature below 30 °C. At 20−25 °C, the aqueous layer was separated and aqueous NaHCO3 (4.88 kg in 64.2 kg water) was added to the reaction mixture over 8 min followed by removal of the aqueous layer. The resulting mixture was heated to 30−45 °C under vacuum (190−210 mmHg) to remove distillate to a final volume of 90−95 L. EtOAc (230 L) was added to the mixture followed by distillation at 30−45 °C under vacuum (190−220 mmHg) to a final volume of 90−95 L (this operation was repeated two more times to give 0.02% water by KF and &lt;1.0% THF by GC). MeOH (230 L) was added to the reactor followed by distillation at 30−45 °C under vacuum (170−220 mmHg) to a final volume of 115 L (this operation was repeated two more times to a final volume of 95 L to give 0.14% water by KF and &lt;1.0% EtOAc by GC). The mixture was maintained at 38−42 °C while seed crystals of (R)- 1 (0.23 kg, 0.55 mol) were added. The resulting mixture was held at 40 °C for 2.0 h, cooled to −10 °C over 8.0 h, and held at −10 °C for 1.0 h. The solids were filtered on a filter dryer and washed with cold (−10 °C) MeOH (92 L). The filter dryer was maintained at 25 °C while N2 was blown through the product cake for 2.0 h; then a switch to pulling vacuum through the bottom of the cake was made until constant weight was achieved. The chiral amide (R)-1 was isolated as an off white solid with a weight of 21.06 kg, potency of 100.0%, and chiral purity of &gt;99% ee (yield 73.6%).</t>
  </si>
  <si>
    <t xml:space="preserve">To a solution of 1-[(2-nitrophenylamino)carbonyl]-Lproline (11, 88.0 g, 0.315 mol) in THF (530 mL) was added a solution of above (S)-3-(2-naphthyl)alanyl-N-benzyl-Nmethylamide free base preparation in THF (200 mL) over 15 min while maintaining the internal temperature at 22 °C. THF (50 mL) was used to wash the addition funnel and added to the reaction mixture. 1-Hydroxybenzotriazole (40.54g, 0.3 mol) was then added. The reaction mixture was stirred at 22 °C for 10 min to dissolve the solids and then cooled to 0 °C (internal temperature). A solution of 1,3-dicyclohexylcarbodiimide (62.53 g, 0.303 mol) in THF (100 mL) was added to the mixture over 15 min while maintaining the internal temperature at 0 °C. (Note: 1,3-dicyclohexylcarbodiimide is a contact allergen). The mixture was warmed to 22 °C over 30 min and stirred at 22 °C for 4 h. The reaction mixture was cooled to 0 °C and filtered. The filter cake was washed with cold (0 °C) THF (50 mL). To the filtrate was added 5% NaHCO3 (750 mL) over 10 min, while the internal temperature was maintained at 22 °C (this treatment was necessary for safety reasons), followed by addition of toluene (750 mL). After the mixture stirred for 10 min, the organic layer was separated and concentrated in vacuo to remove 1.05 L of solvent. To the distillation residue solution in toluene was added 1 N NaOH solution (325 mL), and the mixture was stirred at 22 °C for 15 min. The mixture was filtered, and the filter cake was washed with toluene (2  x 10 mL). The organic layer was separated from the filtrate and stirred with 1 N NaOH (325 mL) at 22 °C for 1 h. The organic layer was separated and washed with water (3  x 300 mL) and brine (150 mL). The organic layer was filtered, and the filtrate was concentrated in vacuo until no further solvent distilled to give crude 1. </t>
  </si>
  <si>
    <r>
      <t>(S)-Benzyl 6-(3-cyclopentyl-2-(4-(trifluoromethyl)-1</t>
    </r>
    <r>
      <rPr>
        <i/>
        <sz val="11"/>
        <color theme="1"/>
        <rFont val="Calibri"/>
        <family val="2"/>
        <scheme val="minor"/>
      </rPr>
      <t>H</t>
    </r>
    <r>
      <rPr>
        <sz val="11"/>
        <color theme="1"/>
        <rFont val="Calibri"/>
        <family val="2"/>
        <scheme val="minor"/>
      </rPr>
      <t>-imidazol- 1-yl)propanamido)nicotinate (11). A stirred mixture of acid 2 (22.00 kg, 79.64 mol), amine 3 (20.00 kg, 87.62 mol, 1.1 equiv), pyridine (22 L, 270 mol, 1.0 vol), MeCN (110 L), and EtOAc (57 L) was charged with T3P solution (50 wt% MeCN, 101 kg, 104 L, 159 mol, 2.0 equiv) at −5 °C. The resulting homogeneous solution was held at 0 °C for 20 h as fine solids precipitated. A solution of 0.5 M aqueous HCl (67 L) was added over 30 min at &lt;10 °C, and the resulting suspension was mixed at 20 °C for 16 h and passed through a filter drier. The cake was rinsed under continuous agitation with three charges of water (110 L per charge) and dried at 50 °C with N2 sweep to obtain 34.08 kg of amide 11 (88% yield) as a white solid.</t>
    </r>
  </si>
  <si>
    <t>To a 72-L unjacketed reactor equipped with a temperature probe, reflux condenser, nitrogen sweep, cooling bath, and an overhead stirrer was charged N-Boc-3-benzylnipecotic acid 1 (3 kg, 9.4 3mol) followed by dichloromethane (30 L). The solution was cooled to -15 to -10 °C, and oxalyl chloride (1.3 L, 15.2 mol) was added over 15 min while the internal temperature was maintained below -10 °C. DMF (300 mL) was then  charged to the mixture over 20 min followed by Et3N (2.66 L, 19 mol) over 1.75 h. The reaction mixture was stirred at -15 to -10 °C for 4.25 h until the conversion was complete. A solution of trimethylhydrazine in 1,4-dioxane (1.05 kg in 15 kg, 7% w/w, 14.1 mol) and Et3N (2.66 L, 19 mol) was added to the reaction mixture over 2 h using a fluid-metering pump, maintaining the internal temperature between -15 to -20 °C. The reaction progress was monitored by HPLC analysis. The mixture was stirred overnight at -20 °C and then was quenched by the addition of water (20 L) and extracted with dichloromethane (15 L). The organic phase was concentrated to a residue, and after purification using a silica plug (CH2Cl2:MeOH: NH4OH, 92:7:1), trimethylhydrazide was obtained as an oil (3.2 kg, 90% yield, 93% AUC by HPLC).</t>
  </si>
  <si>
    <t>Simulation C: [Acid] = 0.4 M, 90% Yield</t>
  </si>
  <si>
    <t>Simulation D: [Acid] = 0.4 M, 50% Yield</t>
  </si>
  <si>
    <t xml:space="preserve">Literature data reported </t>
  </si>
  <si>
    <t>Simulation B: [Acid] = Literature data, 90% Yield</t>
  </si>
  <si>
    <r>
      <t>Literature data and simulation A-D with SOCl</t>
    </r>
    <r>
      <rPr>
        <vertAlign val="subscript"/>
        <sz val="10"/>
        <color theme="1"/>
        <rFont val="Helvetica"/>
        <family val="2"/>
      </rPr>
      <t>2</t>
    </r>
    <r>
      <rPr>
        <sz val="10"/>
        <color theme="1"/>
        <rFont val="Helvetica"/>
        <family val="2"/>
      </rPr>
      <t xml:space="preserve"> as coupling reagent</t>
    </r>
  </si>
  <si>
    <t>Literature data and simulation A-D with oxalyl chloride as coupling reagent</t>
  </si>
  <si>
    <t xml:space="preserve">Carboxylic acid </t>
  </si>
  <si>
    <t xml:space="preserve">Chiral acid </t>
  </si>
  <si>
    <t xml:space="preserve">Amine </t>
  </si>
  <si>
    <t xml:space="preserve">Carboxylic Acid </t>
  </si>
  <si>
    <t>Amine</t>
  </si>
  <si>
    <t>3,4,5-Trimethoxy benzoic acid (63.00 kg; 0.29 mol), N,N-carbonyldiimidazole (CDI 60.65 kg; 0.37 mol) and ethyl acetate (378 lit) were added to a flask and heated to a temperature of 50-55 °C for 2 hours. After reaction completion as monitored by TLC, the mixture was cooled to 30 °C to 35 °C. 4-Dimethylaminoethoxy benzyl amine (63.42 kg; 0.33 mol) obtained after removal of toluene by distillation just before
use), potassium carbonate (41.00 kg; 0.30 mol) were taken in ethyl acetate (378 lit) at 25 °C to 30 °C under nitrogen atmosphere. A reaction mixture consisting of N-(3, 4, 5-trimethoxybenzoyl) imidazole was added to the above reaction mixture in drop wise manner so that the temperature is maintained below 10 °C. After completion of addition reaction mixture was stirred for 2.5 hours till completion of reaction as monitored by TLC. Water (63 lit) was added to the reaction mixture and organic layer separated and washed with 2% KHSO4 solution (126 lit). Layers were separated and the organic layer obtained was concentrated under reduced pressure. The residue was dissolved in acetone (756 lit) followed by addition of aqueous hydrochloric acid (30 %) solution (9.45 lit) to give title compound Ia as white solid. (Yield:103 kg, 82%)</t>
  </si>
  <si>
    <r>
      <t xml:space="preserve">Literature data and simulation A-D with </t>
    </r>
    <r>
      <rPr>
        <i/>
        <sz val="10"/>
        <color theme="1"/>
        <rFont val="Helvetica"/>
        <family val="2"/>
      </rPr>
      <t>N,N</t>
    </r>
    <r>
      <rPr>
        <sz val="10"/>
        <color theme="1"/>
        <rFont val="Helvetica"/>
        <family val="2"/>
      </rPr>
      <t>-carbonyldiimidazole as coupling reagent</t>
    </r>
  </si>
  <si>
    <t>A dry 2-L, three-necked, jacketed, round-bottomed flask equipped with a mechanical stirrer, nitrogen inlet adapter, and pressureequalizing addition funnel was charged with amine 3 (52.4 g, 0.117 mol, 1.0 equiv), imidazole (26.3 g, 3.3 equiv), and 590 mL of ethyl acetate, and the contents were cooled to 0 °C. To this reaction mixture was slowly added the DMF slurry of acyl chloride at such a rate as to maintain the internal temperature below 5 °C (about 30 min). The reaction mixture was stirred for an additional 30 min at 0 °C and then warmed to room temperature overnight. HPLC analysis revealed complete consumption of starting material (amine 3) after 12 h. The reaction mixture was quenched by the addition of 0.2 N aqueous HCl (1 L) and 100 mL of ethyl acetate and allowed to stir for 30 min. The layers were separated, and the organic layer was washed once with 5% (w/w) aqueous NaHCO3 (500 mL) and twice with 500 mL of distilled water. The organic layer was dried over MgSO4, filtered, and evaporated to dryness in vacuo, affording crude 2 as a creamcolored solid,  73.19 g (97%, HPLC purity &gt;98%, although DMF and ethyl acetate are present). The solid was  dissolved in 350 mL of ethyl acetate at 70 °C, and 350 mL of heptane was slowly added.  After being reheated to 70 °C, the solution was slowly cooled to 10 °C. The product was collected by filtration; the wet product cakewas washed with 100 mL of 0 °C 1:1 (v/v) heptane/ethyl acetate. The solid was dried in vacuo at 60 °C for 24 h, affording 63.65 g (86.2%) of product as a colorless solid. A second crop of off-white crystals was isolated from the mother liquors, 4.30 g (5.8%), for a total of 67.95 g (92% yield).Both crops of product 2 assayed as &gt;99% pure by HPLC.</t>
  </si>
  <si>
    <t>Carboxylic acid</t>
  </si>
  <si>
    <t>Piperine amine</t>
  </si>
  <si>
    <t>Literature data and simulation A-D with 1-ethyl-3-(3-dimethylaminopropyl)carbodiimide as coupling reagent</t>
  </si>
  <si>
    <r>
      <t>Literature data and simulation A-D with</t>
    </r>
    <r>
      <rPr>
        <i/>
        <sz val="10"/>
        <color theme="1"/>
        <rFont val="Helvetica"/>
      </rPr>
      <t xml:space="preserve"> N,N'</t>
    </r>
    <r>
      <rPr>
        <sz val="10"/>
        <color theme="1"/>
        <rFont val="Helvetica"/>
      </rPr>
      <t>-dicycloheyxylcarbodiimide as coupling reagent</t>
    </r>
  </si>
  <si>
    <t>Literature data and simulation A-D with pivaloyl chloride as coupling reagent</t>
  </si>
  <si>
    <t>Aminocyclopropane salt</t>
  </si>
  <si>
    <t>Literature data and simulation A-D with propylphosphonic anhydride as coupling reagent</t>
  </si>
  <si>
    <t>Simulation A: [Acid] = 0.4 M, Literature data yield</t>
  </si>
  <si>
    <t>Literature data reported</t>
  </si>
  <si>
    <t>Simulation B: [Acid] = Literature data, Yield = 90%</t>
  </si>
  <si>
    <t>Simulation C: [Acid] =0.4 M, Yield = 90%</t>
  </si>
  <si>
    <t>Simulation D:  [Acid] =0.4 M, Yield = 50%</t>
  </si>
  <si>
    <t>Simulation E:  [Acid] =0.8 M, Yield = 90%</t>
  </si>
  <si>
    <t>Simulation F: Both CDI (1.1eq) as coupling reagent, [Acid] = 0.4M in THF, Yield = 90%</t>
  </si>
  <si>
    <t>Yield (%)</t>
  </si>
  <si>
    <t>AE (%)</t>
  </si>
  <si>
    <t>RME (%)</t>
  </si>
  <si>
    <r>
      <t>MI total (g g</t>
    </r>
    <r>
      <rPr>
        <vertAlign val="superscript"/>
        <sz val="11"/>
        <color theme="0"/>
        <rFont val="Calibri"/>
        <family val="2"/>
        <scheme val="minor"/>
      </rPr>
      <t>-1</t>
    </r>
    <r>
      <rPr>
        <sz val="11"/>
        <color theme="0"/>
        <rFont val="Calibri"/>
        <family val="2"/>
        <scheme val="minor"/>
      </rPr>
      <t>)</t>
    </r>
  </si>
  <si>
    <r>
      <t>MI RRC (g g</t>
    </r>
    <r>
      <rPr>
        <vertAlign val="superscript"/>
        <sz val="11"/>
        <color theme="1"/>
        <rFont val="Calibri"/>
        <family val="2"/>
        <scheme val="minor"/>
      </rPr>
      <t>-1</t>
    </r>
    <r>
      <rPr>
        <sz val="11"/>
        <color theme="1"/>
        <rFont val="Calibri"/>
        <family val="2"/>
        <scheme val="minor"/>
      </rPr>
      <t>)</t>
    </r>
  </si>
  <si>
    <r>
      <t>MI Solvents (g g</t>
    </r>
    <r>
      <rPr>
        <vertAlign val="superscript"/>
        <sz val="11"/>
        <color theme="1"/>
        <rFont val="Calibri"/>
        <family val="2"/>
        <scheme val="minor"/>
      </rPr>
      <t>-1</t>
    </r>
    <r>
      <rPr>
        <sz val="11"/>
        <color theme="1"/>
        <rFont val="Calibri"/>
        <family val="2"/>
        <scheme val="minor"/>
      </rPr>
      <t>)</t>
    </r>
  </si>
  <si>
    <t>Conc (M)</t>
  </si>
  <si>
    <t>SUMMARY</t>
  </si>
  <si>
    <t>A clean, dry 200 L glass lined steel reactor, capable of maintaining a reaction at  15 8C, was dried under heat and vacuum. The reactor was charged with acid 20 (15.7 kg, 20.6 mol, 1.0 equiv) and THF (110 L,H2O=45 ppm (KF)). The mixture was agitated until a solution was  formed, then the jacket was adjusted so that the internal  emperature was approximately  158C. N-methylmorpholine (2.31 kg, 22.9 mol, 1.1 eq) was then slowly added at a rate that maintained the internal temperature at  10 8C. By using a pre-calibrated metering valve, isobutyl chloroformate (3.13 kg, 22.9 mol, 1.1 eq) was slowly added at a rate that maintained the internal temperature at  108C. On this scale the addition took 50 min. Note: controlling the temperature is critical for the success of this reaction. If the internal temperature goes above  108C during the addition the yield will drop and additional impurities will be formed. The internal temperature was adjusted to  10 8C and held for 90 min. Aminocyclopropane salt 2 (7.12 kg, 22.9 mol, 1.1 eq) was then added through a solid-charging funnel and the internal temperature was maintained at  88C. A second charge of N-methylmorpholine (2.29 kg, 22.7 mol, 1.1 eq) was then added at a rate that maintained the internal temperature at  8 8C. The reaction was held at  10 8C for 2 h, then  warmed to 108C, and held at that temperature until conversion was at least 95% by HPLC analysis (this batch required 12 h). The reaction mixture was then warmed to 208C. 10% aqueous NaCl (61 L) and 2- MeTHF (63 L) were then charged, agitated for 10 min, and the layers allowed to separate. The aqueous layer was discarded. The organic layer was then distilled under reduced pressure to a minimum stirrable volume (ca. 15% of the original volume).Ethanol (126 L, denatured with 0.5% toluene, SDA2B-3) was then added and the mixture again distilled to a minimum stirrable volume (ca. 15% of the original volume). An additional charge of SDA2B-3 ethanol (50 kg) was added to make the solution 20 wt% in ester 21 based on an HPLC assay, and then the solution was heated to 508C. H2O (36 L) was added over about  40 min and the internal  temperature was maintained at 50 8C, to make the final solution 29 wt% in H2O. Note: if the H2O is added too fast, there is the possibility of spontaneous crystallization. The reaction mixture was held at 50 8C for 20 min. The resultant mixture was then seeded with type A seed crystals of ester 21 (1 wt%, 157 g) as a slurry in ethanol/  H2O (1:1). The reaction mixture was then cooled at 15 8C per hour to 25 8C and held at 25 8C for 1 h. The slurry was then filtered by using 14“ and an 18” Sparkler filters with polypropylene filter cloths. The system was washed with SDA2B-3 ethanol/H2O (1/1, 56 kg) and blown dry with N2. The solid product was dried to constant weight in a vacuum oven at 408C/100 mmHg with a N2 sweep to give 15.43 kg (85%) of ester 21 (corrected for volatiles) as a light yellow solid;</t>
  </si>
  <si>
    <t>((S, E)-4-Benzyl-3-(3-(3,5-difluorophenyl)-4,4,4-trifluorobut- 2-enoyl)oxazolidin-2-one (17). Acid 9 (11 kg, 43.63 mol), (S)- (-)-4-benzyl-2-oxazolidinone (8.5 kg, 47.97 mol, 1.1 equiv) and LiCl (3.7 kg, 87.28 mol, 2 equiv) were added to THF (95.7 kg) cooled to -15 °C. The temperature was adjusted to 20 °C, the mixture was stirred for 30 min and then cooled to -21 °C. Trimethyl acetyl chloride (13.1 kg, 108.54 mol, 2.5 equiv) was added over 30 min at -21 °C. Triethylamine (11.5 kg, 113.64 mol, 2.6 equiv) was added over 4.5 h at -22 to -20 °C. The mixture was stirred at -23 °C for 30 min. The reaction completion was confirmed by HPLC (no residual acid 9 was detected). The mixture was warmed to 15 °C over 30 min. A 12.5% ammonium chloride solution (37.7 kg) was added over 10 min. Phases were separated. The aqueous phase was extracted with THF (53.6 kg). The combined THF solutions were distilled at atmospheric pressure to a final volume of 35 L. Isopropanol (80.1 kg) was added. The mixture was concentrated by atmospheric pressure distillation to a volume of 55 L. An in-process GC showed the presence of 3.2% residual THF. Water (55 kg) was added over ∼30 min at 60-70 °C. The resulting slurry was cooled to 0 °C over 75 min and stirred for 30 min. The slurry was filtered and washed with water (2 × 44 kg). The solid was dried on the filter for 19 h and then in a vacuum oven at 43-48 °C to afford 16.68 kg of the title product (93% yield; 96.6% HPLC strength).</t>
  </si>
  <si>
    <t>Synthesis of 1-(4-Hydroxybenzoyl)-4-methylpiperazine, 6, using DCC. N-methylpiperazine (226 mL, 2.0 mol) was added slowly (15 min) to a slurry of 4-hydroxybenzoic acid (229 g, 2.0 mol) in 2 L of ethyl acetate at 50-70 °C. A solution of dicyclohexylcarbodiimide (438 g, 2.1mol) in 0.4 L of ethyl acetate was added over 1.5 h to the salt slurry at 70-78 °C. The mixture was refluxed 1 h and followed by gradient HPLC: C18, 20-95% acetonitrile-H2O-0.05% TFA, 250 nm; product at 2.6 min, starting acid at 4.5 min, DCC adduct at 9.7 min. The mixture was cooled, 1.1 L of 2 M aqueous HCl was added, and the mixture was stirred 1.5 h. It was then filtered and the DCU cake rinsed thoroughly with water (3   250 mL). The layers were separated. The pH of the water layer (pH 1) was then adjusted to 13 with NaOH and heated to hydrolyze any ester byproducts (2 area %) and then readjusted to pH 9. n-Butyl alcohol (2 L) was added. The layers were separated at 75 °C (4% yield loss to aqueous layer). The organic layer was azeotropically dried by distillation of butyl alcohol (1 L). It was then filtered hot to remove salt (2 wt %). The filtrate was concentrated by distillation to half its starting volume. The product crystallized as the concentrate was cooled to 0 °C. The product was collected by filtration, rinsed with butyl alcohol, and dried in a vacuum oven at 95 °C. Yield 380 g, 84% (97 wt % pure; 100 area %).</t>
  </si>
  <si>
    <t xml:space="preserve"> (S)-3-(2-naphthyl)alanyl-N-benzyl-N-methylamide</t>
  </si>
  <si>
    <t>1-[(2-nitrophenylamino)carbonyl]-L-proline</t>
  </si>
  <si>
    <t>4-hydroxybenzoic acid</t>
  </si>
  <si>
    <r>
      <rPr>
        <i/>
        <sz val="11"/>
        <color theme="1"/>
        <rFont val="Calibri"/>
        <family val="2"/>
        <scheme val="minor"/>
      </rPr>
      <t>N</t>
    </r>
    <r>
      <rPr>
        <sz val="11"/>
        <color theme="1"/>
        <rFont val="Calibri"/>
        <family val="2"/>
        <scheme val="minor"/>
      </rPr>
      <t>-methylpiperazine</t>
    </r>
  </si>
  <si>
    <r>
      <t>EDC (1.1 eq, MW = 191.70 g mol</t>
    </r>
    <r>
      <rPr>
        <b/>
        <vertAlign val="superscript"/>
        <sz val="11"/>
        <color rgb="FF000000"/>
        <rFont val="Arial"/>
        <family val="2"/>
      </rPr>
      <t>-1</t>
    </r>
    <r>
      <rPr>
        <b/>
        <sz val="11"/>
        <color rgb="FF000000"/>
        <rFont val="Arial"/>
        <family val="2"/>
      </rPr>
      <t>), [Acid] = 0.4 M THF, Yield = 90%</t>
    </r>
  </si>
  <si>
    <r>
      <t>DCC (1.1 eq, MW = 206.33 g mol</t>
    </r>
    <r>
      <rPr>
        <b/>
        <vertAlign val="superscript"/>
        <sz val="11"/>
        <color rgb="FF000000"/>
        <rFont val="Arial"/>
        <family val="2"/>
      </rPr>
      <t>-1</t>
    </r>
    <r>
      <rPr>
        <b/>
        <sz val="11"/>
        <color rgb="FF000000"/>
        <rFont val="Arial"/>
        <family val="2"/>
      </rPr>
      <t>), [Acid] = 0.4 M THF, Yield = 90%</t>
    </r>
  </si>
  <si>
    <r>
      <t>CDI (1.1 eq, MW = 162.15 g mol</t>
    </r>
    <r>
      <rPr>
        <b/>
        <vertAlign val="superscript"/>
        <sz val="11"/>
        <color rgb="FF000000"/>
        <rFont val="Arial"/>
        <family val="2"/>
      </rPr>
      <t>-1</t>
    </r>
    <r>
      <rPr>
        <b/>
        <sz val="11"/>
        <color rgb="FF000000"/>
        <rFont val="Arial"/>
        <family val="2"/>
      </rPr>
      <t>), [Acid] = 0.4 M THF, Yield = 90%</t>
    </r>
  </si>
  <si>
    <r>
      <t>(COCl)</t>
    </r>
    <r>
      <rPr>
        <b/>
        <vertAlign val="subscript"/>
        <sz val="11"/>
        <color rgb="FF000000"/>
        <rFont val="Arial"/>
        <family val="2"/>
      </rPr>
      <t>2</t>
    </r>
    <r>
      <rPr>
        <b/>
        <sz val="11"/>
        <color rgb="FF000000"/>
        <rFont val="Arial"/>
        <family val="2"/>
      </rPr>
      <t xml:space="preserve"> (1.1 eq, MW = 126.93 g mol</t>
    </r>
    <r>
      <rPr>
        <b/>
        <vertAlign val="superscript"/>
        <sz val="11"/>
        <color rgb="FF000000"/>
        <rFont val="Arial"/>
        <family val="2"/>
      </rPr>
      <t>-1</t>
    </r>
    <r>
      <rPr>
        <b/>
        <sz val="11"/>
        <color rgb="FF000000"/>
        <rFont val="Arial"/>
        <family val="2"/>
      </rPr>
      <t xml:space="preserve">), [Acid] = 0.4 M THF, Yield = 90% </t>
    </r>
  </si>
  <si>
    <r>
      <t>PivCl (1.1 eq, MW = 120.58 g mol</t>
    </r>
    <r>
      <rPr>
        <b/>
        <vertAlign val="superscript"/>
        <sz val="11"/>
        <color rgb="FF000000"/>
        <rFont val="Arial"/>
        <family val="2"/>
      </rPr>
      <t>-1</t>
    </r>
    <r>
      <rPr>
        <b/>
        <sz val="11"/>
        <color rgb="FF000000"/>
        <rFont val="Arial"/>
        <family val="2"/>
      </rPr>
      <t>), [Acid] = 0.4 M THF, Yield = 90%</t>
    </r>
  </si>
  <si>
    <r>
      <t>T</t>
    </r>
    <r>
      <rPr>
        <b/>
        <vertAlign val="subscript"/>
        <sz val="11"/>
        <color rgb="FF000000"/>
        <rFont val="Arial"/>
        <family val="2"/>
      </rPr>
      <t>3</t>
    </r>
    <r>
      <rPr>
        <b/>
        <sz val="11"/>
        <color rgb="FF000000"/>
        <rFont val="Arial"/>
        <family val="2"/>
      </rPr>
      <t>P (1.1 eq, MW = 318.18 g mol</t>
    </r>
    <r>
      <rPr>
        <b/>
        <vertAlign val="superscript"/>
        <sz val="11"/>
        <color rgb="FF000000"/>
        <rFont val="Arial"/>
        <family val="2"/>
      </rPr>
      <t>-1</t>
    </r>
    <r>
      <rPr>
        <b/>
        <sz val="11"/>
        <color rgb="FF000000"/>
        <rFont val="Arial"/>
        <family val="2"/>
      </rPr>
      <t>), [Acid] = 0.4 M THF, Yield = 90%</t>
    </r>
  </si>
  <si>
    <r>
      <t>SOCl</t>
    </r>
    <r>
      <rPr>
        <b/>
        <vertAlign val="subscript"/>
        <sz val="11"/>
        <color rgb="FF000000"/>
        <rFont val="Arial"/>
        <family val="2"/>
      </rPr>
      <t>2</t>
    </r>
    <r>
      <rPr>
        <b/>
        <sz val="11"/>
        <color rgb="FF000000"/>
        <rFont val="Arial"/>
        <family val="2"/>
      </rPr>
      <t xml:space="preserve"> (1.1 eq, MW = 118.97 g mol</t>
    </r>
    <r>
      <rPr>
        <b/>
        <vertAlign val="superscript"/>
        <sz val="11"/>
        <color rgb="FF000000"/>
        <rFont val="Arial"/>
        <family val="2"/>
      </rPr>
      <t>-1</t>
    </r>
    <r>
      <rPr>
        <b/>
        <sz val="11"/>
        <color rgb="FF000000"/>
        <rFont val="Arial"/>
        <family val="2"/>
      </rPr>
      <t>), [Acid] = 0.4 M THF, Yield = 90%</t>
    </r>
  </si>
  <si>
    <t>CDI (1.1 eq), [Acid] = 0.4 M THF, Yield = literature</t>
  </si>
  <si>
    <r>
      <t>(COCl)</t>
    </r>
    <r>
      <rPr>
        <b/>
        <vertAlign val="subscript"/>
        <sz val="11"/>
        <color rgb="FF000000"/>
        <rFont val="Arial"/>
        <family val="2"/>
      </rPr>
      <t>2</t>
    </r>
    <r>
      <rPr>
        <b/>
        <sz val="11"/>
        <color rgb="FF000000"/>
        <rFont val="Arial"/>
        <family val="2"/>
      </rPr>
      <t xml:space="preserve"> (1.1 eq), [Acid] = 0.4 M THF, Yield = literature</t>
    </r>
  </si>
  <si>
    <r>
      <t>SOCl</t>
    </r>
    <r>
      <rPr>
        <b/>
        <vertAlign val="subscript"/>
        <sz val="11"/>
        <color rgb="FF000000"/>
        <rFont val="Arial"/>
        <family val="2"/>
      </rPr>
      <t>2</t>
    </r>
    <r>
      <rPr>
        <b/>
        <sz val="11"/>
        <color rgb="FF000000"/>
        <rFont val="Arial"/>
        <family val="2"/>
      </rPr>
      <t xml:space="preserve"> (1.1 eq, MW = 118.97 g mol</t>
    </r>
    <r>
      <rPr>
        <b/>
        <vertAlign val="superscript"/>
        <sz val="11"/>
        <color rgb="FF000000"/>
        <rFont val="Arial"/>
        <family val="2"/>
      </rPr>
      <t>-1</t>
    </r>
    <r>
      <rPr>
        <b/>
        <sz val="11"/>
        <color rgb="FF000000"/>
        <rFont val="Arial"/>
        <family val="2"/>
      </rPr>
      <t>), [Acid] = 0.4 M THF, Yield = literature</t>
    </r>
  </si>
  <si>
    <t>DCC (1.1 eq), [Acid] = 0.4 M THF, Yield = literature</t>
  </si>
  <si>
    <t>EDC (1.1 eq), [Acid] = 0.4 M THF, Yield = literature</t>
  </si>
  <si>
    <t>PiVCl (1.1 eq), [Acid] = 0.4 M THF, Yield = literature</t>
  </si>
  <si>
    <t>IBCF(1.1 eq), [Acid] = 0.4 M THF, Yield = literature</t>
  </si>
  <si>
    <t>T3P (1.1 eq), [Acid] = 0.4 M THF, Yield = literature</t>
  </si>
  <si>
    <r>
      <t>ICBF (1.1 eq, MW = 138.58 g mol</t>
    </r>
    <r>
      <rPr>
        <b/>
        <vertAlign val="superscript"/>
        <sz val="11"/>
        <color rgb="FF000000"/>
        <rFont val="Arial"/>
        <family val="2"/>
      </rPr>
      <t>-1</t>
    </r>
    <r>
      <rPr>
        <b/>
        <sz val="11"/>
        <color rgb="FF000000"/>
        <rFont val="Arial"/>
        <family val="2"/>
      </rPr>
      <t>), [Acid] = 0.4 M THF, Yield = 90%</t>
    </r>
  </si>
  <si>
    <r>
      <t>SOCl</t>
    </r>
    <r>
      <rPr>
        <b/>
        <vertAlign val="subscript"/>
        <sz val="11"/>
        <color rgb="FF000000"/>
        <rFont val="Arial"/>
        <family val="2"/>
      </rPr>
      <t>2</t>
    </r>
    <r>
      <rPr>
        <b/>
        <sz val="11"/>
        <color rgb="FF000000"/>
        <rFont val="Arial"/>
        <family val="2"/>
      </rPr>
      <t xml:space="preserve"> (1.1 eq, MW = 118.97 g mol</t>
    </r>
    <r>
      <rPr>
        <b/>
        <vertAlign val="superscript"/>
        <sz val="11"/>
        <color rgb="FF000000"/>
        <rFont val="Arial"/>
        <family val="2"/>
      </rPr>
      <t>-1</t>
    </r>
    <r>
      <rPr>
        <b/>
        <sz val="11"/>
        <color rgb="FF000000"/>
        <rFont val="Arial"/>
        <family val="2"/>
      </rPr>
      <t>), [Acid] = 0.4 M THF, Yield = 50%</t>
    </r>
  </si>
  <si>
    <r>
      <t>(COCl)</t>
    </r>
    <r>
      <rPr>
        <b/>
        <vertAlign val="subscript"/>
        <sz val="11"/>
        <color rgb="FF000000"/>
        <rFont val="Arial"/>
        <family val="2"/>
      </rPr>
      <t>2</t>
    </r>
    <r>
      <rPr>
        <b/>
        <sz val="11"/>
        <color rgb="FF000000"/>
        <rFont val="Arial"/>
        <family val="2"/>
      </rPr>
      <t xml:space="preserve"> (1.1 eq, MW = 126.93 g mol</t>
    </r>
    <r>
      <rPr>
        <b/>
        <vertAlign val="superscript"/>
        <sz val="11"/>
        <color rgb="FF000000"/>
        <rFont val="Arial"/>
        <family val="2"/>
      </rPr>
      <t>-1</t>
    </r>
    <r>
      <rPr>
        <b/>
        <sz val="11"/>
        <color rgb="FF000000"/>
        <rFont val="Arial"/>
        <family val="2"/>
      </rPr>
      <t xml:space="preserve">), [Acid] = 0.4 M THF, Yield = 50% </t>
    </r>
  </si>
  <si>
    <r>
      <t>CDI (1.1 eq, MW = 162.15 g mol</t>
    </r>
    <r>
      <rPr>
        <b/>
        <vertAlign val="superscript"/>
        <sz val="11"/>
        <color rgb="FF000000"/>
        <rFont val="Arial"/>
        <family val="2"/>
      </rPr>
      <t>-1</t>
    </r>
    <r>
      <rPr>
        <b/>
        <sz val="11"/>
        <color rgb="FF000000"/>
        <rFont val="Arial"/>
        <family val="2"/>
      </rPr>
      <t>), [Acid] = 0.4 M THF, Yield = 50%</t>
    </r>
  </si>
  <si>
    <r>
      <t>DCC (1.1 eq, MW = 206.33 g mol</t>
    </r>
    <r>
      <rPr>
        <b/>
        <vertAlign val="superscript"/>
        <sz val="11"/>
        <color rgb="FF000000"/>
        <rFont val="Arial"/>
        <family val="2"/>
      </rPr>
      <t>-1</t>
    </r>
    <r>
      <rPr>
        <b/>
        <sz val="11"/>
        <color rgb="FF000000"/>
        <rFont val="Arial"/>
        <family val="2"/>
      </rPr>
      <t>), [Acid] = 0.4 M THF, Yield = 50%</t>
    </r>
  </si>
  <si>
    <r>
      <t>EDC (1.1 eq, MW = 191.70 g mol</t>
    </r>
    <r>
      <rPr>
        <b/>
        <vertAlign val="superscript"/>
        <sz val="11"/>
        <color rgb="FF000000"/>
        <rFont val="Arial"/>
        <family val="2"/>
      </rPr>
      <t>-1</t>
    </r>
    <r>
      <rPr>
        <b/>
        <sz val="11"/>
        <color rgb="FF000000"/>
        <rFont val="Arial"/>
        <family val="2"/>
      </rPr>
      <t>), [Acid] = 0.4 M THF, Yield = 50%</t>
    </r>
  </si>
  <si>
    <r>
      <t>PivCl (1.1 eq, MW = 120.58 g mol</t>
    </r>
    <r>
      <rPr>
        <b/>
        <vertAlign val="superscript"/>
        <sz val="11"/>
        <color rgb="FF000000"/>
        <rFont val="Arial"/>
        <family val="2"/>
      </rPr>
      <t>-1</t>
    </r>
    <r>
      <rPr>
        <b/>
        <sz val="11"/>
        <color rgb="FF000000"/>
        <rFont val="Arial"/>
        <family val="2"/>
      </rPr>
      <t>), [Acid] = 0.4 M THF, Yield = 50%</t>
    </r>
  </si>
  <si>
    <r>
      <t>ICBF (1.1 eq, MW = 138.58 g mol</t>
    </r>
    <r>
      <rPr>
        <b/>
        <vertAlign val="superscript"/>
        <sz val="11"/>
        <color rgb="FF000000"/>
        <rFont val="Arial"/>
        <family val="2"/>
      </rPr>
      <t>-1</t>
    </r>
    <r>
      <rPr>
        <b/>
        <sz val="11"/>
        <color rgb="FF000000"/>
        <rFont val="Arial"/>
        <family val="2"/>
      </rPr>
      <t>), [Acid] = 0.4 M THF, Yield = 50%</t>
    </r>
  </si>
  <si>
    <r>
      <t>T</t>
    </r>
    <r>
      <rPr>
        <b/>
        <vertAlign val="subscript"/>
        <sz val="11"/>
        <color rgb="FF000000"/>
        <rFont val="Arial"/>
        <family val="2"/>
      </rPr>
      <t>3</t>
    </r>
    <r>
      <rPr>
        <b/>
        <sz val="11"/>
        <color rgb="FF000000"/>
        <rFont val="Arial"/>
        <family val="2"/>
      </rPr>
      <t>P (1.1 eq, MW = 318.18 g mol</t>
    </r>
    <r>
      <rPr>
        <b/>
        <vertAlign val="superscript"/>
        <sz val="11"/>
        <color rgb="FF000000"/>
        <rFont val="Arial"/>
        <family val="2"/>
      </rPr>
      <t>-1</t>
    </r>
    <r>
      <rPr>
        <b/>
        <sz val="11"/>
        <color rgb="FF000000"/>
        <rFont val="Arial"/>
        <family val="2"/>
      </rPr>
      <t>), [Acid] = 0.4 M THF, Yield = 50%</t>
    </r>
  </si>
  <si>
    <t>Reaction 2</t>
  </si>
  <si>
    <t>Reaction 1</t>
  </si>
  <si>
    <t>Reaction 1: 0.1 M</t>
  </si>
  <si>
    <t>Reaction 2: 2.9 M</t>
  </si>
  <si>
    <t>Reaction 3</t>
  </si>
  <si>
    <t>Reaction 4</t>
  </si>
  <si>
    <t>Reaction 3: 0.2 M</t>
  </si>
  <si>
    <t>Reaction 4: 0.3 M</t>
  </si>
  <si>
    <t xml:space="preserve">Reaction 5 </t>
  </si>
  <si>
    <t>Reaction 6</t>
  </si>
  <si>
    <t>Reaction 5: 0.4 M</t>
  </si>
  <si>
    <t xml:space="preserve">Reaction 6: 0.4 M </t>
  </si>
  <si>
    <t>Reaction 5</t>
  </si>
  <si>
    <t>Reaction 7</t>
  </si>
  <si>
    <t>Reaction 8</t>
  </si>
  <si>
    <t>Reaction 7: 0.2 M</t>
  </si>
  <si>
    <t>Reaction 8: 0.8 M</t>
  </si>
  <si>
    <t>Reaction 9</t>
  </si>
  <si>
    <t>Reaction 10</t>
  </si>
  <si>
    <t>Reaction 9: 0.7 M</t>
  </si>
  <si>
    <t>Reaction 10: 0.6 M</t>
  </si>
  <si>
    <t>Reaction 11</t>
  </si>
  <si>
    <t>Reaction 12</t>
  </si>
  <si>
    <t>Reaction 11 1.4 M</t>
  </si>
  <si>
    <t>Reaction 12 0.4 M</t>
  </si>
  <si>
    <t>Reaction 13</t>
  </si>
  <si>
    <t>Reaction 14</t>
  </si>
  <si>
    <t>Reaction 14 0.3 M</t>
  </si>
  <si>
    <t>Reaction 5: [Acid] = 0.4 M</t>
  </si>
  <si>
    <t>Reaction 13: [Acid] = 0.2 M</t>
  </si>
  <si>
    <t>Reaction13</t>
  </si>
  <si>
    <t>Reaction 5 Literature</t>
  </si>
  <si>
    <t xml:space="preserve">Reaction 13 </t>
  </si>
  <si>
    <t>Reaction 13 Literature</t>
  </si>
  <si>
    <t>Simulation G: Both CDI (1.1eq) as coupling reagent, [Acid] = 0.4M in THF, Yield = 50%</t>
  </si>
  <si>
    <t>Simulation H: Both ICBF (1.1eq) as coupling reagent, [Acid] = 0.4M in THF, Yield = 90%</t>
  </si>
  <si>
    <t>Simulation I: Both ICBF (1.1eq) as coupling reagent, [Acid] = 0.4M in THF, Yield = 50%</t>
  </si>
  <si>
    <t>Piperidine amine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</si>
</sst>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7" x14ac:knownFonts="1">
    <font>
      <sz val="11"/>
      <color theme="1"/>
      <name val="Calibri"/>
      <family val="2"/>
      <scheme val="minor"/>
    </font>
    <font>
      <sz val="11"/>
      <color theme="1"/>
      <name val="Calibri"/>
      <family val="2"/>
      <scheme val="minor"/>
    </font>
    <font>
      <b/>
      <sz val="11"/>
      <color rgb="FFFA7D00"/>
      <name val="Calibri"/>
      <family val="2"/>
      <scheme val="minor"/>
    </font>
    <font>
      <sz val="11"/>
      <color theme="0"/>
      <name val="Calibri"/>
      <family val="2"/>
      <scheme val="minor"/>
    </font>
    <font>
      <b/>
      <sz val="11"/>
      <color theme="1"/>
      <name val="Calibri"/>
      <family val="2"/>
      <scheme val="minor"/>
    </font>
    <font>
      <b/>
      <sz val="11"/>
      <color rgb="FF0070C0"/>
      <name val="Calibri"/>
      <family val="2"/>
      <scheme val="minor"/>
    </font>
    <font>
      <b/>
      <vertAlign val="superscript"/>
      <sz val="11"/>
      <color theme="1"/>
      <name val="Calibri"/>
      <family val="2"/>
      <scheme val="minor"/>
    </font>
    <font>
      <sz val="10"/>
      <color rgb="FF000000"/>
      <name val="Arial"/>
      <family val="2"/>
    </font>
    <font>
      <vertAlign val="superscript"/>
      <sz val="10"/>
      <color rgb="FF000000"/>
      <name val="Arial"/>
      <family val="2"/>
    </font>
    <font>
      <vertAlign val="subscript"/>
      <sz val="10"/>
      <color rgb="FF000000"/>
      <name val="Arial"/>
      <family val="2"/>
    </font>
    <font>
      <sz val="10"/>
      <color theme="1"/>
      <name val="Arial"/>
      <family val="2"/>
    </font>
    <font>
      <i/>
      <sz val="11"/>
      <color theme="1"/>
      <name val="Calibri"/>
      <family val="2"/>
      <scheme val="minor"/>
    </font>
    <font>
      <b/>
      <i/>
      <sz val="11"/>
      <color theme="0"/>
      <name val="Calibri"/>
      <family val="2"/>
      <scheme val="minor"/>
    </font>
    <font>
      <b/>
      <i/>
      <sz val="11"/>
      <color theme="1"/>
      <name val="Calibri"/>
      <family val="2"/>
      <scheme val="minor"/>
    </font>
    <font>
      <sz val="10"/>
      <color theme="1"/>
      <name val="Helvetica"/>
      <family val="2"/>
    </font>
    <font>
      <vertAlign val="subscript"/>
      <sz val="10"/>
      <color theme="1"/>
      <name val="Helvetica"/>
      <family val="2"/>
    </font>
    <font>
      <i/>
      <sz val="10"/>
      <color theme="1"/>
      <name val="Helvetica"/>
      <family val="2"/>
    </font>
    <font>
      <i/>
      <sz val="10"/>
      <color theme="1"/>
      <name val="Helvetica"/>
    </font>
    <font>
      <sz val="10"/>
      <color theme="1"/>
      <name val="Helvetica"/>
    </font>
    <font>
      <b/>
      <sz val="11"/>
      <color rgb="FFFF0000"/>
      <name val="Calibri"/>
      <family val="2"/>
      <scheme val="minor"/>
    </font>
    <font>
      <b/>
      <sz val="11"/>
      <color theme="0"/>
      <name val="Calibri"/>
      <family val="2"/>
      <scheme val="minor"/>
    </font>
    <font>
      <vertAlign val="superscript"/>
      <sz val="11"/>
      <color theme="0"/>
      <name val="Calibri"/>
      <family val="2"/>
      <scheme val="minor"/>
    </font>
    <font>
      <vertAlign val="superscript"/>
      <sz val="11"/>
      <color theme="1"/>
      <name val="Calibri"/>
      <family val="2"/>
      <scheme val="minor"/>
    </font>
    <font>
      <b/>
      <sz val="11"/>
      <color theme="1"/>
      <name val="Arial"/>
      <family val="2"/>
    </font>
    <font>
      <b/>
      <vertAlign val="superscript"/>
      <sz val="11"/>
      <color rgb="FF000000"/>
      <name val="Arial"/>
      <family val="2"/>
    </font>
    <font>
      <b/>
      <sz val="11"/>
      <color rgb="FF000000"/>
      <name val="Arial"/>
      <family val="2"/>
    </font>
    <font>
      <b/>
      <vertAlign val="subscript"/>
      <sz val="11"/>
      <color rgb="FF000000"/>
      <name val="Arial"/>
      <family val="2"/>
    </font>
  </fonts>
  <fills count="13">
    <fill>
      <patternFill patternType="none"/>
    </fill>
    <fill>
      <patternFill patternType="gray125"/>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rgb="FF0070C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00B050"/>
        <bgColor indexed="64"/>
      </patternFill>
    </fill>
  </fills>
  <borders count="7">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8">
    <xf numFmtId="0" fontId="0" fillId="0" borderId="0"/>
    <xf numFmtId="0" fontId="2" fillId="2" borderId="1" applyNumberFormat="0" applyAlignment="0" applyProtection="0"/>
    <xf numFmtId="0" fontId="3" fillId="3"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cellStyleXfs>
  <cellXfs count="201">
    <xf numFmtId="0" fontId="0" fillId="0" borderId="0" xfId="0"/>
    <xf numFmtId="164" fontId="1" fillId="4" borderId="2" xfId="3" applyNumberFormat="1" applyBorder="1" applyAlignment="1">
      <alignment horizontal="center"/>
    </xf>
    <xf numFmtId="0" fontId="1" fillId="4" borderId="2" xfId="3" applyBorder="1" applyAlignment="1">
      <alignment horizontal="center"/>
    </xf>
    <xf numFmtId="164" fontId="0" fillId="0" borderId="0" xfId="0" applyNumberFormat="1" applyAlignment="1">
      <alignment horizontal="center"/>
    </xf>
    <xf numFmtId="164" fontId="0" fillId="0" borderId="0" xfId="0" applyNumberFormat="1"/>
    <xf numFmtId="164" fontId="3" fillId="5" borderId="2" xfId="4" applyNumberFormat="1" applyBorder="1" applyAlignment="1">
      <alignment horizontal="center"/>
    </xf>
    <xf numFmtId="0" fontId="4" fillId="0" borderId="0" xfId="0" applyFont="1"/>
    <xf numFmtId="2" fontId="0" fillId="4" borderId="2" xfId="3" applyNumberFormat="1" applyFont="1" applyBorder="1" applyAlignment="1">
      <alignment horizontal="center"/>
    </xf>
    <xf numFmtId="2" fontId="0" fillId="7" borderId="2" xfId="6" applyNumberFormat="1" applyFont="1" applyBorder="1" applyAlignment="1">
      <alignment horizontal="center"/>
    </xf>
    <xf numFmtId="2" fontId="3" fillId="5" borderId="2" xfId="4" applyNumberFormat="1" applyFont="1" applyBorder="1" applyAlignment="1">
      <alignment horizontal="center"/>
    </xf>
    <xf numFmtId="164" fontId="2" fillId="2" borderId="2" xfId="1" applyNumberFormat="1" applyBorder="1" applyAlignment="1">
      <alignment horizontal="center"/>
    </xf>
    <xf numFmtId="2" fontId="2" fillId="2" borderId="2" xfId="1" applyNumberFormat="1" applyBorder="1" applyAlignment="1">
      <alignment horizontal="center"/>
    </xf>
    <xf numFmtId="165" fontId="3" fillId="6" borderId="2" xfId="5" applyNumberFormat="1" applyBorder="1"/>
    <xf numFmtId="165" fontId="3" fillId="3" borderId="2" xfId="2" applyNumberFormat="1" applyBorder="1"/>
    <xf numFmtId="164" fontId="0" fillId="7" borderId="2" xfId="6" applyNumberFormat="1" applyFont="1" applyBorder="1"/>
    <xf numFmtId="165" fontId="1" fillId="7" borderId="2" xfId="6" applyNumberFormat="1" applyBorder="1"/>
    <xf numFmtId="165" fontId="1" fillId="8" borderId="2" xfId="7" applyNumberFormat="1" applyBorder="1"/>
    <xf numFmtId="164" fontId="4" fillId="7" borderId="2" xfId="6" applyNumberFormat="1" applyFont="1" applyBorder="1" applyAlignment="1">
      <alignment horizontal="center" vertical="center"/>
    </xf>
    <xf numFmtId="164" fontId="4" fillId="4" borderId="2" xfId="3" applyNumberFormat="1" applyFont="1" applyBorder="1" applyAlignment="1">
      <alignment horizontal="center" vertical="center"/>
    </xf>
    <xf numFmtId="164" fontId="4" fillId="4" borderId="2" xfId="3" applyNumberFormat="1" applyFont="1" applyBorder="1" applyAlignment="1">
      <alignment horizontal="center" vertical="center" wrapText="1"/>
    </xf>
    <xf numFmtId="164" fontId="4" fillId="7" borderId="2" xfId="6" applyNumberFormat="1" applyFont="1" applyBorder="1" applyAlignment="1">
      <alignment horizontal="center" vertical="center" wrapText="1"/>
    </xf>
    <xf numFmtId="2" fontId="2" fillId="10" borderId="2" xfId="1" applyNumberFormat="1" applyFill="1" applyBorder="1" applyAlignment="1">
      <alignment horizontal="center"/>
    </xf>
    <xf numFmtId="164" fontId="2" fillId="2" borderId="1" xfId="1" applyNumberFormat="1" applyAlignment="1">
      <alignment horizontal="center"/>
    </xf>
    <xf numFmtId="2" fontId="2" fillId="2" borderId="3" xfId="1" applyNumberFormat="1" applyBorder="1" applyAlignment="1">
      <alignment horizontal="center"/>
    </xf>
    <xf numFmtId="2" fontId="2" fillId="10" borderId="3" xfId="1" applyNumberFormat="1" applyFill="1" applyBorder="1" applyAlignment="1">
      <alignment horizontal="center"/>
    </xf>
    <xf numFmtId="164" fontId="0" fillId="7" borderId="2" xfId="6" applyNumberFormat="1" applyFont="1" applyBorder="1" applyAlignment="1">
      <alignment horizontal="center"/>
    </xf>
    <xf numFmtId="2" fontId="1" fillId="7" borderId="2" xfId="6" applyNumberFormat="1" applyBorder="1" applyAlignment="1">
      <alignment horizontal="center"/>
    </xf>
    <xf numFmtId="0" fontId="0" fillId="0" borderId="0" xfId="0" applyFill="1"/>
    <xf numFmtId="0" fontId="4" fillId="12" borderId="0" xfId="0" applyFont="1" applyFill="1"/>
    <xf numFmtId="0" fontId="0" fillId="12" borderId="0" xfId="0" applyFill="1"/>
    <xf numFmtId="0" fontId="0" fillId="12" borderId="0" xfId="0" applyFill="1" applyAlignment="1">
      <alignment horizontal="center"/>
    </xf>
    <xf numFmtId="0" fontId="7" fillId="0" borderId="0" xfId="0" applyFont="1" applyAlignment="1">
      <alignment horizontal="center" vertical="center" wrapText="1"/>
    </xf>
    <xf numFmtId="165" fontId="7" fillId="0" borderId="0" xfId="0" applyNumberFormat="1" applyFont="1" applyAlignment="1">
      <alignment horizontal="center" vertical="center" wrapText="1"/>
    </xf>
    <xf numFmtId="1" fontId="7" fillId="0" borderId="0" xfId="0" applyNumberFormat="1" applyFont="1" applyAlignment="1">
      <alignment horizontal="center" vertical="center"/>
    </xf>
    <xf numFmtId="1" fontId="7" fillId="0" borderId="0" xfId="0" applyNumberFormat="1" applyFont="1" applyAlignment="1">
      <alignment horizontal="center" vertical="center" wrapText="1"/>
    </xf>
    <xf numFmtId="0" fontId="0" fillId="0" borderId="0" xfId="0" applyBorder="1"/>
    <xf numFmtId="0" fontId="10" fillId="0" borderId="0" xfId="0" applyFont="1" applyBorder="1" applyAlignment="1">
      <alignment vertical="center" wrapText="1"/>
    </xf>
    <xf numFmtId="165" fontId="7" fillId="0" borderId="0" xfId="0" applyNumberFormat="1" applyFont="1" applyBorder="1" applyAlignment="1">
      <alignment horizontal="center" vertical="center" wrapText="1"/>
    </xf>
    <xf numFmtId="0" fontId="0" fillId="0" borderId="0" xfId="0" applyAlignment="1">
      <alignment horizontal="center"/>
    </xf>
    <xf numFmtId="0" fontId="0" fillId="0" borderId="0" xfId="0" applyAlignment="1">
      <alignment horizontal="center"/>
    </xf>
    <xf numFmtId="0" fontId="4" fillId="0" borderId="0" xfId="0" applyFont="1" applyAlignment="1">
      <alignment horizontal="center"/>
    </xf>
    <xf numFmtId="0" fontId="4" fillId="0" borderId="0" xfId="0" applyFont="1" applyAlignment="1">
      <alignment horizontal="right"/>
    </xf>
    <xf numFmtId="164" fontId="0" fillId="4" borderId="2" xfId="3" applyNumberFormat="1" applyFont="1" applyBorder="1" applyAlignment="1">
      <alignment horizontal="center"/>
    </xf>
    <xf numFmtId="164" fontId="2" fillId="2" borderId="3" xfId="1" applyNumberFormat="1" applyBorder="1" applyAlignment="1">
      <alignment horizontal="center"/>
    </xf>
    <xf numFmtId="1" fontId="0" fillId="4" borderId="2" xfId="3" applyNumberFormat="1" applyFont="1" applyBorder="1" applyAlignment="1">
      <alignment horizontal="center"/>
    </xf>
    <xf numFmtId="1" fontId="1" fillId="4" borderId="2" xfId="3" applyNumberFormat="1" applyBorder="1" applyAlignment="1">
      <alignment horizontal="center"/>
    </xf>
    <xf numFmtId="165" fontId="2" fillId="10" borderId="2" xfId="1" applyNumberFormat="1" applyFill="1" applyBorder="1" applyAlignment="1">
      <alignment horizontal="center"/>
    </xf>
    <xf numFmtId="165" fontId="2" fillId="10" borderId="3" xfId="1" applyNumberFormat="1" applyFill="1" applyBorder="1" applyAlignment="1">
      <alignment horizontal="center"/>
    </xf>
    <xf numFmtId="2" fontId="2" fillId="2" borderId="1" xfId="1" applyNumberFormat="1" applyAlignment="1">
      <alignment horizontal="center"/>
    </xf>
    <xf numFmtId="1" fontId="0" fillId="0" borderId="0" xfId="0" applyNumberFormat="1"/>
    <xf numFmtId="0" fontId="0" fillId="0" borderId="0" xfId="0" applyFont="1" applyFill="1" applyAlignment="1">
      <alignment horizontal="right"/>
    </xf>
    <xf numFmtId="0" fontId="0" fillId="0" borderId="0" xfId="0" applyAlignment="1">
      <alignment horizontal="center"/>
    </xf>
    <xf numFmtId="0" fontId="0" fillId="0" borderId="0" xfId="0" applyAlignment="1">
      <alignment horizontal="right"/>
    </xf>
    <xf numFmtId="0" fontId="0" fillId="0" borderId="0" xfId="0" applyAlignment="1">
      <alignment horizontal="center"/>
    </xf>
    <xf numFmtId="0" fontId="0" fillId="0" borderId="0" xfId="0" applyAlignment="1"/>
    <xf numFmtId="1" fontId="3" fillId="5" borderId="2" xfId="4" applyNumberFormat="1" applyFont="1" applyBorder="1" applyAlignment="1">
      <alignment horizontal="center"/>
    </xf>
    <xf numFmtId="165" fontId="0" fillId="7" borderId="2" xfId="6" applyNumberFormat="1" applyFont="1" applyBorder="1" applyAlignment="1">
      <alignment horizontal="center"/>
    </xf>
    <xf numFmtId="2" fontId="11" fillId="7" borderId="2" xfId="6" applyNumberFormat="1" applyFont="1" applyBorder="1" applyAlignment="1">
      <alignment horizontal="center"/>
    </xf>
    <xf numFmtId="0" fontId="0" fillId="0" borderId="0" xfId="0" applyAlignment="1">
      <alignment horizontal="center"/>
    </xf>
    <xf numFmtId="165" fontId="0" fillId="0" borderId="0" xfId="0" applyNumberFormat="1"/>
    <xf numFmtId="1" fontId="7" fillId="0" borderId="0" xfId="0" applyNumberFormat="1" applyFont="1" applyBorder="1" applyAlignment="1">
      <alignment horizontal="center" vertical="center" wrapText="1"/>
    </xf>
    <xf numFmtId="1" fontId="10" fillId="0" borderId="0" xfId="0" applyNumberFormat="1" applyFont="1" applyBorder="1" applyAlignment="1">
      <alignment horizontal="center" vertical="center" wrapText="1"/>
    </xf>
    <xf numFmtId="0" fontId="4" fillId="0" borderId="0" xfId="0" applyFont="1" applyAlignment="1"/>
    <xf numFmtId="0" fontId="0" fillId="0" borderId="0" xfId="0" applyAlignment="1">
      <alignment horizontal="center"/>
    </xf>
    <xf numFmtId="0" fontId="4"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164" fontId="11" fillId="4" borderId="2" xfId="3" applyNumberFormat="1" applyFont="1" applyBorder="1" applyAlignment="1">
      <alignment horizontal="center"/>
    </xf>
    <xf numFmtId="1" fontId="12" fillId="9" borderId="2" xfId="6" applyNumberFormat="1" applyFont="1" applyFill="1" applyBorder="1" applyAlignment="1">
      <alignment horizontal="center"/>
    </xf>
    <xf numFmtId="1" fontId="4" fillId="7" borderId="2" xfId="6" applyNumberFormat="1" applyFont="1" applyBorder="1" applyAlignment="1">
      <alignment horizontal="center"/>
    </xf>
    <xf numFmtId="0" fontId="0" fillId="0" borderId="0" xfId="0" applyAlignment="1">
      <alignment horizontal="left"/>
    </xf>
    <xf numFmtId="1" fontId="10" fillId="0" borderId="0" xfId="0" applyNumberFormat="1" applyFont="1" applyBorder="1" applyAlignment="1">
      <alignment vertical="center" wrapText="1"/>
    </xf>
    <xf numFmtId="1" fontId="13" fillId="7" borderId="2" xfId="6" applyNumberFormat="1" applyFont="1" applyBorder="1" applyAlignment="1">
      <alignment horizontal="center"/>
    </xf>
    <xf numFmtId="0" fontId="0" fillId="0" borderId="0" xfId="0" applyAlignment="1">
      <alignment horizontal="center"/>
    </xf>
    <xf numFmtId="2" fontId="0" fillId="0" borderId="0" xfId="0" applyNumberFormat="1"/>
    <xf numFmtId="2" fontId="13" fillId="7" borderId="2" xfId="6" applyNumberFormat="1" applyFont="1" applyBorder="1" applyAlignment="1">
      <alignment horizontal="center"/>
    </xf>
    <xf numFmtId="0" fontId="0" fillId="0" borderId="0" xfId="0" applyAlignment="1">
      <alignment horizontal="center"/>
    </xf>
    <xf numFmtId="0" fontId="7" fillId="0" borderId="0" xfId="0" applyFont="1" applyBorder="1" applyAlignment="1">
      <alignment horizontal="center" vertical="center"/>
    </xf>
    <xf numFmtId="0" fontId="0" fillId="0" borderId="0" xfId="0" applyBorder="1" applyAlignment="1">
      <alignment horizontal="center"/>
    </xf>
    <xf numFmtId="1" fontId="7"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0" fillId="0" borderId="0" xfId="0" applyAlignment="1">
      <alignment horizontal="center"/>
    </xf>
    <xf numFmtId="0" fontId="4" fillId="0" borderId="0" xfId="0" applyFont="1" applyAlignment="1">
      <alignment horizontal="center"/>
    </xf>
    <xf numFmtId="0" fontId="0" fillId="0" borderId="0" xfId="0" applyAlignment="1">
      <alignment horizontal="center"/>
    </xf>
    <xf numFmtId="0" fontId="7" fillId="0" borderId="0" xfId="0" applyFont="1" applyBorder="1" applyAlignment="1">
      <alignment horizontal="center" vertical="center" wrapText="1"/>
    </xf>
    <xf numFmtId="165" fontId="7" fillId="0" borderId="0" xfId="0" applyNumberFormat="1" applyFont="1" applyBorder="1" applyAlignment="1">
      <alignment horizontal="center" vertical="center"/>
    </xf>
    <xf numFmtId="0" fontId="0" fillId="11" borderId="0" xfId="0" applyFill="1" applyAlignment="1">
      <alignment horizontal="right"/>
    </xf>
    <xf numFmtId="0" fontId="0" fillId="0" borderId="0" xfId="0" applyAlignment="1">
      <alignment vertical="top"/>
    </xf>
    <xf numFmtId="2" fontId="0" fillId="7" borderId="2" xfId="6" applyNumberFormat="1" applyFont="1" applyBorder="1"/>
    <xf numFmtId="1" fontId="2" fillId="2" borderId="3" xfId="1" applyNumberFormat="1" applyBorder="1" applyAlignment="1">
      <alignment horizontal="center"/>
    </xf>
    <xf numFmtId="0" fontId="10" fillId="0" borderId="0" xfId="0" applyFont="1" applyBorder="1" applyAlignment="1">
      <alignment horizontal="center"/>
    </xf>
    <xf numFmtId="1" fontId="10" fillId="0" borderId="0" xfId="0" applyNumberFormat="1" applyFont="1" applyBorder="1" applyAlignment="1">
      <alignment horizontal="center"/>
    </xf>
    <xf numFmtId="165" fontId="10" fillId="0" borderId="0" xfId="0" applyNumberFormat="1" applyFont="1" applyBorder="1" applyAlignment="1">
      <alignment horizontal="center"/>
    </xf>
    <xf numFmtId="165" fontId="0" fillId="7" borderId="2" xfId="6" applyNumberFormat="1" applyFont="1" applyBorder="1"/>
    <xf numFmtId="0" fontId="2" fillId="4" borderId="2" xfId="3" applyFont="1" applyBorder="1" applyAlignment="1">
      <alignment horizontal="center"/>
    </xf>
    <xf numFmtId="1" fontId="2" fillId="4" borderId="2" xfId="3" applyNumberFormat="1" applyFont="1" applyBorder="1" applyAlignment="1">
      <alignment horizontal="center"/>
    </xf>
    <xf numFmtId="1" fontId="3" fillId="6" borderId="2" xfId="5" applyNumberFormat="1" applyBorder="1"/>
    <xf numFmtId="1" fontId="3" fillId="3" borderId="2" xfId="2" applyNumberFormat="1" applyBorder="1"/>
    <xf numFmtId="0" fontId="0" fillId="0" borderId="0" xfId="0" applyAlignment="1">
      <alignment horizontal="center"/>
    </xf>
    <xf numFmtId="1" fontId="7" fillId="0" borderId="0" xfId="0" applyNumberFormat="1" applyFont="1" applyFill="1" applyBorder="1" applyAlignment="1">
      <alignment horizontal="center" vertical="center"/>
    </xf>
    <xf numFmtId="1" fontId="7" fillId="0" borderId="0" xfId="0" applyNumberFormat="1"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ill="1" applyAlignment="1"/>
    <xf numFmtId="165" fontId="7" fillId="0" borderId="0" xfId="0" applyNumberFormat="1" applyFont="1" applyFill="1" applyBorder="1" applyAlignment="1">
      <alignment horizontal="center" vertical="center"/>
    </xf>
    <xf numFmtId="0" fontId="0" fillId="0" borderId="0" xfId="0" applyAlignment="1">
      <alignment horizontal="center"/>
    </xf>
    <xf numFmtId="0" fontId="7" fillId="0" borderId="0" xfId="0" applyFont="1" applyBorder="1" applyAlignment="1">
      <alignment horizontal="center" vertical="center" wrapText="1"/>
    </xf>
    <xf numFmtId="0" fontId="4" fillId="0" borderId="0" xfId="0" applyFont="1" applyAlignment="1">
      <alignment horizontal="center"/>
    </xf>
    <xf numFmtId="0" fontId="7" fillId="0" borderId="0" xfId="0" applyFont="1" applyBorder="1" applyAlignment="1">
      <alignment horizontal="center" vertical="center" wrapText="1"/>
    </xf>
    <xf numFmtId="0" fontId="0" fillId="0" borderId="0" xfId="0" applyAlignment="1">
      <alignment horizontal="center"/>
    </xf>
    <xf numFmtId="0" fontId="4" fillId="0" borderId="0" xfId="0" applyFont="1" applyFill="1" applyAlignment="1">
      <alignment horizontal="right"/>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10" fillId="0" borderId="6" xfId="0" applyFont="1" applyBorder="1" applyAlignment="1">
      <alignment horizontal="center"/>
    </xf>
    <xf numFmtId="1" fontId="10" fillId="0" borderId="6" xfId="0" applyNumberFormat="1" applyFont="1" applyBorder="1" applyAlignment="1">
      <alignment horizontal="center"/>
    </xf>
    <xf numFmtId="165" fontId="10" fillId="0" borderId="6" xfId="0" applyNumberFormat="1" applyFont="1" applyBorder="1" applyAlignment="1">
      <alignment horizontal="center"/>
    </xf>
    <xf numFmtId="1" fontId="10" fillId="0" borderId="6" xfId="0" applyNumberFormat="1" applyFont="1" applyBorder="1" applyAlignment="1">
      <alignment horizontal="center" vertical="center" wrapText="1"/>
    </xf>
    <xf numFmtId="165" fontId="7" fillId="0" borderId="5" xfId="0" applyNumberFormat="1" applyFont="1" applyBorder="1" applyAlignment="1">
      <alignment horizontal="center" vertical="center" wrapText="1"/>
    </xf>
    <xf numFmtId="0" fontId="10" fillId="0" borderId="0" xfId="0" applyFont="1" applyBorder="1" applyAlignment="1">
      <alignment vertical="center"/>
    </xf>
    <xf numFmtId="0" fontId="14" fillId="0" borderId="0" xfId="0" applyFont="1"/>
    <xf numFmtId="0" fontId="7" fillId="0" borderId="0" xfId="0" applyFont="1" applyBorder="1" applyAlignment="1">
      <alignment vertical="center"/>
    </xf>
    <xf numFmtId="0" fontId="10" fillId="0" borderId="5" xfId="0" applyFont="1" applyFill="1" applyBorder="1" applyAlignment="1">
      <alignment vertical="center"/>
    </xf>
    <xf numFmtId="0" fontId="4" fillId="0" borderId="0" xfId="0" applyFont="1" applyFill="1" applyAlignment="1"/>
    <xf numFmtId="0" fontId="0" fillId="0" borderId="0" xfId="0" applyAlignment="1">
      <alignment vertical="top" wrapText="1"/>
    </xf>
    <xf numFmtId="1" fontId="10" fillId="0" borderId="0" xfId="0" applyNumberFormat="1" applyFont="1" applyBorder="1" applyAlignment="1">
      <alignment vertical="center"/>
    </xf>
    <xf numFmtId="0" fontId="7" fillId="0" borderId="5" xfId="0" applyFont="1" applyBorder="1" applyAlignment="1">
      <alignment vertical="center"/>
    </xf>
    <xf numFmtId="0" fontId="7" fillId="0" borderId="5" xfId="0" applyFont="1" applyBorder="1" applyAlignment="1">
      <alignment horizontal="center" vertical="center" wrapText="1"/>
    </xf>
    <xf numFmtId="1" fontId="7" fillId="0" borderId="5" xfId="0" applyNumberFormat="1" applyFont="1" applyBorder="1" applyAlignment="1">
      <alignment horizontal="center" vertical="center" wrapText="1"/>
    </xf>
    <xf numFmtId="0" fontId="0" fillId="0" borderId="0" xfId="0" applyAlignment="1">
      <alignment horizontal="center"/>
    </xf>
    <xf numFmtId="0" fontId="18" fillId="0" borderId="0" xfId="0" applyFont="1"/>
    <xf numFmtId="1" fontId="7" fillId="0" borderId="4" xfId="0" applyNumberFormat="1" applyFont="1" applyBorder="1" applyAlignment="1">
      <alignment horizontal="center" vertical="center" wrapText="1"/>
    </xf>
    <xf numFmtId="0" fontId="10" fillId="0" borderId="5" xfId="0" applyFont="1" applyBorder="1" applyAlignment="1">
      <alignment vertical="center"/>
    </xf>
    <xf numFmtId="165" fontId="7" fillId="0" borderId="4" xfId="0" applyNumberFormat="1" applyFont="1" applyBorder="1" applyAlignment="1">
      <alignment horizontal="center" vertical="center" wrapText="1"/>
    </xf>
    <xf numFmtId="165" fontId="7" fillId="0" borderId="6" xfId="0" applyNumberFormat="1" applyFont="1" applyBorder="1" applyAlignment="1">
      <alignment horizontal="center" vertical="center" wrapText="1"/>
    </xf>
    <xf numFmtId="1" fontId="7" fillId="0" borderId="4" xfId="0" applyNumberFormat="1" applyFont="1" applyBorder="1" applyAlignment="1">
      <alignment horizontal="center" vertical="center"/>
    </xf>
    <xf numFmtId="1" fontId="7" fillId="0" borderId="6" xfId="0" applyNumberFormat="1" applyFont="1" applyBorder="1" applyAlignment="1">
      <alignment horizontal="center" vertical="center"/>
    </xf>
    <xf numFmtId="1" fontId="7" fillId="0" borderId="6" xfId="0" applyNumberFormat="1" applyFont="1" applyBorder="1" applyAlignment="1">
      <alignment horizontal="center" vertical="center" wrapText="1"/>
    </xf>
    <xf numFmtId="0" fontId="7" fillId="0" borderId="5" xfId="0" applyFont="1" applyBorder="1" applyAlignment="1">
      <alignment horizontal="center" vertical="center"/>
    </xf>
    <xf numFmtId="1" fontId="7" fillId="0" borderId="5" xfId="0" applyNumberFormat="1" applyFont="1" applyBorder="1" applyAlignment="1">
      <alignment horizontal="center" vertical="center"/>
    </xf>
    <xf numFmtId="0" fontId="7" fillId="0" borderId="0" xfId="0" applyFont="1" applyFill="1" applyBorder="1" applyAlignment="1">
      <alignment horizontal="center" vertical="center"/>
    </xf>
    <xf numFmtId="165" fontId="7" fillId="0" borderId="5" xfId="0" applyNumberFormat="1" applyFont="1" applyBorder="1" applyAlignment="1">
      <alignment horizontal="center" vertical="center"/>
    </xf>
    <xf numFmtId="0" fontId="18" fillId="0" borderId="5" xfId="0" applyFont="1" applyBorder="1"/>
    <xf numFmtId="0" fontId="0" fillId="0" borderId="5" xfId="0" applyBorder="1" applyAlignment="1">
      <alignment horizontal="center"/>
    </xf>
    <xf numFmtId="0" fontId="0" fillId="0" borderId="5" xfId="0" applyBorder="1"/>
    <xf numFmtId="1" fontId="0" fillId="0" borderId="0" xfId="0" applyNumberFormat="1" applyAlignment="1">
      <alignment horizontal="center"/>
    </xf>
    <xf numFmtId="165" fontId="0" fillId="0" borderId="0" xfId="0" applyNumberFormat="1" applyAlignment="1">
      <alignment horizontal="center"/>
    </xf>
    <xf numFmtId="1" fontId="10" fillId="0" borderId="0" xfId="0" applyNumberFormat="1" applyFont="1" applyBorder="1" applyAlignment="1">
      <alignment horizontal="center" vertical="center"/>
    </xf>
    <xf numFmtId="0" fontId="18" fillId="0" borderId="5" xfId="0" applyFont="1" applyBorder="1" applyAlignment="1"/>
    <xf numFmtId="0" fontId="0" fillId="0" borderId="5" xfId="0" applyBorder="1" applyAlignment="1"/>
    <xf numFmtId="1" fontId="10" fillId="0" borderId="0" xfId="0" applyNumberFormat="1" applyFont="1" applyFill="1" applyBorder="1" applyAlignment="1">
      <alignment horizontal="center" vertical="center"/>
    </xf>
    <xf numFmtId="165" fontId="10" fillId="0" borderId="0" xfId="0" applyNumberFormat="1" applyFont="1" applyFill="1" applyBorder="1" applyAlignment="1">
      <alignment horizontal="center" vertical="center"/>
    </xf>
    <xf numFmtId="0" fontId="0" fillId="0" borderId="0" xfId="0" applyFill="1" applyAlignment="1">
      <alignment horizontal="center"/>
    </xf>
    <xf numFmtId="1" fontId="0" fillId="7" borderId="2" xfId="6" applyNumberFormat="1" applyFont="1" applyBorder="1"/>
    <xf numFmtId="0" fontId="0" fillId="0" borderId="0" xfId="0" applyFill="1" applyAlignment="1">
      <alignment horizontal="center"/>
    </xf>
    <xf numFmtId="165" fontId="19" fillId="0" borderId="0" xfId="0" applyNumberFormat="1" applyFont="1" applyAlignment="1">
      <alignment horizontal="center"/>
    </xf>
    <xf numFmtId="165" fontId="2" fillId="2" borderId="2" xfId="1" applyNumberFormat="1" applyBorder="1" applyAlignment="1">
      <alignment horizontal="center"/>
    </xf>
    <xf numFmtId="0" fontId="0" fillId="0" borderId="0" xfId="0"/>
    <xf numFmtId="164" fontId="3" fillId="3" borderId="2" xfId="2" applyNumberFormat="1" applyBorder="1"/>
    <xf numFmtId="2" fontId="0" fillId="7" borderId="2" xfId="6" applyNumberFormat="1" applyFont="1" applyBorder="1" applyAlignment="1">
      <alignment horizontal="center"/>
    </xf>
    <xf numFmtId="2" fontId="2" fillId="2" borderId="2" xfId="1" applyNumberFormat="1" applyBorder="1" applyAlignment="1">
      <alignment horizontal="center"/>
    </xf>
    <xf numFmtId="164" fontId="3" fillId="6" borderId="2" xfId="5" applyNumberFormat="1" applyBorder="1"/>
    <xf numFmtId="164" fontId="0" fillId="7" borderId="2" xfId="6" applyNumberFormat="1" applyFont="1" applyBorder="1"/>
    <xf numFmtId="164" fontId="0" fillId="8" borderId="2" xfId="7" applyNumberFormat="1" applyFont="1" applyBorder="1"/>
    <xf numFmtId="2" fontId="2" fillId="2" borderId="3" xfId="1" applyNumberFormat="1" applyBorder="1" applyAlignment="1">
      <alignment horizontal="center"/>
    </xf>
    <xf numFmtId="2" fontId="2" fillId="10" borderId="3" xfId="1" applyNumberFormat="1" applyFill="1" applyBorder="1" applyAlignment="1">
      <alignment horizontal="center"/>
    </xf>
    <xf numFmtId="0" fontId="4" fillId="12" borderId="0" xfId="0" applyFont="1" applyFill="1"/>
    <xf numFmtId="0" fontId="0" fillId="12" borderId="0" xfId="0" applyFill="1"/>
    <xf numFmtId="0" fontId="0" fillId="12" borderId="0" xfId="0" applyFill="1" applyAlignment="1">
      <alignment horizontal="center"/>
    </xf>
    <xf numFmtId="0" fontId="0" fillId="0" borderId="6" xfId="0" applyFill="1" applyBorder="1" applyAlignment="1"/>
    <xf numFmtId="1" fontId="20" fillId="9" borderId="2" xfId="6" applyNumberFormat="1" applyFont="1" applyFill="1" applyBorder="1" applyAlignment="1">
      <alignment horizontal="center" wrapText="1"/>
    </xf>
    <xf numFmtId="1" fontId="20" fillId="9" borderId="2" xfId="6" applyNumberFormat="1" applyFont="1" applyFill="1" applyBorder="1" applyAlignment="1">
      <alignment horizontal="center"/>
    </xf>
    <xf numFmtId="1" fontId="3" fillId="9" borderId="2" xfId="6" applyNumberFormat="1" applyFont="1" applyFill="1" applyBorder="1" applyAlignment="1">
      <alignment horizontal="center"/>
    </xf>
    <xf numFmtId="2" fontId="1" fillId="7" borderId="2" xfId="6" applyNumberFormat="1" applyFont="1" applyBorder="1" applyAlignment="1">
      <alignment horizontal="center"/>
    </xf>
    <xf numFmtId="1" fontId="1" fillId="7" borderId="2" xfId="6" applyNumberFormat="1" applyFont="1" applyBorder="1" applyAlignment="1">
      <alignment horizontal="center"/>
    </xf>
    <xf numFmtId="2" fontId="3" fillId="9" borderId="2" xfId="6" applyNumberFormat="1" applyFont="1" applyFill="1" applyBorder="1" applyAlignment="1">
      <alignment horizontal="center"/>
    </xf>
    <xf numFmtId="0" fontId="0" fillId="0" borderId="0" xfId="0" applyFont="1"/>
    <xf numFmtId="0" fontId="0" fillId="0" borderId="0" xfId="0" applyFont="1" applyAlignment="1">
      <alignment horizontal="center"/>
    </xf>
    <xf numFmtId="0" fontId="0" fillId="0" borderId="0" xfId="0"/>
    <xf numFmtId="0" fontId="0" fillId="12" borderId="0" xfId="0" applyFill="1"/>
    <xf numFmtId="0" fontId="0" fillId="0" borderId="0" xfId="0" applyAlignment="1">
      <alignment horizontal="center"/>
    </xf>
    <xf numFmtId="1" fontId="0" fillId="0" borderId="0" xfId="0" applyNumberFormat="1"/>
    <xf numFmtId="165" fontId="0" fillId="0" borderId="0" xfId="0" applyNumberFormat="1"/>
    <xf numFmtId="0" fontId="23" fillId="12" borderId="0" xfId="0" applyFont="1" applyFill="1"/>
    <xf numFmtId="164" fontId="0" fillId="8" borderId="0" xfId="7" applyNumberFormat="1" applyFont="1" applyBorder="1"/>
    <xf numFmtId="165" fontId="1" fillId="8" borderId="0" xfId="7" applyNumberFormat="1" applyBorder="1"/>
    <xf numFmtId="1" fontId="10" fillId="0" borderId="0" xfId="0" applyNumberFormat="1" applyFont="1" applyAlignment="1">
      <alignment horizontal="center"/>
    </xf>
    <xf numFmtId="165" fontId="10" fillId="0" borderId="0" xfId="0" applyNumberFormat="1" applyFont="1" applyAlignment="1">
      <alignment horizontal="center"/>
    </xf>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center"/>
    </xf>
    <xf numFmtId="0" fontId="0" fillId="0" borderId="0" xfId="0" applyFill="1" applyAlignment="1">
      <alignment horizontal="center"/>
    </xf>
    <xf numFmtId="0" fontId="4" fillId="0" borderId="0" xfId="0" applyFont="1" applyAlignment="1">
      <alignment horizontal="center"/>
    </xf>
    <xf numFmtId="0" fontId="4" fillId="0" borderId="0" xfId="0" applyFont="1" applyFill="1" applyAlignment="1">
      <alignment horizontal="center"/>
    </xf>
    <xf numFmtId="0" fontId="4" fillId="0" borderId="0" xfId="0" applyFont="1" applyAlignment="1">
      <alignment horizontal="left"/>
    </xf>
    <xf numFmtId="0" fontId="10" fillId="0" borderId="0" xfId="0" applyFont="1" applyBorder="1" applyAlignment="1">
      <alignment horizontal="left" vertical="center" wrapText="1"/>
    </xf>
    <xf numFmtId="0" fontId="4" fillId="0" borderId="0" xfId="0" applyFont="1" applyFill="1" applyAlignment="1">
      <alignment horizontal="left"/>
    </xf>
    <xf numFmtId="0" fontId="7" fillId="0" borderId="5" xfId="0" applyFont="1" applyBorder="1" applyAlignment="1">
      <alignment horizontal="left" vertical="center"/>
    </xf>
    <xf numFmtId="0" fontId="23" fillId="12" borderId="0" xfId="0" applyFont="1" applyFill="1" applyAlignment="1">
      <alignment horizontal="left"/>
    </xf>
    <xf numFmtId="0" fontId="4" fillId="12" borderId="0" xfId="0" applyFont="1" applyFill="1" applyAlignment="1">
      <alignment horizontal="left"/>
    </xf>
  </cellXfs>
  <cellStyles count="8">
    <cellStyle name="20% - Accent1" xfId="3" builtinId="30"/>
    <cellStyle name="20% - Accent3" xfId="6" builtinId="38"/>
    <cellStyle name="40% - Accent3" xfId="7" builtinId="39"/>
    <cellStyle name="Accent1" xfId="2" builtinId="29"/>
    <cellStyle name="Accent2" xfId="4" builtinId="33"/>
    <cellStyle name="Accent3" xfId="5" builtinId="37"/>
    <cellStyle name="Calculation" xfId="1" builtinId="22"/>
    <cellStyle name="Normal" xfId="0" builtinId="0"/>
  </cellStyles>
  <dxfs count="0"/>
  <tableStyles count="0" defaultTableStyle="TableStyleMedium2" defaultPivotStyle="PivotStyleLight16"/>
  <colors>
    <mruColors>
      <color rgb="FFFA7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image" Target="../media/image15.emf"/><Relationship Id="rId1" Type="http://schemas.openxmlformats.org/officeDocument/2006/relationships/image" Target="../media/image14.emf"/><Relationship Id="rId4" Type="http://schemas.openxmlformats.org/officeDocument/2006/relationships/image" Target="../media/image17.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20.emf"/><Relationship Id="rId2" Type="http://schemas.openxmlformats.org/officeDocument/2006/relationships/image" Target="../media/image19.emf"/><Relationship Id="rId1" Type="http://schemas.openxmlformats.org/officeDocument/2006/relationships/image" Target="../media/image18.emf"/><Relationship Id="rId4" Type="http://schemas.openxmlformats.org/officeDocument/2006/relationships/image" Target="../media/image21.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23.emf"/><Relationship Id="rId1" Type="http://schemas.openxmlformats.org/officeDocument/2006/relationships/image" Target="../media/image22.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25.emf"/><Relationship Id="rId1" Type="http://schemas.openxmlformats.org/officeDocument/2006/relationships/image" Target="../media/image2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xdr:row>
          <xdr:rowOff>19050</xdr:rowOff>
        </xdr:from>
        <xdr:to>
          <xdr:col>11</xdr:col>
          <xdr:colOff>704850</xdr:colOff>
          <xdr:row>10</xdr:row>
          <xdr:rowOff>123825</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26</xdr:row>
          <xdr:rowOff>104775</xdr:rowOff>
        </xdr:from>
        <xdr:to>
          <xdr:col>9</xdr:col>
          <xdr:colOff>962025</xdr:colOff>
          <xdr:row>35</xdr:row>
          <xdr:rowOff>133350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180</xdr:row>
          <xdr:rowOff>9525</xdr:rowOff>
        </xdr:from>
        <xdr:to>
          <xdr:col>19</xdr:col>
          <xdr:colOff>1162050</xdr:colOff>
          <xdr:row>187</xdr:row>
          <xdr:rowOff>161925</xdr:rowOff>
        </xdr:to>
        <xdr:sp macro="" textlink="">
          <xdr:nvSpPr>
            <xdr:cNvPr id="2051" name="Object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190</xdr:row>
          <xdr:rowOff>180975</xdr:rowOff>
        </xdr:from>
        <xdr:to>
          <xdr:col>20</xdr:col>
          <xdr:colOff>152400</xdr:colOff>
          <xdr:row>199</xdr:row>
          <xdr:rowOff>104775</xdr:rowOff>
        </xdr:to>
        <xdr:sp macro="" textlink="">
          <xdr:nvSpPr>
            <xdr:cNvPr id="2052" name="Object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xdr:row>
          <xdr:rowOff>47625</xdr:rowOff>
        </xdr:from>
        <xdr:to>
          <xdr:col>10</xdr:col>
          <xdr:colOff>819150</xdr:colOff>
          <xdr:row>11</xdr:row>
          <xdr:rowOff>28575</xdr:rowOff>
        </xdr:to>
        <xdr:sp macro="" textlink="">
          <xdr:nvSpPr>
            <xdr:cNvPr id="2053" name="Object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38100</xdr:rowOff>
        </xdr:from>
        <xdr:to>
          <xdr:col>10</xdr:col>
          <xdr:colOff>904875</xdr:colOff>
          <xdr:row>36</xdr:row>
          <xdr:rowOff>19050</xdr:rowOff>
        </xdr:to>
        <xdr:sp macro="" textlink="">
          <xdr:nvSpPr>
            <xdr:cNvPr id="2054" name="Object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1</xdr:row>
          <xdr:rowOff>171450</xdr:rowOff>
        </xdr:from>
        <xdr:to>
          <xdr:col>11</xdr:col>
          <xdr:colOff>514350</xdr:colOff>
          <xdr:row>11</xdr:row>
          <xdr:rowOff>0</xdr:rowOff>
        </xdr:to>
        <xdr:sp macro="" textlink="">
          <xdr:nvSpPr>
            <xdr:cNvPr id="22531" name="Object 3" hidden="1">
              <a:extLst>
                <a:ext uri="{63B3BB69-23CF-44E3-9099-C40C66FF867C}">
                  <a14:compatExt spid="_x0000_s22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26</xdr:row>
          <xdr:rowOff>66675</xdr:rowOff>
        </xdr:from>
        <xdr:to>
          <xdr:col>10</xdr:col>
          <xdr:colOff>714375</xdr:colOff>
          <xdr:row>35</xdr:row>
          <xdr:rowOff>38100</xdr:rowOff>
        </xdr:to>
        <xdr:sp macro="" textlink="">
          <xdr:nvSpPr>
            <xdr:cNvPr id="22532" name="Object 4" hidden="1">
              <a:extLst>
                <a:ext uri="{63B3BB69-23CF-44E3-9099-C40C66FF867C}">
                  <a14:compatExt spid="_x0000_s22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185739</xdr:colOff>
          <xdr:row>174</xdr:row>
          <xdr:rowOff>188459</xdr:rowOff>
        </xdr:from>
        <xdr:to>
          <xdr:col>21</xdr:col>
          <xdr:colOff>757240</xdr:colOff>
          <xdr:row>184</xdr:row>
          <xdr:rowOff>59872</xdr:rowOff>
        </xdr:to>
        <xdr:sp macro="" textlink="">
          <xdr:nvSpPr>
            <xdr:cNvPr id="22533" name="Object 5" hidden="1">
              <a:extLst>
                <a:ext uri="{63B3BB69-23CF-44E3-9099-C40C66FF867C}">
                  <a14:compatExt spid="_x0000_s22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438152</xdr:colOff>
          <xdr:row>187</xdr:row>
          <xdr:rowOff>83684</xdr:rowOff>
        </xdr:from>
        <xdr:to>
          <xdr:col>20</xdr:col>
          <xdr:colOff>666752</xdr:colOff>
          <xdr:row>196</xdr:row>
          <xdr:rowOff>88446</xdr:rowOff>
        </xdr:to>
        <xdr:sp macro="" textlink="">
          <xdr:nvSpPr>
            <xdr:cNvPr id="22534" name="Object 6" hidden="1">
              <a:extLst>
                <a:ext uri="{63B3BB69-23CF-44E3-9099-C40C66FF867C}">
                  <a14:compatExt spid="_x0000_s22534"/>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11</xdr:col>
      <xdr:colOff>266700</xdr:colOff>
      <xdr:row>463</xdr:row>
      <xdr:rowOff>114300</xdr:rowOff>
    </xdr:from>
    <xdr:to>
      <xdr:col>16</xdr:col>
      <xdr:colOff>85479</xdr:colOff>
      <xdr:row>472</xdr:row>
      <xdr:rowOff>63500</xdr:rowOff>
    </xdr:to>
    <xdr:pic>
      <xdr:nvPicPr>
        <xdr:cNvPr id="2" name="Picture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1747500" y="112128300"/>
          <a:ext cx="6019800" cy="1663700"/>
        </a:xfrm>
        <a:prstGeom prst="rect">
          <a:avLst/>
        </a:prstGeom>
      </xdr:spPr>
    </xdr:pic>
    <xdr:clientData/>
  </xdr:twoCellAnchor>
  <xdr:twoCellAnchor editAs="oneCell">
    <xdr:from>
      <xdr:col>4</xdr:col>
      <xdr:colOff>90714</xdr:colOff>
      <xdr:row>1</xdr:row>
      <xdr:rowOff>54429</xdr:rowOff>
    </xdr:from>
    <xdr:to>
      <xdr:col>10</xdr:col>
      <xdr:colOff>1096457</xdr:colOff>
      <xdr:row>12</xdr:row>
      <xdr:rowOff>17822</xdr:rowOff>
    </xdr:to>
    <xdr:pic>
      <xdr:nvPicPr>
        <xdr:cNvPr id="16" name="Picture 15">
          <a:extLst>
            <a:ext uri="{FF2B5EF4-FFF2-40B4-BE49-F238E27FC236}">
              <a16:creationId xmlns="" xmlns:a16="http://schemas.microsoft.com/office/drawing/2014/main" id="{00000000-0008-0000-0300-000010000000}"/>
            </a:ext>
          </a:extLst>
        </xdr:cNvPr>
        <xdr:cNvPicPr>
          <a:picLocks noChangeAspect="1"/>
        </xdr:cNvPicPr>
      </xdr:nvPicPr>
      <xdr:blipFill>
        <a:blip xmlns:r="http://schemas.openxmlformats.org/officeDocument/2006/relationships" r:embed="rId2"/>
        <a:stretch>
          <a:fillRect/>
        </a:stretch>
      </xdr:blipFill>
      <xdr:spPr>
        <a:xfrm>
          <a:off x="5851071" y="54429"/>
          <a:ext cx="6547758" cy="2058893"/>
        </a:xfrm>
        <a:prstGeom prst="rect">
          <a:avLst/>
        </a:prstGeom>
      </xdr:spPr>
    </xdr:pic>
    <xdr:clientData/>
  </xdr:twoCellAnchor>
  <xdr:twoCellAnchor editAs="oneCell">
    <xdr:from>
      <xdr:col>4</xdr:col>
      <xdr:colOff>308429</xdr:colOff>
      <xdr:row>29</xdr:row>
      <xdr:rowOff>81643</xdr:rowOff>
    </xdr:from>
    <xdr:to>
      <xdr:col>10</xdr:col>
      <xdr:colOff>989414</xdr:colOff>
      <xdr:row>36</xdr:row>
      <xdr:rowOff>68943</xdr:rowOff>
    </xdr:to>
    <xdr:pic>
      <xdr:nvPicPr>
        <xdr:cNvPr id="17" name="Picture 16">
          <a:extLst>
            <a:ext uri="{FF2B5EF4-FFF2-40B4-BE49-F238E27FC236}">
              <a16:creationId xmlns="" xmlns:a16="http://schemas.microsoft.com/office/drawing/2014/main" id="{00000000-0008-0000-0300-000011000000}"/>
            </a:ext>
          </a:extLst>
        </xdr:cNvPr>
        <xdr:cNvPicPr>
          <a:picLocks noChangeAspect="1"/>
        </xdr:cNvPicPr>
      </xdr:nvPicPr>
      <xdr:blipFill>
        <a:blip xmlns:r="http://schemas.openxmlformats.org/officeDocument/2006/relationships" r:embed="rId3"/>
        <a:stretch>
          <a:fillRect/>
        </a:stretch>
      </xdr:blipFill>
      <xdr:spPr>
        <a:xfrm>
          <a:off x="6068786" y="5633357"/>
          <a:ext cx="6223000" cy="13208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295275</xdr:colOff>
          <xdr:row>178</xdr:row>
          <xdr:rowOff>142875</xdr:rowOff>
        </xdr:from>
        <xdr:to>
          <xdr:col>21</xdr:col>
          <xdr:colOff>590550</xdr:colOff>
          <xdr:row>188</xdr:row>
          <xdr:rowOff>104775</xdr:rowOff>
        </xdr:to>
        <xdr:sp macro="" textlink="">
          <xdr:nvSpPr>
            <xdr:cNvPr id="23553" name="Object 1" hidden="1">
              <a:extLst>
                <a:ext uri="{63B3BB69-23CF-44E3-9099-C40C66FF867C}">
                  <a14:compatExt spid="_x0000_s235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191</xdr:row>
          <xdr:rowOff>66675</xdr:rowOff>
        </xdr:from>
        <xdr:to>
          <xdr:col>20</xdr:col>
          <xdr:colOff>495300</xdr:colOff>
          <xdr:row>201</xdr:row>
          <xdr:rowOff>47625</xdr:rowOff>
        </xdr:to>
        <xdr:sp macro="" textlink="">
          <xdr:nvSpPr>
            <xdr:cNvPr id="23554" name="Object 2" hidden="1">
              <a:extLst>
                <a:ext uri="{63B3BB69-23CF-44E3-9099-C40C66FF867C}">
                  <a14:compatExt spid="_x0000_s23554"/>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11</xdr:col>
      <xdr:colOff>266700</xdr:colOff>
      <xdr:row>463</xdr:row>
      <xdr:rowOff>114300</xdr:rowOff>
    </xdr:from>
    <xdr:to>
      <xdr:col>15</xdr:col>
      <xdr:colOff>393700</xdr:colOff>
      <xdr:row>472</xdr:row>
      <xdr:rowOff>63501</xdr:rowOff>
    </xdr:to>
    <xdr:pic>
      <xdr:nvPicPr>
        <xdr:cNvPr id="2" name="Picture 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976100" y="107556300"/>
          <a:ext cx="4953000" cy="16637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485775</xdr:colOff>
          <xdr:row>178</xdr:row>
          <xdr:rowOff>152400</xdr:rowOff>
        </xdr:from>
        <xdr:to>
          <xdr:col>21</xdr:col>
          <xdr:colOff>390525</xdr:colOff>
          <xdr:row>187</xdr:row>
          <xdr:rowOff>161925</xdr:rowOff>
        </xdr:to>
        <xdr:sp macro="" textlink="">
          <xdr:nvSpPr>
            <xdr:cNvPr id="24577" name="Object 1" hidden="1">
              <a:extLst>
                <a:ext uri="{63B3BB69-23CF-44E3-9099-C40C66FF867C}">
                  <a14:compatExt spid="_x0000_s24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485775</xdr:colOff>
          <xdr:row>191</xdr:row>
          <xdr:rowOff>104775</xdr:rowOff>
        </xdr:from>
        <xdr:to>
          <xdr:col>21</xdr:col>
          <xdr:colOff>447675</xdr:colOff>
          <xdr:row>200</xdr:row>
          <xdr:rowOff>123825</xdr:rowOff>
        </xdr:to>
        <xdr:sp macro="" textlink="">
          <xdr:nvSpPr>
            <xdr:cNvPr id="24578" name="Object 2" hidden="1">
              <a:extLst>
                <a:ext uri="{63B3BB69-23CF-44E3-9099-C40C66FF867C}">
                  <a14:compatExt spid="_x0000_s24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xdr:row>
          <xdr:rowOff>152400</xdr:rowOff>
        </xdr:from>
        <xdr:to>
          <xdr:col>10</xdr:col>
          <xdr:colOff>1028700</xdr:colOff>
          <xdr:row>11</xdr:row>
          <xdr:rowOff>171450</xdr:rowOff>
        </xdr:to>
        <xdr:sp macro="" textlink="">
          <xdr:nvSpPr>
            <xdr:cNvPr id="24579" name="Object 3" hidden="1">
              <a:extLst>
                <a:ext uri="{63B3BB69-23CF-44E3-9099-C40C66FF867C}">
                  <a14:compatExt spid="_x0000_s24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28</xdr:row>
          <xdr:rowOff>0</xdr:rowOff>
        </xdr:from>
        <xdr:to>
          <xdr:col>10</xdr:col>
          <xdr:colOff>1057275</xdr:colOff>
          <xdr:row>37</xdr:row>
          <xdr:rowOff>19050</xdr:rowOff>
        </xdr:to>
        <xdr:sp macro="" textlink="">
          <xdr:nvSpPr>
            <xdr:cNvPr id="24580" name="Object 4" hidden="1">
              <a:extLst>
                <a:ext uri="{63B3BB69-23CF-44E3-9099-C40C66FF867C}">
                  <a14:compatExt spid="_x0000_s24580"/>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11</xdr:col>
      <xdr:colOff>266700</xdr:colOff>
      <xdr:row>459</xdr:row>
      <xdr:rowOff>114300</xdr:rowOff>
    </xdr:from>
    <xdr:to>
      <xdr:col>14</xdr:col>
      <xdr:colOff>737053</xdr:colOff>
      <xdr:row>468</xdr:row>
      <xdr:rowOff>63501</xdr:rowOff>
    </xdr:to>
    <xdr:pic>
      <xdr:nvPicPr>
        <xdr:cNvPr id="2" name="Picture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976100" y="107556300"/>
          <a:ext cx="4038600" cy="16637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228600</xdr:colOff>
          <xdr:row>174</xdr:row>
          <xdr:rowOff>104775</xdr:rowOff>
        </xdr:from>
        <xdr:to>
          <xdr:col>21</xdr:col>
          <xdr:colOff>381000</xdr:colOff>
          <xdr:row>183</xdr:row>
          <xdr:rowOff>180975</xdr:rowOff>
        </xdr:to>
        <xdr:sp macro="" textlink="">
          <xdr:nvSpPr>
            <xdr:cNvPr id="25601" name="Object 1" hidden="1">
              <a:extLst>
                <a:ext uri="{63B3BB69-23CF-44E3-9099-C40C66FF867C}">
                  <a14:compatExt spid="_x0000_s25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371475</xdr:colOff>
          <xdr:row>187</xdr:row>
          <xdr:rowOff>123825</xdr:rowOff>
        </xdr:from>
        <xdr:to>
          <xdr:col>21</xdr:col>
          <xdr:colOff>190500</xdr:colOff>
          <xdr:row>197</xdr:row>
          <xdr:rowOff>28575</xdr:rowOff>
        </xdr:to>
        <xdr:sp macro="" textlink="">
          <xdr:nvSpPr>
            <xdr:cNvPr id="25602" name="Object 2" hidden="1">
              <a:extLst>
                <a:ext uri="{63B3BB69-23CF-44E3-9099-C40C66FF867C}">
                  <a14:compatExt spid="_x0000_s25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xdr:row>
          <xdr:rowOff>47625</xdr:rowOff>
        </xdr:from>
        <xdr:to>
          <xdr:col>11</xdr:col>
          <xdr:colOff>47625</xdr:colOff>
          <xdr:row>11</xdr:row>
          <xdr:rowOff>133350</xdr:rowOff>
        </xdr:to>
        <xdr:sp macro="" textlink="">
          <xdr:nvSpPr>
            <xdr:cNvPr id="25603" name="Object 3" hidden="1">
              <a:extLst>
                <a:ext uri="{63B3BB69-23CF-44E3-9099-C40C66FF867C}">
                  <a14:compatExt spid="_x0000_s25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26</xdr:row>
          <xdr:rowOff>104775</xdr:rowOff>
        </xdr:from>
        <xdr:to>
          <xdr:col>10</xdr:col>
          <xdr:colOff>904875</xdr:colOff>
          <xdr:row>36</xdr:row>
          <xdr:rowOff>0</xdr:rowOff>
        </xdr:to>
        <xdr:sp macro="" textlink="">
          <xdr:nvSpPr>
            <xdr:cNvPr id="25604" name="Object 4" hidden="1">
              <a:extLst>
                <a:ext uri="{63B3BB69-23CF-44E3-9099-C40C66FF867C}">
                  <a14:compatExt spid="_x0000_s25604"/>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11</xdr:col>
      <xdr:colOff>266700</xdr:colOff>
      <xdr:row>382</xdr:row>
      <xdr:rowOff>114300</xdr:rowOff>
    </xdr:from>
    <xdr:to>
      <xdr:col>13</xdr:col>
      <xdr:colOff>612776</xdr:colOff>
      <xdr:row>391</xdr:row>
      <xdr:rowOff>63500</xdr:rowOff>
    </xdr:to>
    <xdr:pic>
      <xdr:nvPicPr>
        <xdr:cNvPr id="2" name="Picture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1976100" y="107556300"/>
          <a:ext cx="3276600" cy="16637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638175</xdr:colOff>
          <xdr:row>98</xdr:row>
          <xdr:rowOff>38100</xdr:rowOff>
        </xdr:from>
        <xdr:to>
          <xdr:col>23</xdr:col>
          <xdr:colOff>161925</xdr:colOff>
          <xdr:row>110</xdr:row>
          <xdr:rowOff>142875</xdr:rowOff>
        </xdr:to>
        <xdr:sp macro="" textlink="">
          <xdr:nvSpPr>
            <xdr:cNvPr id="26625" name="Object 1" hidden="1">
              <a:extLst>
                <a:ext uri="{63B3BB69-23CF-44E3-9099-C40C66FF867C}">
                  <a14:compatExt spid="_x0000_s26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1</xdr:row>
          <xdr:rowOff>95250</xdr:rowOff>
        </xdr:from>
        <xdr:to>
          <xdr:col>12</xdr:col>
          <xdr:colOff>571500</xdr:colOff>
          <xdr:row>14</xdr:row>
          <xdr:rowOff>19050</xdr:rowOff>
        </xdr:to>
        <xdr:sp macro="" textlink="">
          <xdr:nvSpPr>
            <xdr:cNvPr id="26626" name="Object 2" hidden="1">
              <a:extLst>
                <a:ext uri="{63B3BB69-23CF-44E3-9099-C40C66FF867C}">
                  <a14:compatExt spid="_x0000_s26626"/>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11</xdr:col>
      <xdr:colOff>266700</xdr:colOff>
      <xdr:row>378</xdr:row>
      <xdr:rowOff>114300</xdr:rowOff>
    </xdr:from>
    <xdr:to>
      <xdr:col>14</xdr:col>
      <xdr:colOff>3290</xdr:colOff>
      <xdr:row>387</xdr:row>
      <xdr:rowOff>63501</xdr:rowOff>
    </xdr:to>
    <xdr:pic>
      <xdr:nvPicPr>
        <xdr:cNvPr id="2" name="Picture 1">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1976100" y="107556300"/>
          <a:ext cx="3276600" cy="16637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371475</xdr:colOff>
          <xdr:row>93</xdr:row>
          <xdr:rowOff>142875</xdr:rowOff>
        </xdr:from>
        <xdr:to>
          <xdr:col>20</xdr:col>
          <xdr:colOff>333375</xdr:colOff>
          <xdr:row>105</xdr:row>
          <xdr:rowOff>104775</xdr:rowOff>
        </xdr:to>
        <xdr:sp macro="" textlink="">
          <xdr:nvSpPr>
            <xdr:cNvPr id="27651" name="Object 3" hidden="1">
              <a:extLst>
                <a:ext uri="{63B3BB69-23CF-44E3-9099-C40C66FF867C}">
                  <a14:compatExt spid="_x0000_s27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1</xdr:row>
          <xdr:rowOff>104775</xdr:rowOff>
        </xdr:from>
        <xdr:to>
          <xdr:col>10</xdr:col>
          <xdr:colOff>571500</xdr:colOff>
          <xdr:row>13</xdr:row>
          <xdr:rowOff>76200</xdr:rowOff>
        </xdr:to>
        <xdr:sp macro="" textlink="">
          <xdr:nvSpPr>
            <xdr:cNvPr id="27652" name="Object 4" hidden="1">
              <a:extLst>
                <a:ext uri="{63B3BB69-23CF-44E3-9099-C40C66FF867C}">
                  <a14:compatExt spid="_x0000_s27652"/>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11</xdr:col>
      <xdr:colOff>266700</xdr:colOff>
      <xdr:row>481</xdr:row>
      <xdr:rowOff>114300</xdr:rowOff>
    </xdr:from>
    <xdr:to>
      <xdr:col>14</xdr:col>
      <xdr:colOff>220435</xdr:colOff>
      <xdr:row>490</xdr:row>
      <xdr:rowOff>63501</xdr:rowOff>
    </xdr:to>
    <xdr:pic>
      <xdr:nvPicPr>
        <xdr:cNvPr id="2" name="Picture 1">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11976100" y="107556300"/>
          <a:ext cx="3276600" cy="1663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5.bin"/><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4.bin"/><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oleObject" Target="../embeddings/oleObject6.bin"/><Relationship Id="rId4" Type="http://schemas.openxmlformats.org/officeDocument/2006/relationships/oleObject" Target="../embeddings/oleObject3.bin"/><Relationship Id="rId9" Type="http://schemas.openxmlformats.org/officeDocument/2006/relationships/image" Target="../media/image5.emf"/></Relationships>
</file>

<file path=xl/worksheets/_rels/sheet3.xml.rels><?xml version="1.0" encoding="UTF-8" standalone="yes"?>
<Relationships xmlns="http://schemas.openxmlformats.org/package/2006/relationships"><Relationship Id="rId8" Type="http://schemas.openxmlformats.org/officeDocument/2006/relationships/oleObject" Target="../embeddings/oleObject9.bin"/><Relationship Id="rId3" Type="http://schemas.openxmlformats.org/officeDocument/2006/relationships/vmlDrawing" Target="../drawings/vmlDrawing3.vml"/><Relationship Id="rId7" Type="http://schemas.openxmlformats.org/officeDocument/2006/relationships/image" Target="../media/image8.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oleObject8.bin"/><Relationship Id="rId5" Type="http://schemas.openxmlformats.org/officeDocument/2006/relationships/image" Target="../media/image7.emf"/><Relationship Id="rId4" Type="http://schemas.openxmlformats.org/officeDocument/2006/relationships/oleObject" Target="../embeddings/oleObject7.bin"/><Relationship Id="rId9" Type="http://schemas.openxmlformats.org/officeDocument/2006/relationships/oleObject" Target="../embeddings/oleObject10.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10.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oleObject" Target="../embeddings/oleObject12.bin"/><Relationship Id="rId5" Type="http://schemas.openxmlformats.org/officeDocument/2006/relationships/image" Target="../media/image9.emf"/><Relationship Id="rId4" Type="http://schemas.openxmlformats.org/officeDocument/2006/relationships/oleObject" Target="../embeddings/oleObject11.bin"/></Relationships>
</file>

<file path=xl/worksheets/_rels/sheet5.xml.rels><?xml version="1.0" encoding="UTF-8" standalone="yes"?>
<Relationships xmlns="http://schemas.openxmlformats.org/package/2006/relationships"><Relationship Id="rId8" Type="http://schemas.openxmlformats.org/officeDocument/2006/relationships/oleObject" Target="../embeddings/oleObject15.bin"/><Relationship Id="rId3" Type="http://schemas.openxmlformats.org/officeDocument/2006/relationships/vmlDrawing" Target="../drawings/vmlDrawing5.vml"/><Relationship Id="rId7" Type="http://schemas.openxmlformats.org/officeDocument/2006/relationships/image" Target="../media/image15.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oleObject" Target="../embeddings/oleObject14.bin"/><Relationship Id="rId11" Type="http://schemas.openxmlformats.org/officeDocument/2006/relationships/image" Target="../media/image17.emf"/><Relationship Id="rId5" Type="http://schemas.openxmlformats.org/officeDocument/2006/relationships/image" Target="../media/image14.emf"/><Relationship Id="rId10" Type="http://schemas.openxmlformats.org/officeDocument/2006/relationships/oleObject" Target="../embeddings/oleObject16.bin"/><Relationship Id="rId4" Type="http://schemas.openxmlformats.org/officeDocument/2006/relationships/oleObject" Target="../embeddings/oleObject13.bin"/><Relationship Id="rId9" Type="http://schemas.openxmlformats.org/officeDocument/2006/relationships/image" Target="../media/image16.emf"/></Relationships>
</file>

<file path=xl/worksheets/_rels/sheet6.xml.rels><?xml version="1.0" encoding="UTF-8" standalone="yes"?>
<Relationships xmlns="http://schemas.openxmlformats.org/package/2006/relationships"><Relationship Id="rId8" Type="http://schemas.openxmlformats.org/officeDocument/2006/relationships/oleObject" Target="../embeddings/oleObject19.bin"/><Relationship Id="rId3" Type="http://schemas.openxmlformats.org/officeDocument/2006/relationships/vmlDrawing" Target="../drawings/vmlDrawing6.vml"/><Relationship Id="rId7" Type="http://schemas.openxmlformats.org/officeDocument/2006/relationships/image" Target="../media/image19.emf"/><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oleObject" Target="../embeddings/oleObject18.bin"/><Relationship Id="rId11" Type="http://schemas.openxmlformats.org/officeDocument/2006/relationships/image" Target="../media/image21.emf"/><Relationship Id="rId5" Type="http://schemas.openxmlformats.org/officeDocument/2006/relationships/image" Target="../media/image18.emf"/><Relationship Id="rId10" Type="http://schemas.openxmlformats.org/officeDocument/2006/relationships/oleObject" Target="../embeddings/oleObject20.bin"/><Relationship Id="rId4" Type="http://schemas.openxmlformats.org/officeDocument/2006/relationships/oleObject" Target="../embeddings/oleObject17.bin"/><Relationship Id="rId9" Type="http://schemas.openxmlformats.org/officeDocument/2006/relationships/image" Target="../media/image20.emf"/></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image" Target="../media/image23.emf"/><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oleObject" Target="../embeddings/oleObject22.bin"/><Relationship Id="rId5" Type="http://schemas.openxmlformats.org/officeDocument/2006/relationships/image" Target="../media/image22.emf"/><Relationship Id="rId4" Type="http://schemas.openxmlformats.org/officeDocument/2006/relationships/oleObject" Target="../embeddings/oleObject2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image" Target="../media/image25.emf"/><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oleObject" Target="../embeddings/oleObject24.bin"/><Relationship Id="rId5" Type="http://schemas.openxmlformats.org/officeDocument/2006/relationships/image" Target="../media/image24.emf"/><Relationship Id="rId4" Type="http://schemas.openxmlformats.org/officeDocument/2006/relationships/oleObject" Target="../embeddings/oleObject2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pageSetUpPr fitToPage="1"/>
  </sheetPr>
  <dimension ref="A1:AM212"/>
  <sheetViews>
    <sheetView zoomScale="73" zoomScaleNormal="73" workbookViewId="0">
      <selection activeCell="R161" sqref="R161"/>
    </sheetView>
  </sheetViews>
  <sheetFormatPr defaultColWidth="8.85546875" defaultRowHeight="15" x14ac:dyDescent="0.25"/>
  <cols>
    <col min="1" max="1" width="13.42578125" customWidth="1"/>
    <col min="2" max="2" width="41.140625" bestFit="1" customWidth="1"/>
    <col min="3" max="3" width="10.140625" style="38" customWidth="1"/>
    <col min="4" max="4" width="15.85546875" style="38" bestFit="1" customWidth="1"/>
    <col min="5" max="5" width="7.85546875" style="38" bestFit="1" customWidth="1"/>
    <col min="6" max="6" width="9.28515625" bestFit="1" customWidth="1"/>
    <col min="7" max="7" width="11" bestFit="1" customWidth="1"/>
    <col min="8" max="8" width="8.7109375" customWidth="1"/>
    <col min="9" max="9" width="11.42578125" bestFit="1" customWidth="1"/>
    <col min="10" max="10" width="17.28515625" bestFit="1" customWidth="1"/>
    <col min="11" max="11" width="9.7109375" customWidth="1"/>
    <col min="12" max="12" width="11.85546875" customWidth="1"/>
    <col min="13" max="13" width="12.42578125" customWidth="1"/>
    <col min="14" max="14" width="11" customWidth="1"/>
    <col min="15" max="15" width="13.28515625" customWidth="1"/>
    <col min="16" max="16" width="12.140625" bestFit="1" customWidth="1"/>
    <col min="17" max="17" width="10.140625" customWidth="1"/>
    <col min="18" max="18" width="10.28515625" bestFit="1" customWidth="1"/>
    <col min="19" max="19" width="12.28515625" customWidth="1"/>
    <col min="20" max="20" width="10.28515625" customWidth="1"/>
    <col min="21" max="21" width="12.140625" customWidth="1"/>
  </cols>
  <sheetData>
    <row r="1" spans="1:39" s="29" customFormat="1" ht="14.45" x14ac:dyDescent="0.3">
      <c r="A1" s="28" t="s">
        <v>107</v>
      </c>
      <c r="C1" s="30"/>
      <c r="D1" s="30"/>
      <c r="E1" s="30"/>
    </row>
    <row r="3" spans="1:39" x14ac:dyDescent="0.25">
      <c r="B3" s="41" t="s">
        <v>173</v>
      </c>
      <c r="C3" s="192"/>
      <c r="D3" s="192"/>
      <c r="E3" s="192"/>
      <c r="F3" s="192"/>
      <c r="G3" s="192"/>
      <c r="H3" s="192"/>
      <c r="I3" s="192"/>
      <c r="J3" s="192"/>
      <c r="K3" s="192"/>
      <c r="L3" s="192"/>
      <c r="N3" s="190" t="s">
        <v>118</v>
      </c>
      <c r="O3" s="190"/>
      <c r="P3" s="190"/>
      <c r="Q3" s="190"/>
      <c r="R3" s="190"/>
      <c r="S3" s="190"/>
      <c r="T3" s="190"/>
      <c r="U3" s="190"/>
      <c r="V3" s="190"/>
      <c r="W3" s="190"/>
      <c r="X3" s="190"/>
      <c r="Y3" s="190"/>
      <c r="Z3" s="190"/>
      <c r="AA3" s="190"/>
      <c r="AB3" s="190"/>
      <c r="AC3" s="190"/>
      <c r="AD3" s="190"/>
      <c r="AE3" s="190"/>
      <c r="AF3" s="190"/>
      <c r="AG3" s="190"/>
      <c r="AH3" s="87"/>
      <c r="AI3" s="87"/>
      <c r="AJ3" s="87"/>
      <c r="AK3" s="87"/>
      <c r="AL3" s="87"/>
      <c r="AM3" s="87"/>
    </row>
    <row r="4" spans="1:39" x14ac:dyDescent="0.25">
      <c r="B4" s="110" t="s">
        <v>36</v>
      </c>
      <c r="C4" s="192"/>
      <c r="D4" s="192"/>
      <c r="E4" s="192"/>
      <c r="F4" s="192"/>
      <c r="G4" s="192"/>
      <c r="H4" s="192"/>
      <c r="I4" s="192"/>
      <c r="J4" s="192"/>
      <c r="K4" s="192"/>
      <c r="L4" s="192"/>
      <c r="N4" s="190"/>
      <c r="O4" s="190"/>
      <c r="P4" s="190"/>
      <c r="Q4" s="190"/>
      <c r="R4" s="190"/>
      <c r="S4" s="190"/>
      <c r="T4" s="190"/>
      <c r="U4" s="190"/>
      <c r="V4" s="190"/>
      <c r="W4" s="190"/>
      <c r="X4" s="190"/>
      <c r="Y4" s="190"/>
      <c r="Z4" s="190"/>
      <c r="AA4" s="190"/>
      <c r="AB4" s="190"/>
      <c r="AC4" s="190"/>
      <c r="AD4" s="190"/>
      <c r="AE4" s="190"/>
      <c r="AF4" s="190"/>
      <c r="AG4" s="190"/>
      <c r="AH4" s="87"/>
      <c r="AI4" s="87"/>
      <c r="AJ4" s="87"/>
      <c r="AK4" s="87"/>
      <c r="AL4" s="87"/>
      <c r="AM4" s="87"/>
    </row>
    <row r="5" spans="1:39" x14ac:dyDescent="0.25">
      <c r="B5" s="52"/>
      <c r="C5" s="192"/>
      <c r="D5" s="192"/>
      <c r="E5" s="192"/>
      <c r="F5" s="192"/>
      <c r="G5" s="192"/>
      <c r="H5" s="192"/>
      <c r="I5" s="192"/>
      <c r="J5" s="192"/>
      <c r="K5" s="192"/>
      <c r="L5" s="192"/>
      <c r="N5" s="190"/>
      <c r="O5" s="190"/>
      <c r="P5" s="190"/>
      <c r="Q5" s="190"/>
      <c r="R5" s="190"/>
      <c r="S5" s="190"/>
      <c r="T5" s="190"/>
      <c r="U5" s="190"/>
      <c r="V5" s="190"/>
      <c r="W5" s="190"/>
      <c r="X5" s="190"/>
      <c r="Y5" s="190"/>
      <c r="Z5" s="190"/>
      <c r="AA5" s="190"/>
      <c r="AB5" s="190"/>
      <c r="AC5" s="190"/>
      <c r="AD5" s="190"/>
      <c r="AE5" s="190"/>
      <c r="AF5" s="190"/>
      <c r="AG5" s="190"/>
      <c r="AH5" s="87"/>
      <c r="AI5" s="87"/>
      <c r="AJ5" s="87"/>
      <c r="AK5" s="87"/>
      <c r="AL5" s="87"/>
      <c r="AM5" s="87"/>
    </row>
    <row r="6" spans="1:39" x14ac:dyDescent="0.25">
      <c r="C6" s="192"/>
      <c r="D6" s="192"/>
      <c r="E6" s="192"/>
      <c r="F6" s="192"/>
      <c r="G6" s="192"/>
      <c r="H6" s="192"/>
      <c r="I6" s="192"/>
      <c r="J6" s="192"/>
      <c r="K6" s="192"/>
      <c r="L6" s="192"/>
      <c r="N6" s="190"/>
      <c r="O6" s="190"/>
      <c r="P6" s="190"/>
      <c r="Q6" s="190"/>
      <c r="R6" s="190"/>
      <c r="S6" s="190"/>
      <c r="T6" s="190"/>
      <c r="U6" s="190"/>
      <c r="V6" s="190"/>
      <c r="W6" s="190"/>
      <c r="X6" s="190"/>
      <c r="Y6" s="190"/>
      <c r="Z6" s="190"/>
      <c r="AA6" s="190"/>
      <c r="AB6" s="190"/>
      <c r="AC6" s="190"/>
      <c r="AD6" s="190"/>
      <c r="AE6" s="190"/>
      <c r="AF6" s="190"/>
      <c r="AG6" s="190"/>
      <c r="AH6" s="87"/>
      <c r="AI6" s="87"/>
      <c r="AJ6" s="87"/>
      <c r="AK6" s="87"/>
      <c r="AL6" s="87"/>
      <c r="AM6" s="87"/>
    </row>
    <row r="7" spans="1:39" x14ac:dyDescent="0.25">
      <c r="C7" s="192"/>
      <c r="D7" s="192"/>
      <c r="E7" s="192"/>
      <c r="F7" s="192"/>
      <c r="G7" s="192"/>
      <c r="H7" s="192"/>
      <c r="I7" s="192"/>
      <c r="J7" s="192"/>
      <c r="K7" s="192"/>
      <c r="L7" s="192"/>
      <c r="N7" s="190"/>
      <c r="O7" s="190"/>
      <c r="P7" s="190"/>
      <c r="Q7" s="190"/>
      <c r="R7" s="190"/>
      <c r="S7" s="190"/>
      <c r="T7" s="190"/>
      <c r="U7" s="190"/>
      <c r="V7" s="190"/>
      <c r="W7" s="190"/>
      <c r="X7" s="190"/>
      <c r="Y7" s="190"/>
      <c r="Z7" s="190"/>
      <c r="AA7" s="190"/>
      <c r="AB7" s="190"/>
      <c r="AC7" s="190"/>
      <c r="AD7" s="190"/>
      <c r="AE7" s="190"/>
      <c r="AF7" s="190"/>
      <c r="AG7" s="190"/>
      <c r="AH7" s="87"/>
      <c r="AI7" s="87"/>
      <c r="AJ7" s="87"/>
      <c r="AK7" s="87"/>
      <c r="AL7" s="87"/>
      <c r="AM7" s="87"/>
    </row>
    <row r="8" spans="1:39" x14ac:dyDescent="0.25">
      <c r="C8" s="192"/>
      <c r="D8" s="192"/>
      <c r="E8" s="192"/>
      <c r="F8" s="192"/>
      <c r="G8" s="192"/>
      <c r="H8" s="192"/>
      <c r="I8" s="192"/>
      <c r="J8" s="192"/>
      <c r="K8" s="192"/>
      <c r="L8" s="192"/>
      <c r="N8" s="190"/>
      <c r="O8" s="190"/>
      <c r="P8" s="190"/>
      <c r="Q8" s="190"/>
      <c r="R8" s="190"/>
      <c r="S8" s="190"/>
      <c r="T8" s="190"/>
      <c r="U8" s="190"/>
      <c r="V8" s="190"/>
      <c r="W8" s="190"/>
      <c r="X8" s="190"/>
      <c r="Y8" s="190"/>
      <c r="Z8" s="190"/>
      <c r="AA8" s="190"/>
      <c r="AB8" s="190"/>
      <c r="AC8" s="190"/>
      <c r="AD8" s="190"/>
      <c r="AE8" s="190"/>
      <c r="AF8" s="190"/>
      <c r="AG8" s="190"/>
      <c r="AH8" s="87"/>
      <c r="AI8" s="87"/>
      <c r="AJ8" s="87"/>
      <c r="AK8" s="87"/>
      <c r="AL8" s="87"/>
      <c r="AM8" s="87"/>
    </row>
    <row r="9" spans="1:39" x14ac:dyDescent="0.25">
      <c r="C9" s="192"/>
      <c r="D9" s="192"/>
      <c r="E9" s="192"/>
      <c r="F9" s="192"/>
      <c r="G9" s="192"/>
      <c r="H9" s="192"/>
      <c r="I9" s="192"/>
      <c r="J9" s="192"/>
      <c r="K9" s="192"/>
      <c r="L9" s="192"/>
      <c r="N9" s="190"/>
      <c r="O9" s="190"/>
      <c r="P9" s="190"/>
      <c r="Q9" s="190"/>
      <c r="R9" s="190"/>
      <c r="S9" s="190"/>
      <c r="T9" s="190"/>
      <c r="U9" s="190"/>
      <c r="V9" s="190"/>
      <c r="W9" s="190"/>
      <c r="X9" s="190"/>
      <c r="Y9" s="190"/>
      <c r="Z9" s="190"/>
      <c r="AA9" s="190"/>
      <c r="AB9" s="190"/>
      <c r="AC9" s="190"/>
      <c r="AD9" s="190"/>
      <c r="AE9" s="190"/>
      <c r="AF9" s="190"/>
      <c r="AG9" s="190"/>
      <c r="AH9" s="87"/>
      <c r="AI9" s="87"/>
      <c r="AJ9" s="87"/>
      <c r="AK9" s="87"/>
      <c r="AL9" s="87"/>
      <c r="AM9" s="87"/>
    </row>
    <row r="10" spans="1:39" x14ac:dyDescent="0.25">
      <c r="C10" s="192"/>
      <c r="D10" s="192"/>
      <c r="E10" s="192"/>
      <c r="F10" s="192"/>
      <c r="G10" s="192"/>
      <c r="H10" s="192"/>
      <c r="I10" s="192"/>
      <c r="J10" s="192"/>
      <c r="K10" s="192"/>
      <c r="L10" s="192"/>
      <c r="N10" s="190"/>
      <c r="O10" s="190"/>
      <c r="P10" s="190"/>
      <c r="Q10" s="190"/>
      <c r="R10" s="190"/>
      <c r="S10" s="190"/>
      <c r="T10" s="190"/>
      <c r="U10" s="190"/>
      <c r="V10" s="190"/>
      <c r="W10" s="190"/>
      <c r="X10" s="190"/>
      <c r="Y10" s="190"/>
      <c r="Z10" s="190"/>
      <c r="AA10" s="190"/>
      <c r="AB10" s="190"/>
      <c r="AC10" s="190"/>
      <c r="AD10" s="190"/>
      <c r="AE10" s="190"/>
      <c r="AF10" s="190"/>
      <c r="AG10" s="190"/>
      <c r="AH10" s="87"/>
      <c r="AI10" s="87"/>
      <c r="AJ10" s="87"/>
      <c r="AK10" s="87"/>
      <c r="AL10" s="87"/>
      <c r="AM10" s="87"/>
    </row>
    <row r="11" spans="1:39" x14ac:dyDescent="0.25">
      <c r="C11" s="192"/>
      <c r="D11" s="192"/>
      <c r="E11" s="192"/>
      <c r="F11" s="192"/>
      <c r="G11" s="192"/>
      <c r="H11" s="192"/>
      <c r="I11" s="192"/>
      <c r="J11" s="192"/>
      <c r="K11" s="192"/>
      <c r="L11" s="192"/>
      <c r="N11" s="190"/>
      <c r="O11" s="190"/>
      <c r="P11" s="190"/>
      <c r="Q11" s="190"/>
      <c r="R11" s="190"/>
      <c r="S11" s="190"/>
      <c r="T11" s="190"/>
      <c r="U11" s="190"/>
      <c r="V11" s="190"/>
      <c r="W11" s="190"/>
      <c r="X11" s="190"/>
      <c r="Y11" s="190"/>
      <c r="Z11" s="190"/>
      <c r="AA11" s="190"/>
      <c r="AB11" s="190"/>
      <c r="AC11" s="190"/>
      <c r="AD11" s="190"/>
      <c r="AE11" s="190"/>
      <c r="AF11" s="190"/>
      <c r="AG11" s="190"/>
      <c r="AH11" s="87"/>
      <c r="AI11" s="87"/>
      <c r="AJ11" s="87"/>
      <c r="AK11" s="87"/>
      <c r="AL11" s="87"/>
      <c r="AM11" s="87"/>
    </row>
    <row r="12" spans="1:39" x14ac:dyDescent="0.25">
      <c r="C12" s="192"/>
      <c r="D12" s="192"/>
      <c r="E12" s="192"/>
      <c r="F12" s="192"/>
      <c r="G12" s="192"/>
      <c r="H12" s="192"/>
      <c r="I12" s="192"/>
      <c r="J12" s="192"/>
      <c r="K12" s="192"/>
      <c r="L12" s="192"/>
      <c r="N12" s="54"/>
      <c r="O12" s="54"/>
      <c r="P12" s="54"/>
      <c r="Q12" s="54"/>
      <c r="R12" s="54"/>
      <c r="S12" s="54"/>
      <c r="T12" s="54"/>
      <c r="U12" s="54"/>
      <c r="V12" s="54"/>
      <c r="W12" s="54"/>
    </row>
    <row r="13" spans="1:39" ht="14.45" x14ac:dyDescent="0.3">
      <c r="B13" s="6" t="s">
        <v>26</v>
      </c>
    </row>
    <row r="14" spans="1:39" ht="30.6" x14ac:dyDescent="0.3">
      <c r="B14" s="17" t="s">
        <v>14</v>
      </c>
      <c r="C14" s="20" t="s">
        <v>21</v>
      </c>
      <c r="D14" s="20" t="s">
        <v>94</v>
      </c>
      <c r="E14" s="17" t="s">
        <v>13</v>
      </c>
      <c r="F14" s="17" t="s">
        <v>15</v>
      </c>
      <c r="G14" s="18" t="s">
        <v>1</v>
      </c>
      <c r="H14" s="19" t="s">
        <v>25</v>
      </c>
      <c r="I14" s="17" t="s">
        <v>2</v>
      </c>
      <c r="J14" s="20" t="s">
        <v>94</v>
      </c>
      <c r="K14" s="20" t="s">
        <v>22</v>
      </c>
      <c r="L14" s="19" t="s">
        <v>8</v>
      </c>
      <c r="M14" s="19" t="s">
        <v>16</v>
      </c>
      <c r="N14" s="19" t="s">
        <v>17</v>
      </c>
      <c r="O14" s="19" t="s">
        <v>18</v>
      </c>
      <c r="P14" s="20" t="s">
        <v>10</v>
      </c>
      <c r="Q14" s="20" t="s">
        <v>23</v>
      </c>
      <c r="R14" s="19" t="s">
        <v>9</v>
      </c>
      <c r="S14" s="19" t="s">
        <v>19</v>
      </c>
      <c r="T14" s="19" t="s">
        <v>20</v>
      </c>
      <c r="U14" s="19" t="s">
        <v>24</v>
      </c>
    </row>
    <row r="15" spans="1:39" ht="14.45" x14ac:dyDescent="0.3">
      <c r="B15" s="176" t="s">
        <v>113</v>
      </c>
      <c r="C15" s="8">
        <v>52.4</v>
      </c>
      <c r="D15" s="8">
        <v>446.59</v>
      </c>
      <c r="E15" s="8">
        <v>1</v>
      </c>
      <c r="F15" s="11">
        <f>C15/D15</f>
        <v>0.11733357218029961</v>
      </c>
      <c r="G15" s="7"/>
      <c r="H15" s="7"/>
      <c r="I15" s="8" t="s">
        <v>37</v>
      </c>
      <c r="J15" s="8">
        <v>118.96</v>
      </c>
      <c r="K15" s="21">
        <f>(F15*1.25)*J15</f>
        <v>17.447502183210549</v>
      </c>
      <c r="L15" s="7" t="s">
        <v>27</v>
      </c>
      <c r="M15" s="44">
        <v>400</v>
      </c>
      <c r="N15" s="42">
        <v>0.88300000000000001</v>
      </c>
      <c r="O15" s="11">
        <f>M15*N15</f>
        <v>353.2</v>
      </c>
      <c r="P15" s="8"/>
      <c r="Q15" s="8"/>
      <c r="R15" s="7"/>
      <c r="S15" s="7"/>
      <c r="T15" s="7"/>
      <c r="U15" s="11">
        <f>S15*T15</f>
        <v>0</v>
      </c>
    </row>
    <row r="16" spans="1:39" ht="14.45" x14ac:dyDescent="0.3">
      <c r="B16" s="8" t="s">
        <v>114</v>
      </c>
      <c r="C16" s="8">
        <v>25.8</v>
      </c>
      <c r="D16" s="8">
        <v>200.24</v>
      </c>
      <c r="E16" s="8">
        <v>1.1000000000000001</v>
      </c>
      <c r="F16" s="11">
        <f>C16/D16</f>
        <v>0.12884538553735517</v>
      </c>
      <c r="G16" s="1"/>
      <c r="H16" s="1"/>
      <c r="I16" s="25" t="s">
        <v>39</v>
      </c>
      <c r="J16" s="26">
        <v>68.03</v>
      </c>
      <c r="K16" s="21">
        <f>(F15*3.3)*J16</f>
        <v>26.341269620905077</v>
      </c>
      <c r="L16" s="42" t="s">
        <v>38</v>
      </c>
      <c r="M16" s="45">
        <v>180</v>
      </c>
      <c r="N16" s="1">
        <v>0.94499999999999995</v>
      </c>
      <c r="O16" s="11">
        <f>M16*N16</f>
        <v>170.1</v>
      </c>
      <c r="P16" s="8"/>
      <c r="Q16" s="8"/>
      <c r="R16" s="7"/>
      <c r="S16" s="7"/>
      <c r="T16" s="7"/>
      <c r="U16" s="11">
        <f t="shared" ref="U16:U17" si="0">S16*T16</f>
        <v>0</v>
      </c>
    </row>
    <row r="17" spans="2:33" ht="14.45" x14ac:dyDescent="0.3">
      <c r="B17" s="8"/>
      <c r="C17" s="8"/>
      <c r="D17" s="8"/>
      <c r="E17" s="8"/>
      <c r="F17" s="10"/>
      <c r="G17" s="1"/>
      <c r="H17" s="1"/>
      <c r="I17" s="25"/>
      <c r="J17" s="26"/>
      <c r="K17" s="46"/>
      <c r="L17" s="42" t="s">
        <v>40</v>
      </c>
      <c r="M17" s="45">
        <v>590</v>
      </c>
      <c r="N17" s="1">
        <v>0.89500000000000002</v>
      </c>
      <c r="O17" s="11">
        <f t="shared" ref="O17" si="1">M17*N17</f>
        <v>528.04999999999995</v>
      </c>
      <c r="P17" s="8"/>
      <c r="Q17" s="8"/>
      <c r="R17" s="7"/>
      <c r="S17" s="7"/>
      <c r="T17" s="7"/>
      <c r="U17" s="11">
        <f t="shared" si="0"/>
        <v>0</v>
      </c>
    </row>
    <row r="18" spans="2:33" ht="14.45" x14ac:dyDescent="0.3">
      <c r="B18" s="10" t="s">
        <v>4</v>
      </c>
      <c r="C18" s="11">
        <f>SUM(C15:C16)</f>
        <v>78.2</v>
      </c>
      <c r="D18" s="11">
        <f>SUM(D15:D16)</f>
        <v>646.82999999999993</v>
      </c>
      <c r="E18" s="10"/>
      <c r="F18" s="165">
        <f>SUM(F15:F16)</f>
        <v>0.24617895771765477</v>
      </c>
      <c r="H18" s="23">
        <f>SUM(H15:H16)</f>
        <v>0</v>
      </c>
      <c r="K18" s="166">
        <f>SUM(K15:K17)</f>
        <v>43.788771804115626</v>
      </c>
      <c r="M18" s="89">
        <f>SUM(M15:M17)</f>
        <v>1170</v>
      </c>
      <c r="O18" s="23">
        <f>SUM(O15:O17)</f>
        <v>1051.3499999999999</v>
      </c>
      <c r="Q18" s="23">
        <f>SUM(Q15:Q17)</f>
        <v>0</v>
      </c>
      <c r="U18" s="23">
        <f>SUM(U15:U17)</f>
        <v>0</v>
      </c>
    </row>
    <row r="19" spans="2:33" ht="14.45" x14ac:dyDescent="0.3">
      <c r="B19" s="4"/>
      <c r="C19" s="3"/>
      <c r="D19" s="3"/>
      <c r="E19" s="3"/>
      <c r="F19" s="4"/>
      <c r="G19" s="4"/>
      <c r="H19" s="4"/>
      <c r="L19" s="49"/>
      <c r="M19" s="4"/>
      <c r="N19" s="4"/>
      <c r="O19" s="4"/>
      <c r="P19" s="4"/>
      <c r="Q19" s="4"/>
      <c r="R19" s="4"/>
      <c r="S19" s="4"/>
      <c r="T19" s="4"/>
      <c r="U19" s="4"/>
    </row>
    <row r="20" spans="2:33" ht="14.45" x14ac:dyDescent="0.3">
      <c r="B20" s="4"/>
      <c r="C20" s="3"/>
      <c r="D20" s="3"/>
      <c r="E20" s="3"/>
      <c r="F20" s="4"/>
      <c r="G20" s="4"/>
      <c r="J20" s="162" t="s">
        <v>133</v>
      </c>
      <c r="K20" s="96">
        <f>(S22/F15)*100</f>
        <v>92.097476075917555</v>
      </c>
      <c r="L20" s="49"/>
      <c r="N20" s="4"/>
      <c r="O20" s="4"/>
      <c r="P20" s="4"/>
      <c r="Q20" s="4"/>
      <c r="R20" s="4"/>
    </row>
    <row r="21" spans="2:33" ht="14.45" x14ac:dyDescent="0.3">
      <c r="B21" s="4"/>
      <c r="C21" s="3"/>
      <c r="D21" s="3"/>
      <c r="E21" s="3"/>
      <c r="F21" s="4"/>
      <c r="G21" s="4"/>
      <c r="J21" s="159" t="s">
        <v>134</v>
      </c>
      <c r="K21" s="97">
        <f>(R22/(D18)*100)</f>
        <v>97.214105715566689</v>
      </c>
      <c r="L21" s="49"/>
      <c r="Q21" s="5" t="s">
        <v>11</v>
      </c>
      <c r="R21" s="5" t="s">
        <v>12</v>
      </c>
      <c r="S21" s="5" t="s">
        <v>0</v>
      </c>
    </row>
    <row r="22" spans="2:33" ht="14.45" x14ac:dyDescent="0.3">
      <c r="B22" s="4"/>
      <c r="C22" s="3"/>
      <c r="D22" s="3"/>
      <c r="E22" s="3"/>
      <c r="F22" s="4"/>
      <c r="G22" s="4"/>
      <c r="J22" s="162" t="s">
        <v>135</v>
      </c>
      <c r="K22" s="96">
        <f>(Q22/C18)*100</f>
        <v>86.892583120204606</v>
      </c>
      <c r="O22" s="4"/>
      <c r="P22" s="5" t="s">
        <v>3</v>
      </c>
      <c r="Q22" s="9">
        <v>67.95</v>
      </c>
      <c r="R22" s="9">
        <v>628.80999999999995</v>
      </c>
      <c r="S22" s="22">
        <f>Q22/R22</f>
        <v>0.10806125856777088</v>
      </c>
    </row>
    <row r="23" spans="2:33" ht="16.149999999999999" x14ac:dyDescent="0.3">
      <c r="B23" s="4"/>
      <c r="C23" s="3"/>
      <c r="D23" s="3"/>
      <c r="E23" s="3"/>
      <c r="F23" s="4"/>
      <c r="G23" s="4"/>
      <c r="J23" s="159" t="s">
        <v>136</v>
      </c>
      <c r="K23" s="13">
        <f>(C18+H18+K18+O18+Q18+U18)/Q22</f>
        <v>17.267678760914137</v>
      </c>
      <c r="N23" s="4"/>
      <c r="O23" s="4"/>
      <c r="R23" s="38"/>
      <c r="S23" s="3"/>
    </row>
    <row r="24" spans="2:33" ht="16.149999999999999" x14ac:dyDescent="0.3">
      <c r="B24" s="4"/>
      <c r="C24" s="3"/>
      <c r="D24" s="3"/>
      <c r="E24" s="3"/>
      <c r="F24" s="4"/>
      <c r="G24" s="4"/>
      <c r="H24" s="4"/>
      <c r="J24" s="163" t="s">
        <v>137</v>
      </c>
      <c r="K24" s="15">
        <f>(C18+H18+K18)/Q22</f>
        <v>1.7952725798986846</v>
      </c>
      <c r="L24" s="156"/>
      <c r="N24" s="4"/>
      <c r="O24" s="4"/>
      <c r="R24" s="4"/>
    </row>
    <row r="25" spans="2:33" ht="16.149999999999999" x14ac:dyDescent="0.3">
      <c r="B25" s="4"/>
      <c r="C25" s="3"/>
      <c r="D25" s="3"/>
      <c r="E25" s="3"/>
      <c r="F25" s="4"/>
      <c r="G25" s="4"/>
      <c r="H25" s="4"/>
      <c r="J25" s="164" t="s">
        <v>138</v>
      </c>
      <c r="K25" s="16">
        <f>(O18+U18)/Q22</f>
        <v>15.472406181015451</v>
      </c>
      <c r="L25" s="4"/>
      <c r="M25" s="14" t="s">
        <v>139</v>
      </c>
      <c r="N25" s="93">
        <f>(F15/M18)*1000</f>
        <v>0.10028510442760651</v>
      </c>
      <c r="O25" s="4"/>
      <c r="T25" s="4"/>
      <c r="U25" s="4"/>
    </row>
    <row r="26" spans="2:33" ht="14.45" x14ac:dyDescent="0.3">
      <c r="B26" s="6"/>
      <c r="C26"/>
      <c r="D26" s="3"/>
      <c r="E26" s="3"/>
      <c r="F26" s="4"/>
      <c r="G26" s="4"/>
      <c r="H26" s="4"/>
      <c r="L26" s="4"/>
      <c r="O26" s="4"/>
      <c r="P26" s="4"/>
      <c r="Q26" s="4"/>
      <c r="R26" s="4"/>
      <c r="S26" s="4"/>
      <c r="T26" s="4"/>
      <c r="U26" s="4"/>
    </row>
    <row r="27" spans="2:33" x14ac:dyDescent="0.25">
      <c r="C27" s="191"/>
      <c r="D27" s="191"/>
      <c r="E27" s="191"/>
      <c r="F27" s="191"/>
      <c r="G27" s="191"/>
      <c r="H27" s="191"/>
      <c r="I27" s="191"/>
      <c r="J27" s="191"/>
    </row>
    <row r="28" spans="2:33" x14ac:dyDescent="0.25">
      <c r="B28" s="110" t="s">
        <v>172</v>
      </c>
      <c r="C28" s="191"/>
      <c r="D28" s="191"/>
      <c r="E28" s="191"/>
      <c r="F28" s="191"/>
      <c r="G28" s="191"/>
      <c r="H28" s="191"/>
      <c r="I28" s="191"/>
      <c r="J28" s="191"/>
      <c r="K28" s="103"/>
      <c r="L28" s="103"/>
      <c r="N28" s="190" t="s">
        <v>100</v>
      </c>
      <c r="O28" s="190"/>
      <c r="P28" s="190"/>
      <c r="Q28" s="190"/>
      <c r="R28" s="190"/>
      <c r="S28" s="190"/>
      <c r="T28" s="190"/>
      <c r="U28" s="190"/>
      <c r="V28" s="190"/>
      <c r="W28" s="190"/>
      <c r="X28" s="190"/>
      <c r="Y28" s="190"/>
      <c r="Z28" s="190"/>
      <c r="AA28" s="190"/>
      <c r="AB28" s="190"/>
      <c r="AC28" s="190"/>
      <c r="AD28" s="190"/>
      <c r="AE28" s="190"/>
      <c r="AF28" s="190"/>
      <c r="AG28" s="190"/>
    </row>
    <row r="29" spans="2:33" x14ac:dyDescent="0.25">
      <c r="B29" s="110" t="s">
        <v>46</v>
      </c>
      <c r="C29" s="191"/>
      <c r="D29" s="191"/>
      <c r="E29" s="191"/>
      <c r="F29" s="191"/>
      <c r="G29" s="191"/>
      <c r="H29" s="191"/>
      <c r="I29" s="191"/>
      <c r="J29" s="191"/>
      <c r="K29" s="103"/>
      <c r="L29" s="103"/>
      <c r="N29" s="190"/>
      <c r="O29" s="190"/>
      <c r="P29" s="190"/>
      <c r="Q29" s="190"/>
      <c r="R29" s="190"/>
      <c r="S29" s="190"/>
      <c r="T29" s="190"/>
      <c r="U29" s="190"/>
      <c r="V29" s="190"/>
      <c r="W29" s="190"/>
      <c r="X29" s="190"/>
      <c r="Y29" s="190"/>
      <c r="Z29" s="190"/>
      <c r="AA29" s="190"/>
      <c r="AB29" s="190"/>
      <c r="AC29" s="190"/>
      <c r="AD29" s="190"/>
      <c r="AE29" s="190"/>
      <c r="AF29" s="190"/>
      <c r="AG29" s="190"/>
    </row>
    <row r="30" spans="2:33" x14ac:dyDescent="0.25">
      <c r="B30" s="52"/>
      <c r="C30" s="191"/>
      <c r="D30" s="191"/>
      <c r="E30" s="191"/>
      <c r="F30" s="191"/>
      <c r="G30" s="191"/>
      <c r="H30" s="191"/>
      <c r="I30" s="191"/>
      <c r="J30" s="191"/>
      <c r="K30" s="103"/>
      <c r="L30" s="103"/>
      <c r="N30" s="190"/>
      <c r="O30" s="190"/>
      <c r="P30" s="190"/>
      <c r="Q30" s="190"/>
      <c r="R30" s="190"/>
      <c r="S30" s="190"/>
      <c r="T30" s="190"/>
      <c r="U30" s="190"/>
      <c r="V30" s="190"/>
      <c r="W30" s="190"/>
      <c r="X30" s="190"/>
      <c r="Y30" s="190"/>
      <c r="Z30" s="190"/>
      <c r="AA30" s="190"/>
      <c r="AB30" s="190"/>
      <c r="AC30" s="190"/>
      <c r="AD30" s="190"/>
      <c r="AE30" s="190"/>
      <c r="AF30" s="190"/>
      <c r="AG30" s="190"/>
    </row>
    <row r="31" spans="2:33" x14ac:dyDescent="0.25">
      <c r="C31" s="191"/>
      <c r="D31" s="191"/>
      <c r="E31" s="191"/>
      <c r="F31" s="191"/>
      <c r="G31" s="191"/>
      <c r="H31" s="191"/>
      <c r="I31" s="191"/>
      <c r="J31" s="191"/>
      <c r="K31" s="103"/>
      <c r="L31" s="103"/>
      <c r="N31" s="190"/>
      <c r="O31" s="190"/>
      <c r="P31" s="190"/>
      <c r="Q31" s="190"/>
      <c r="R31" s="190"/>
      <c r="S31" s="190"/>
      <c r="T31" s="190"/>
      <c r="U31" s="190"/>
      <c r="V31" s="190"/>
      <c r="W31" s="190"/>
      <c r="X31" s="190"/>
      <c r="Y31" s="190"/>
      <c r="Z31" s="190"/>
      <c r="AA31" s="190"/>
      <c r="AB31" s="190"/>
      <c r="AC31" s="190"/>
      <c r="AD31" s="190"/>
      <c r="AE31" s="190"/>
      <c r="AF31" s="190"/>
      <c r="AG31" s="190"/>
    </row>
    <row r="32" spans="2:33" x14ac:dyDescent="0.25">
      <c r="C32" s="191"/>
      <c r="D32" s="191"/>
      <c r="E32" s="191"/>
      <c r="F32" s="191"/>
      <c r="G32" s="191"/>
      <c r="H32" s="191"/>
      <c r="I32" s="191"/>
      <c r="J32" s="191"/>
      <c r="K32" s="103"/>
      <c r="L32" s="103"/>
      <c r="N32" s="190"/>
      <c r="O32" s="190"/>
      <c r="P32" s="190"/>
      <c r="Q32" s="190"/>
      <c r="R32" s="190"/>
      <c r="S32" s="190"/>
      <c r="T32" s="190"/>
      <c r="U32" s="190"/>
      <c r="V32" s="190"/>
      <c r="W32" s="190"/>
      <c r="X32" s="190"/>
      <c r="Y32" s="190"/>
      <c r="Z32" s="190"/>
      <c r="AA32" s="190"/>
      <c r="AB32" s="190"/>
      <c r="AC32" s="190"/>
      <c r="AD32" s="190"/>
      <c r="AE32" s="190"/>
      <c r="AF32" s="190"/>
      <c r="AG32" s="190"/>
    </row>
    <row r="33" spans="2:33" x14ac:dyDescent="0.25">
      <c r="C33" s="191"/>
      <c r="D33" s="191"/>
      <c r="E33" s="191"/>
      <c r="F33" s="191"/>
      <c r="G33" s="191"/>
      <c r="H33" s="191"/>
      <c r="I33" s="191"/>
      <c r="J33" s="191"/>
      <c r="K33" s="103"/>
      <c r="L33" s="103"/>
      <c r="N33" s="190"/>
      <c r="O33" s="190"/>
      <c r="P33" s="190"/>
      <c r="Q33" s="190"/>
      <c r="R33" s="190"/>
      <c r="S33" s="190"/>
      <c r="T33" s="190"/>
      <c r="U33" s="190"/>
      <c r="V33" s="190"/>
      <c r="W33" s="190"/>
      <c r="X33" s="190"/>
      <c r="Y33" s="190"/>
      <c r="Z33" s="190"/>
      <c r="AA33" s="190"/>
      <c r="AB33" s="190"/>
      <c r="AC33" s="190"/>
      <c r="AD33" s="190"/>
      <c r="AE33" s="190"/>
      <c r="AF33" s="190"/>
      <c r="AG33" s="190"/>
    </row>
    <row r="34" spans="2:33" x14ac:dyDescent="0.25">
      <c r="C34" s="191"/>
      <c r="D34" s="191"/>
      <c r="E34" s="191"/>
      <c r="F34" s="191"/>
      <c r="G34" s="191"/>
      <c r="H34" s="191"/>
      <c r="I34" s="191"/>
      <c r="J34" s="191"/>
      <c r="K34" s="103"/>
      <c r="L34" s="103"/>
      <c r="N34" s="190"/>
      <c r="O34" s="190"/>
      <c r="P34" s="190"/>
      <c r="Q34" s="190"/>
      <c r="R34" s="190"/>
      <c r="S34" s="190"/>
      <c r="T34" s="190"/>
      <c r="U34" s="190"/>
      <c r="V34" s="190"/>
      <c r="W34" s="190"/>
      <c r="X34" s="190"/>
      <c r="Y34" s="190"/>
      <c r="Z34" s="190"/>
      <c r="AA34" s="190"/>
      <c r="AB34" s="190"/>
      <c r="AC34" s="190"/>
      <c r="AD34" s="190"/>
      <c r="AE34" s="190"/>
      <c r="AF34" s="190"/>
      <c r="AG34" s="190"/>
    </row>
    <row r="35" spans="2:33" x14ac:dyDescent="0.25">
      <c r="C35" s="191"/>
      <c r="D35" s="191"/>
      <c r="E35" s="191"/>
      <c r="F35" s="191"/>
      <c r="G35" s="191"/>
      <c r="H35" s="191"/>
      <c r="I35" s="191"/>
      <c r="J35" s="191"/>
      <c r="K35" s="103"/>
      <c r="L35" s="103"/>
      <c r="N35" s="190"/>
      <c r="O35" s="190"/>
      <c r="P35" s="190"/>
      <c r="Q35" s="190"/>
      <c r="R35" s="190"/>
      <c r="S35" s="190"/>
      <c r="T35" s="190"/>
      <c r="U35" s="190"/>
      <c r="V35" s="190"/>
      <c r="W35" s="190"/>
      <c r="X35" s="190"/>
      <c r="Y35" s="190"/>
      <c r="Z35" s="190"/>
      <c r="AA35" s="190"/>
      <c r="AB35" s="190"/>
      <c r="AC35" s="190"/>
      <c r="AD35" s="190"/>
      <c r="AE35" s="190"/>
      <c r="AF35" s="190"/>
      <c r="AG35" s="190"/>
    </row>
    <row r="36" spans="2:33" x14ac:dyDescent="0.25">
      <c r="C36" s="191"/>
      <c r="D36" s="191"/>
      <c r="E36" s="191"/>
      <c r="F36" s="191"/>
      <c r="G36" s="191"/>
      <c r="H36" s="191"/>
      <c r="I36" s="191"/>
      <c r="J36" s="191"/>
      <c r="K36" s="103"/>
      <c r="L36" s="103"/>
      <c r="N36" s="190"/>
      <c r="O36" s="190"/>
      <c r="P36" s="190"/>
      <c r="Q36" s="190"/>
      <c r="R36" s="190"/>
      <c r="S36" s="190"/>
      <c r="T36" s="190"/>
      <c r="U36" s="190"/>
      <c r="V36" s="190"/>
      <c r="W36" s="190"/>
      <c r="X36" s="190"/>
      <c r="Y36" s="190"/>
      <c r="Z36" s="190"/>
      <c r="AA36" s="190"/>
      <c r="AB36" s="190"/>
      <c r="AC36" s="190"/>
      <c r="AD36" s="190"/>
      <c r="AE36" s="190"/>
      <c r="AF36" s="190"/>
      <c r="AG36" s="190"/>
    </row>
    <row r="37" spans="2:33" ht="14.45" x14ac:dyDescent="0.3">
      <c r="B37" s="6" t="s">
        <v>26</v>
      </c>
    </row>
    <row r="38" spans="2:33" ht="30.6" x14ac:dyDescent="0.3">
      <c r="B38" s="17" t="s">
        <v>14</v>
      </c>
      <c r="C38" s="20" t="s">
        <v>21</v>
      </c>
      <c r="D38" s="20" t="s">
        <v>94</v>
      </c>
      <c r="E38" s="17" t="s">
        <v>13</v>
      </c>
      <c r="F38" s="17" t="s">
        <v>15</v>
      </c>
      <c r="G38" s="18" t="s">
        <v>1</v>
      </c>
      <c r="H38" s="19" t="s">
        <v>25</v>
      </c>
      <c r="I38" s="17" t="s">
        <v>2</v>
      </c>
      <c r="J38" s="20" t="s">
        <v>94</v>
      </c>
      <c r="K38" s="20" t="s">
        <v>22</v>
      </c>
      <c r="L38" s="19" t="s">
        <v>8</v>
      </c>
      <c r="M38" s="19" t="s">
        <v>16</v>
      </c>
      <c r="N38" s="19" t="s">
        <v>17</v>
      </c>
      <c r="O38" s="19" t="s">
        <v>18</v>
      </c>
      <c r="P38" s="20" t="s">
        <v>10</v>
      </c>
      <c r="Q38" s="20" t="s">
        <v>23</v>
      </c>
      <c r="R38" s="19" t="s">
        <v>9</v>
      </c>
      <c r="S38" s="19" t="s">
        <v>19</v>
      </c>
      <c r="T38" s="19" t="s">
        <v>20</v>
      </c>
      <c r="U38" s="19" t="s">
        <v>24</v>
      </c>
    </row>
    <row r="39" spans="2:33" ht="14.45" x14ac:dyDescent="0.3">
      <c r="B39" s="176" t="s">
        <v>42</v>
      </c>
      <c r="C39" s="8">
        <v>784</v>
      </c>
      <c r="D39" s="8">
        <v>146.15</v>
      </c>
      <c r="E39" s="8">
        <v>1</v>
      </c>
      <c r="F39" s="11">
        <f>C39/D39</f>
        <v>5.3643516934656175</v>
      </c>
      <c r="G39" s="7"/>
      <c r="H39" s="7"/>
      <c r="I39" s="8" t="s">
        <v>37</v>
      </c>
      <c r="J39" s="8">
        <v>118.96</v>
      </c>
      <c r="K39" s="21">
        <v>724</v>
      </c>
      <c r="L39" s="42" t="s">
        <v>44</v>
      </c>
      <c r="M39" s="2">
        <v>550</v>
      </c>
      <c r="N39" s="2">
        <v>0.86699999999999999</v>
      </c>
      <c r="O39" s="11">
        <f>M39*N39</f>
        <v>476.85</v>
      </c>
      <c r="P39" s="8"/>
      <c r="Q39" s="8"/>
      <c r="R39" s="7"/>
      <c r="S39" s="7"/>
      <c r="T39" s="7"/>
      <c r="U39" s="11">
        <f>S39*T39</f>
        <v>0</v>
      </c>
    </row>
    <row r="40" spans="2:33" ht="14.45" x14ac:dyDescent="0.3">
      <c r="B40" s="8" t="s">
        <v>43</v>
      </c>
      <c r="C40" s="8">
        <v>600</v>
      </c>
      <c r="D40" s="8">
        <v>108.52</v>
      </c>
      <c r="E40" s="8">
        <f>F40/F39</f>
        <v>1.0306808864349279</v>
      </c>
      <c r="F40" s="11">
        <f>C40/D40</f>
        <v>5.5289347585698492</v>
      </c>
      <c r="G40" s="1"/>
      <c r="H40" s="1"/>
      <c r="I40" s="25" t="s">
        <v>45</v>
      </c>
      <c r="J40" s="26">
        <v>40</v>
      </c>
      <c r="K40" s="21">
        <v>200</v>
      </c>
      <c r="L40" s="42" t="s">
        <v>41</v>
      </c>
      <c r="M40" s="2">
        <v>1300</v>
      </c>
      <c r="N40" s="1">
        <v>1</v>
      </c>
      <c r="O40" s="11">
        <f>M40*N40</f>
        <v>1300</v>
      </c>
      <c r="P40" s="8"/>
      <c r="Q40" s="8"/>
      <c r="R40" s="7"/>
      <c r="S40" s="7"/>
      <c r="T40" s="7"/>
      <c r="U40" s="11">
        <f t="shared" ref="U40" si="2">S40*T40</f>
        <v>0</v>
      </c>
    </row>
    <row r="41" spans="2:33" ht="14.45" x14ac:dyDescent="0.3">
      <c r="B41" s="10" t="s">
        <v>4</v>
      </c>
      <c r="C41" s="11">
        <f>SUM(C39:C40)</f>
        <v>1384</v>
      </c>
      <c r="D41" s="11">
        <f>SUM(D39:D40)</f>
        <v>254.67000000000002</v>
      </c>
      <c r="E41" s="10"/>
      <c r="F41" s="165">
        <f>SUM(F39:F40)</f>
        <v>10.893286452035467</v>
      </c>
      <c r="H41" s="23">
        <f>SUM(H39:H40)</f>
        <v>0</v>
      </c>
      <c r="K41" s="166">
        <f>SUM(K39:K40)</f>
        <v>924</v>
      </c>
      <c r="M41" s="89">
        <f>SUM(M39:M40)</f>
        <v>1850</v>
      </c>
      <c r="O41" s="23">
        <f>SUM(O39:O40)</f>
        <v>1776.85</v>
      </c>
      <c r="Q41" s="23">
        <f>SUM(Q39:Q40)</f>
        <v>0</v>
      </c>
      <c r="U41" s="23">
        <f>SUM(U39:U40)</f>
        <v>0</v>
      </c>
    </row>
    <row r="42" spans="2:33" ht="14.45" x14ac:dyDescent="0.3">
      <c r="B42" s="4"/>
      <c r="C42" s="3"/>
      <c r="D42" s="3"/>
      <c r="E42" s="3"/>
      <c r="F42" s="4"/>
      <c r="G42" s="4"/>
      <c r="H42" s="4"/>
      <c r="L42" s="4"/>
      <c r="M42" s="4"/>
      <c r="N42" s="4"/>
      <c r="O42" s="4"/>
      <c r="P42" s="4"/>
      <c r="Q42" s="4"/>
      <c r="R42" s="4"/>
      <c r="S42" s="4"/>
      <c r="T42" s="4"/>
      <c r="U42" s="4"/>
    </row>
    <row r="43" spans="2:33" ht="14.45" x14ac:dyDescent="0.3">
      <c r="B43" s="4"/>
      <c r="C43" s="3"/>
      <c r="D43" s="3"/>
      <c r="E43" s="3"/>
      <c r="F43" s="4"/>
      <c r="G43" s="4"/>
      <c r="J43" s="162" t="s">
        <v>133</v>
      </c>
      <c r="K43" s="96">
        <f>(S45/F39)*100</f>
        <v>81.766159876162604</v>
      </c>
      <c r="N43" s="4"/>
      <c r="O43" s="4"/>
      <c r="P43" s="4"/>
      <c r="Q43" s="4"/>
      <c r="R43" s="4"/>
    </row>
    <row r="44" spans="2:33" ht="14.45" x14ac:dyDescent="0.3">
      <c r="B44" s="4"/>
      <c r="C44" s="3"/>
      <c r="D44" s="3"/>
      <c r="E44" s="3"/>
      <c r="F44" s="4"/>
      <c r="G44" s="4"/>
      <c r="J44" s="159" t="s">
        <v>134</v>
      </c>
      <c r="K44" s="97">
        <f>(R45/(D41)*100)</f>
        <v>92.924176385125847</v>
      </c>
      <c r="Q44" s="5" t="s">
        <v>11</v>
      </c>
      <c r="R44" s="5" t="s">
        <v>12</v>
      </c>
      <c r="S44" s="5" t="s">
        <v>0</v>
      </c>
    </row>
    <row r="45" spans="2:33" ht="14.45" x14ac:dyDescent="0.3">
      <c r="B45" s="4"/>
      <c r="C45" s="3"/>
      <c r="D45" s="3"/>
      <c r="E45" s="3"/>
      <c r="F45" s="4"/>
      <c r="G45" s="4"/>
      <c r="J45" s="162" t="s">
        <v>135</v>
      </c>
      <c r="K45" s="96">
        <f>(Q45/C41)*100</f>
        <v>75</v>
      </c>
      <c r="L45" s="183"/>
      <c r="O45" s="4"/>
      <c r="P45" s="5" t="s">
        <v>3</v>
      </c>
      <c r="Q45" s="9">
        <v>1038</v>
      </c>
      <c r="R45" s="9">
        <v>236.65</v>
      </c>
      <c r="S45" s="48">
        <f>Q45/R45</f>
        <v>4.3862243819987325</v>
      </c>
    </row>
    <row r="46" spans="2:33" ht="16.149999999999999" x14ac:dyDescent="0.3">
      <c r="B46" s="4"/>
      <c r="C46" s="3"/>
      <c r="D46" s="3"/>
      <c r="E46" s="3"/>
      <c r="F46" s="4"/>
      <c r="G46" s="4"/>
      <c r="J46" s="159" t="s">
        <v>136</v>
      </c>
      <c r="K46" s="13">
        <f>(C41+H41+K41+O41+Q41+U41)/Q45</f>
        <v>3.9353082851637766</v>
      </c>
      <c r="L46" s="183"/>
      <c r="N46" s="4"/>
      <c r="O46" s="4"/>
      <c r="R46" s="38"/>
      <c r="S46" s="3"/>
    </row>
    <row r="47" spans="2:33" ht="16.149999999999999" x14ac:dyDescent="0.3">
      <c r="B47" s="4"/>
      <c r="C47" s="3"/>
      <c r="D47" s="3"/>
      <c r="E47" s="3"/>
      <c r="F47" s="4"/>
      <c r="G47" s="4"/>
      <c r="H47" s="4"/>
      <c r="J47" s="163" t="s">
        <v>137</v>
      </c>
      <c r="K47" s="15">
        <f>(C41+H41+K41)/Q45</f>
        <v>2.2235067437379574</v>
      </c>
      <c r="L47" s="183"/>
      <c r="N47" s="4"/>
      <c r="O47" s="4"/>
      <c r="R47" s="4"/>
    </row>
    <row r="48" spans="2:33" ht="16.149999999999999" x14ac:dyDescent="0.3">
      <c r="B48" s="4"/>
      <c r="C48" s="3"/>
      <c r="D48" s="3"/>
      <c r="E48" s="3"/>
      <c r="F48" s="4"/>
      <c r="G48" s="4"/>
      <c r="H48" s="4"/>
      <c r="J48" s="164" t="s">
        <v>138</v>
      </c>
      <c r="K48" s="16">
        <f>(O41+U41)/Q45</f>
        <v>1.7118015414258188</v>
      </c>
      <c r="L48" s="183"/>
      <c r="M48" s="163" t="s">
        <v>139</v>
      </c>
      <c r="N48" s="93">
        <f>(F39/M41)*1000</f>
        <v>2.8996495640354687</v>
      </c>
      <c r="O48" s="4"/>
      <c r="T48" s="4"/>
      <c r="U48" s="4"/>
    </row>
    <row r="49" spans="1:21" ht="14.45" x14ac:dyDescent="0.3">
      <c r="B49" s="6"/>
      <c r="C49"/>
      <c r="D49" s="3"/>
      <c r="E49" s="3"/>
      <c r="F49" s="4"/>
      <c r="G49" s="4"/>
      <c r="H49" s="4"/>
      <c r="J49" s="4"/>
      <c r="K49" s="4"/>
      <c r="L49" s="4"/>
      <c r="M49" s="4"/>
      <c r="N49" s="4"/>
      <c r="O49" s="4"/>
      <c r="P49" s="4"/>
      <c r="Q49" s="4"/>
      <c r="R49" s="4"/>
      <c r="S49" s="4"/>
      <c r="T49" s="4"/>
      <c r="U49" s="4"/>
    </row>
    <row r="51" spans="1:21" s="29" customFormat="1" ht="14.45" x14ac:dyDescent="0.3">
      <c r="A51" s="28" t="s">
        <v>126</v>
      </c>
      <c r="C51" s="30"/>
      <c r="D51" s="30"/>
      <c r="E51" s="30"/>
    </row>
    <row r="52" spans="1:21" x14ac:dyDescent="0.25">
      <c r="B52" s="6" t="s">
        <v>26</v>
      </c>
    </row>
    <row r="53" spans="1:21" ht="32.25" x14ac:dyDescent="0.25">
      <c r="B53" s="17" t="s">
        <v>14</v>
      </c>
      <c r="C53" s="20" t="s">
        <v>21</v>
      </c>
      <c r="D53" s="20" t="s">
        <v>94</v>
      </c>
      <c r="E53" s="17" t="s">
        <v>13</v>
      </c>
      <c r="F53" s="17" t="s">
        <v>15</v>
      </c>
      <c r="G53" s="18" t="s">
        <v>1</v>
      </c>
      <c r="H53" s="19" t="s">
        <v>25</v>
      </c>
      <c r="I53" s="17" t="s">
        <v>2</v>
      </c>
      <c r="J53" s="20" t="s">
        <v>94</v>
      </c>
      <c r="K53" s="20" t="s">
        <v>22</v>
      </c>
      <c r="L53" s="19" t="s">
        <v>8</v>
      </c>
      <c r="M53" s="19" t="s">
        <v>16</v>
      </c>
      <c r="N53" s="19" t="s">
        <v>17</v>
      </c>
      <c r="O53" s="19" t="s">
        <v>18</v>
      </c>
      <c r="P53" s="20" t="s">
        <v>10</v>
      </c>
      <c r="Q53" s="20" t="s">
        <v>23</v>
      </c>
      <c r="R53" s="19" t="s">
        <v>9</v>
      </c>
      <c r="S53" s="19" t="s">
        <v>19</v>
      </c>
      <c r="T53" s="19" t="s">
        <v>20</v>
      </c>
      <c r="U53" s="19" t="s">
        <v>24</v>
      </c>
    </row>
    <row r="54" spans="1:21" x14ac:dyDescent="0.25">
      <c r="A54" s="41" t="s">
        <v>173</v>
      </c>
      <c r="B54" s="176" t="s">
        <v>113</v>
      </c>
      <c r="C54" s="8">
        <v>52.4</v>
      </c>
      <c r="D54" s="8">
        <v>446.59</v>
      </c>
      <c r="E54" s="8">
        <v>1</v>
      </c>
      <c r="F54" s="11">
        <f>C54/D54</f>
        <v>0.11733357218029961</v>
      </c>
      <c r="G54" s="7"/>
      <c r="H54" s="7"/>
      <c r="I54" s="8" t="s">
        <v>37</v>
      </c>
      <c r="J54" s="8">
        <v>118.96</v>
      </c>
      <c r="K54" s="21">
        <f>(F54*1.25)*J54</f>
        <v>17.447502183210549</v>
      </c>
      <c r="L54" s="7" t="s">
        <v>27</v>
      </c>
      <c r="M54" s="44">
        <v>101</v>
      </c>
      <c r="N54" s="42">
        <v>0.88300000000000001</v>
      </c>
      <c r="O54" s="11">
        <f>M54*N54</f>
        <v>89.183000000000007</v>
      </c>
      <c r="P54" s="8"/>
      <c r="Q54" s="8"/>
      <c r="R54" s="7"/>
      <c r="S54" s="7"/>
      <c r="T54" s="7"/>
      <c r="U54" s="11">
        <f>S54*T54</f>
        <v>0</v>
      </c>
    </row>
    <row r="55" spans="1:21" x14ac:dyDescent="0.25">
      <c r="B55" s="8" t="s">
        <v>114</v>
      </c>
      <c r="C55" s="8">
        <v>25.8</v>
      </c>
      <c r="D55" s="8">
        <v>200.24</v>
      </c>
      <c r="E55" s="8">
        <v>1.1000000000000001</v>
      </c>
      <c r="F55" s="11">
        <f>C55/D55</f>
        <v>0.12884538553735517</v>
      </c>
      <c r="G55" s="1"/>
      <c r="H55" s="1"/>
      <c r="I55" s="25" t="s">
        <v>39</v>
      </c>
      <c r="J55" s="26">
        <v>68.03</v>
      </c>
      <c r="K55" s="21">
        <f>(F54*3.3)*J55</f>
        <v>26.341269620905077</v>
      </c>
      <c r="L55" s="42" t="s">
        <v>38</v>
      </c>
      <c r="M55" s="45">
        <v>45</v>
      </c>
      <c r="N55" s="1">
        <v>0.94499999999999995</v>
      </c>
      <c r="O55" s="11">
        <f>M55*N55</f>
        <v>42.524999999999999</v>
      </c>
      <c r="P55" s="8"/>
      <c r="Q55" s="8"/>
      <c r="R55" s="7"/>
      <c r="S55" s="7"/>
      <c r="T55" s="7"/>
      <c r="U55" s="11">
        <f t="shared" ref="U55:U56" si="3">S55*T55</f>
        <v>0</v>
      </c>
    </row>
    <row r="56" spans="1:21" x14ac:dyDescent="0.25">
      <c r="B56" s="8"/>
      <c r="C56" s="8"/>
      <c r="D56" s="8"/>
      <c r="E56" s="8"/>
      <c r="F56" s="10"/>
      <c r="G56" s="1"/>
      <c r="H56" s="1"/>
      <c r="I56" s="25"/>
      <c r="J56" s="26"/>
      <c r="K56" s="46"/>
      <c r="L56" s="42" t="s">
        <v>40</v>
      </c>
      <c r="M56" s="45">
        <v>148</v>
      </c>
      <c r="N56" s="1">
        <v>0.89500000000000002</v>
      </c>
      <c r="O56" s="11">
        <f t="shared" ref="O56" si="4">M56*N56</f>
        <v>132.46</v>
      </c>
      <c r="P56" s="8"/>
      <c r="Q56" s="8"/>
      <c r="R56" s="7"/>
      <c r="S56" s="7"/>
      <c r="T56" s="7"/>
      <c r="U56" s="11">
        <f t="shared" si="3"/>
        <v>0</v>
      </c>
    </row>
    <row r="57" spans="1:21" x14ac:dyDescent="0.25">
      <c r="B57" s="10" t="s">
        <v>4</v>
      </c>
      <c r="C57" s="11">
        <f>SUM(C54:C55)</f>
        <v>78.2</v>
      </c>
      <c r="D57" s="11">
        <f>SUM(D54:D55)</f>
        <v>646.82999999999993</v>
      </c>
      <c r="E57" s="10"/>
      <c r="F57" s="165">
        <f>SUM(F54:F55)</f>
        <v>0.24617895771765477</v>
      </c>
      <c r="H57" s="23">
        <f>SUM(H54:H55)</f>
        <v>0</v>
      </c>
      <c r="K57" s="166">
        <f>SUM(K54:K56)</f>
        <v>43.788771804115626</v>
      </c>
      <c r="M57" s="23">
        <f>SUM(M54:M56)</f>
        <v>294</v>
      </c>
      <c r="O57" s="23">
        <f>SUM(O54:O56)</f>
        <v>264.16800000000001</v>
      </c>
      <c r="Q57" s="23">
        <f>SUM(Q54:Q56)</f>
        <v>0</v>
      </c>
      <c r="U57" s="23">
        <f>SUM(U54:U56)</f>
        <v>0</v>
      </c>
    </row>
    <row r="58" spans="1:21" x14ac:dyDescent="0.25">
      <c r="B58" s="4"/>
      <c r="C58" s="3"/>
      <c r="D58" s="3"/>
      <c r="E58" s="3"/>
      <c r="F58" s="4"/>
      <c r="G58" s="4"/>
      <c r="H58" s="4"/>
      <c r="L58" s="4"/>
      <c r="M58" s="4"/>
      <c r="N58" s="4"/>
      <c r="O58" s="4"/>
      <c r="P58" s="4"/>
      <c r="Q58" s="4"/>
      <c r="R58" s="4"/>
      <c r="S58" s="4"/>
      <c r="T58" s="4"/>
      <c r="U58" s="4"/>
    </row>
    <row r="59" spans="1:21" x14ac:dyDescent="0.25">
      <c r="B59" s="4"/>
      <c r="C59" s="3"/>
      <c r="D59" s="3"/>
      <c r="E59" s="3"/>
      <c r="F59" s="4"/>
      <c r="G59" s="4"/>
      <c r="J59" s="162" t="s">
        <v>133</v>
      </c>
      <c r="K59" s="96">
        <f>(S61/F54)*100</f>
        <v>92.097476075917555</v>
      </c>
      <c r="N59" s="4"/>
      <c r="O59" s="4"/>
      <c r="P59" s="4"/>
      <c r="Q59" s="4"/>
      <c r="R59" s="4"/>
    </row>
    <row r="60" spans="1:21" x14ac:dyDescent="0.25">
      <c r="B60" s="4"/>
      <c r="C60" s="3"/>
      <c r="D60" s="3"/>
      <c r="E60" s="3"/>
      <c r="F60" s="4"/>
      <c r="G60" s="4"/>
      <c r="J60" s="159" t="s">
        <v>134</v>
      </c>
      <c r="K60" s="97">
        <f>(R61/(D57)*100)</f>
        <v>97.214105715566689</v>
      </c>
      <c r="Q60" s="5" t="s">
        <v>11</v>
      </c>
      <c r="R60" s="5" t="s">
        <v>12</v>
      </c>
      <c r="S60" s="5" t="s">
        <v>0</v>
      </c>
    </row>
    <row r="61" spans="1:21" x14ac:dyDescent="0.25">
      <c r="B61" s="4"/>
      <c r="C61" s="3"/>
      <c r="D61" s="3"/>
      <c r="E61" s="3"/>
      <c r="F61" s="4"/>
      <c r="G61" s="4"/>
      <c r="J61" s="162" t="s">
        <v>135</v>
      </c>
      <c r="K61" s="96">
        <f>(Q61/C57)*100</f>
        <v>86.892583120204606</v>
      </c>
      <c r="O61" s="4"/>
      <c r="P61" s="5" t="s">
        <v>3</v>
      </c>
      <c r="Q61" s="9">
        <v>67.95</v>
      </c>
      <c r="R61" s="9">
        <v>628.80999999999995</v>
      </c>
      <c r="S61" s="22">
        <f>Q61/R61</f>
        <v>0.10806125856777088</v>
      </c>
    </row>
    <row r="62" spans="1:21" ht="17.25" x14ac:dyDescent="0.25">
      <c r="B62" s="4"/>
      <c r="C62" s="3"/>
      <c r="D62" s="3"/>
      <c r="E62" s="3"/>
      <c r="F62" s="4"/>
      <c r="G62" s="4"/>
      <c r="J62" s="159" t="s">
        <v>136</v>
      </c>
      <c r="K62" s="13">
        <f>(C57+H57+K57+O57+Q57+U57)/Q61</f>
        <v>5.6829546991039823</v>
      </c>
      <c r="N62" s="4"/>
      <c r="O62" s="4"/>
      <c r="R62" s="38"/>
      <c r="S62" s="3"/>
    </row>
    <row r="63" spans="1:21" ht="17.25" x14ac:dyDescent="0.25">
      <c r="B63" s="4"/>
      <c r="C63" s="3"/>
      <c r="D63" s="3"/>
      <c r="E63" s="3"/>
      <c r="F63" s="4"/>
      <c r="G63" s="4"/>
      <c r="H63" s="4"/>
      <c r="J63" s="163" t="s">
        <v>137</v>
      </c>
      <c r="K63" s="15">
        <f>(C57+H57+K57)/Q61</f>
        <v>1.7952725798986846</v>
      </c>
      <c r="N63" s="4"/>
      <c r="O63" s="4"/>
      <c r="R63" s="4"/>
    </row>
    <row r="64" spans="1:21" ht="17.25" x14ac:dyDescent="0.25">
      <c r="B64" s="4"/>
      <c r="C64" s="3"/>
      <c r="D64" s="3"/>
      <c r="E64" s="3"/>
      <c r="F64" s="4"/>
      <c r="G64" s="4"/>
      <c r="H64" s="4"/>
      <c r="J64" s="164" t="s">
        <v>138</v>
      </c>
      <c r="K64" s="16">
        <f>(O57+U57)/Q61</f>
        <v>3.8876821192052979</v>
      </c>
      <c r="L64" s="4"/>
      <c r="M64" s="163" t="s">
        <v>139</v>
      </c>
      <c r="N64" s="93">
        <f>F54/M57*1000</f>
        <v>0.39909378292618913</v>
      </c>
      <c r="O64" s="4"/>
      <c r="T64" s="4"/>
      <c r="U64" s="4"/>
    </row>
    <row r="65" spans="1:21" x14ac:dyDescent="0.25">
      <c r="B65" s="6"/>
      <c r="C65"/>
      <c r="D65" s="3"/>
      <c r="E65" s="3"/>
      <c r="F65" s="4"/>
      <c r="G65" s="4"/>
      <c r="H65" s="4"/>
      <c r="L65" s="4"/>
      <c r="M65" s="4"/>
      <c r="N65" s="4"/>
      <c r="O65" s="4"/>
      <c r="P65" s="4"/>
      <c r="Q65" s="4"/>
      <c r="R65" s="4"/>
      <c r="S65" s="4"/>
      <c r="T65" s="4"/>
      <c r="U65" s="4"/>
    </row>
    <row r="66" spans="1:21" x14ac:dyDescent="0.25">
      <c r="B66" s="6" t="s">
        <v>26</v>
      </c>
    </row>
    <row r="67" spans="1:21" ht="32.25" x14ac:dyDescent="0.25">
      <c r="B67" s="17" t="s">
        <v>14</v>
      </c>
      <c r="C67" s="20" t="s">
        <v>21</v>
      </c>
      <c r="D67" s="20" t="s">
        <v>94</v>
      </c>
      <c r="E67" s="17" t="s">
        <v>13</v>
      </c>
      <c r="F67" s="17" t="s">
        <v>15</v>
      </c>
      <c r="G67" s="18" t="s">
        <v>1</v>
      </c>
      <c r="H67" s="19" t="s">
        <v>25</v>
      </c>
      <c r="I67" s="17" t="s">
        <v>2</v>
      </c>
      <c r="J67" s="20" t="s">
        <v>94</v>
      </c>
      <c r="K67" s="20" t="s">
        <v>22</v>
      </c>
      <c r="L67" s="19" t="s">
        <v>8</v>
      </c>
      <c r="M67" s="19" t="s">
        <v>16</v>
      </c>
      <c r="N67" s="19" t="s">
        <v>17</v>
      </c>
      <c r="O67" s="19" t="s">
        <v>18</v>
      </c>
      <c r="P67" s="20" t="s">
        <v>10</v>
      </c>
      <c r="Q67" s="20" t="s">
        <v>23</v>
      </c>
      <c r="R67" s="19" t="s">
        <v>9</v>
      </c>
      <c r="S67" s="19" t="s">
        <v>19</v>
      </c>
      <c r="T67" s="19" t="s">
        <v>20</v>
      </c>
      <c r="U67" s="19" t="s">
        <v>24</v>
      </c>
    </row>
    <row r="68" spans="1:21" x14ac:dyDescent="0.25">
      <c r="A68" s="110" t="s">
        <v>172</v>
      </c>
      <c r="B68" s="176" t="s">
        <v>42</v>
      </c>
      <c r="C68" s="8">
        <v>784</v>
      </c>
      <c r="D68" s="8">
        <v>146.15</v>
      </c>
      <c r="E68" s="8">
        <v>1</v>
      </c>
      <c r="F68" s="11">
        <f>C68/D68</f>
        <v>5.3643516934656175</v>
      </c>
      <c r="G68" s="7"/>
      <c r="H68" s="7"/>
      <c r="I68" s="8" t="s">
        <v>37</v>
      </c>
      <c r="J68" s="8">
        <v>118.96</v>
      </c>
      <c r="K68" s="21">
        <f>F69*J68</f>
        <v>657.28757577830993</v>
      </c>
      <c r="L68" s="42" t="s">
        <v>44</v>
      </c>
      <c r="M68" s="2">
        <f>550*7.24</f>
        <v>3982</v>
      </c>
      <c r="N68" s="2">
        <v>0.86699999999999999</v>
      </c>
      <c r="O68" s="11">
        <f>M68*N68</f>
        <v>3452.3939999999998</v>
      </c>
      <c r="P68" s="8"/>
      <c r="Q68" s="8"/>
      <c r="R68" s="7"/>
      <c r="S68" s="7"/>
      <c r="T68" s="7"/>
      <c r="U68" s="11">
        <f>S68*T68</f>
        <v>0</v>
      </c>
    </row>
    <row r="69" spans="1:21" x14ac:dyDescent="0.25">
      <c r="B69" s="174" t="s">
        <v>43</v>
      </c>
      <c r="C69" s="8">
        <v>600</v>
      </c>
      <c r="D69" s="8">
        <v>108.52</v>
      </c>
      <c r="E69" s="8">
        <v>1.03</v>
      </c>
      <c r="F69" s="11">
        <f>F68*E69</f>
        <v>5.5252822442695857</v>
      </c>
      <c r="G69" s="1"/>
      <c r="H69" s="1"/>
      <c r="I69" s="25" t="s">
        <v>45</v>
      </c>
      <c r="J69" s="26">
        <v>40</v>
      </c>
      <c r="K69" s="21">
        <f>F69*J69</f>
        <v>221.01128977078343</v>
      </c>
      <c r="L69" s="42" t="s">
        <v>41</v>
      </c>
      <c r="M69" s="2">
        <f>1300*7.24</f>
        <v>9412</v>
      </c>
      <c r="N69" s="1">
        <v>1</v>
      </c>
      <c r="O69" s="11">
        <f t="shared" ref="O69" si="5">M69*N69</f>
        <v>9412</v>
      </c>
      <c r="P69" s="8"/>
      <c r="Q69" s="8"/>
      <c r="R69" s="7"/>
      <c r="S69" s="7"/>
      <c r="T69" s="7"/>
      <c r="U69" s="11">
        <f t="shared" ref="U69" si="6">S69*T69</f>
        <v>0</v>
      </c>
    </row>
    <row r="70" spans="1:21" x14ac:dyDescent="0.25">
      <c r="B70" s="10" t="s">
        <v>4</v>
      </c>
      <c r="C70" s="11">
        <f>SUM(C68:C69)</f>
        <v>1384</v>
      </c>
      <c r="D70" s="11">
        <f>SUM(D68:D69)</f>
        <v>254.67000000000002</v>
      </c>
      <c r="E70" s="10"/>
      <c r="F70" s="11">
        <f>SUM(F68:F69)</f>
        <v>10.889633937735203</v>
      </c>
      <c r="H70" s="23">
        <f>SUM(H68:H69)</f>
        <v>0</v>
      </c>
      <c r="K70" s="24">
        <f>SUM(K68:K69)</f>
        <v>878.29886554909331</v>
      </c>
      <c r="M70" s="89">
        <f>M68+M69</f>
        <v>13394</v>
      </c>
      <c r="O70" s="23">
        <f>SUM(O68:O69)</f>
        <v>12864.394</v>
      </c>
      <c r="Q70" s="23">
        <f>SUM(Q68:Q69)</f>
        <v>0</v>
      </c>
      <c r="U70" s="23">
        <f>SUM(U68:U69)</f>
        <v>0</v>
      </c>
    </row>
    <row r="71" spans="1:21" x14ac:dyDescent="0.25">
      <c r="B71" s="4"/>
      <c r="C71" s="3"/>
      <c r="D71" s="3"/>
      <c r="E71" s="3"/>
      <c r="F71" s="4"/>
      <c r="G71" s="4"/>
      <c r="H71" s="4"/>
      <c r="L71" s="4"/>
      <c r="M71" s="4"/>
      <c r="N71" s="4"/>
      <c r="O71" s="4"/>
      <c r="P71" s="4"/>
      <c r="Q71" s="4"/>
      <c r="R71" s="4"/>
      <c r="S71" s="4"/>
      <c r="T71" s="4"/>
      <c r="U71" s="4"/>
    </row>
    <row r="72" spans="1:21" x14ac:dyDescent="0.25">
      <c r="B72" s="4"/>
      <c r="C72" s="3"/>
      <c r="D72" s="3"/>
      <c r="E72" s="3"/>
      <c r="F72" s="4"/>
      <c r="G72" s="4"/>
      <c r="J72" s="162" t="s">
        <v>133</v>
      </c>
      <c r="K72" s="96">
        <f>(S74/F68)*100</f>
        <v>81.766159876162604</v>
      </c>
      <c r="N72" s="4"/>
      <c r="O72" s="4"/>
      <c r="P72" s="4"/>
      <c r="Q72" s="4"/>
      <c r="R72" s="4"/>
    </row>
    <row r="73" spans="1:21" x14ac:dyDescent="0.25">
      <c r="B73" s="4"/>
      <c r="C73" s="3"/>
      <c r="D73" s="3"/>
      <c r="E73" s="3"/>
      <c r="F73" s="4"/>
      <c r="G73" s="4"/>
      <c r="J73" s="159" t="s">
        <v>134</v>
      </c>
      <c r="K73" s="97">
        <f>(R74/(D70)*100)</f>
        <v>92.924176385125847</v>
      </c>
      <c r="Q73" s="5" t="s">
        <v>11</v>
      </c>
      <c r="R73" s="5" t="s">
        <v>12</v>
      </c>
      <c r="S73" s="5" t="s">
        <v>0</v>
      </c>
    </row>
    <row r="74" spans="1:21" x14ac:dyDescent="0.25">
      <c r="B74" s="4"/>
      <c r="C74" s="3"/>
      <c r="D74" s="3"/>
      <c r="E74" s="3"/>
      <c r="F74" s="4"/>
      <c r="G74" s="4"/>
      <c r="J74" s="162" t="s">
        <v>135</v>
      </c>
      <c r="K74" s="96">
        <f>(Q74/C70)*100</f>
        <v>75</v>
      </c>
      <c r="O74" s="4"/>
      <c r="P74" s="5" t="s">
        <v>3</v>
      </c>
      <c r="Q74" s="9">
        <v>1038</v>
      </c>
      <c r="R74" s="9">
        <v>236.65</v>
      </c>
      <c r="S74" s="48">
        <f>Q74/R74</f>
        <v>4.3862243819987325</v>
      </c>
    </row>
    <row r="75" spans="1:21" ht="17.25" x14ac:dyDescent="0.25">
      <c r="B75" s="4"/>
      <c r="C75" s="3"/>
      <c r="D75" s="3"/>
      <c r="E75" s="3"/>
      <c r="F75" s="4"/>
      <c r="G75" s="4"/>
      <c r="J75" s="159" t="s">
        <v>136</v>
      </c>
      <c r="K75" s="13">
        <f>(C70+H70+K70+O70+Q70+U70)/Q74</f>
        <v>14.572921835789108</v>
      </c>
      <c r="N75" s="4"/>
      <c r="O75" s="4"/>
      <c r="R75" s="38"/>
      <c r="S75" s="3"/>
    </row>
    <row r="76" spans="1:21" ht="17.25" x14ac:dyDescent="0.25">
      <c r="B76" s="4"/>
      <c r="C76" s="3"/>
      <c r="D76" s="3"/>
      <c r="E76" s="3"/>
      <c r="F76" s="4"/>
      <c r="G76" s="4"/>
      <c r="H76" s="4"/>
      <c r="J76" s="163" t="s">
        <v>137</v>
      </c>
      <c r="K76" s="15">
        <f>(C70+H70+K70)/Q74</f>
        <v>2.1794786758661786</v>
      </c>
      <c r="N76" s="4"/>
      <c r="O76" s="4"/>
      <c r="R76" s="4"/>
    </row>
    <row r="77" spans="1:21" ht="17.25" x14ac:dyDescent="0.25">
      <c r="B77" s="4"/>
      <c r="C77" s="3"/>
      <c r="D77" s="3"/>
      <c r="E77" s="3"/>
      <c r="F77" s="4"/>
      <c r="G77" s="4"/>
      <c r="H77" s="4"/>
      <c r="J77" s="164" t="s">
        <v>138</v>
      </c>
      <c r="K77" s="16">
        <f>(O70+U70)/Q74</f>
        <v>12.39344315992293</v>
      </c>
      <c r="L77" s="4"/>
      <c r="M77" s="163" t="s">
        <v>139</v>
      </c>
      <c r="N77" s="93">
        <f>F68/M70*1000</f>
        <v>0.40050408343031335</v>
      </c>
      <c r="O77" s="4"/>
      <c r="T77" s="4"/>
      <c r="U77" s="4"/>
    </row>
    <row r="78" spans="1:21" x14ac:dyDescent="0.25">
      <c r="B78" s="6"/>
      <c r="C78"/>
      <c r="D78" s="3"/>
      <c r="E78" s="3"/>
      <c r="F78" s="4"/>
      <c r="G78" s="4"/>
      <c r="H78" s="4"/>
      <c r="L78" s="4"/>
      <c r="M78" s="4"/>
      <c r="N78" s="4"/>
      <c r="O78" s="4"/>
      <c r="P78" s="4"/>
      <c r="Q78" s="4"/>
      <c r="R78" s="4"/>
      <c r="S78" s="4"/>
      <c r="T78" s="4"/>
      <c r="U78" s="4"/>
    </row>
    <row r="79" spans="1:21" x14ac:dyDescent="0.25">
      <c r="B79" s="6"/>
      <c r="C79"/>
      <c r="D79" s="3"/>
      <c r="E79" s="3"/>
      <c r="F79" s="4"/>
      <c r="G79" s="4"/>
      <c r="H79" s="4"/>
      <c r="L79" s="4"/>
      <c r="M79" s="4"/>
      <c r="N79" s="4"/>
      <c r="O79" s="4"/>
      <c r="P79" s="4"/>
      <c r="Q79" s="4"/>
      <c r="R79" s="4"/>
      <c r="S79" s="4"/>
      <c r="T79" s="4"/>
      <c r="U79" s="4"/>
    </row>
    <row r="80" spans="1:21" s="29" customFormat="1" x14ac:dyDescent="0.25">
      <c r="A80" s="28" t="s">
        <v>108</v>
      </c>
      <c r="C80" s="30"/>
      <c r="D80" s="30"/>
      <c r="E80" s="30"/>
    </row>
    <row r="81" spans="1:21" x14ac:dyDescent="0.25">
      <c r="B81" s="6" t="s">
        <v>26</v>
      </c>
      <c r="C81" s="53"/>
      <c r="D81" s="53"/>
      <c r="E81" s="53"/>
    </row>
    <row r="82" spans="1:21" ht="32.25" x14ac:dyDescent="0.25">
      <c r="B82" s="17" t="s">
        <v>14</v>
      </c>
      <c r="C82" s="20" t="s">
        <v>21</v>
      </c>
      <c r="D82" s="20" t="s">
        <v>94</v>
      </c>
      <c r="E82" s="17" t="s">
        <v>13</v>
      </c>
      <c r="F82" s="17" t="s">
        <v>15</v>
      </c>
      <c r="G82" s="18" t="s">
        <v>1</v>
      </c>
      <c r="H82" s="19" t="s">
        <v>25</v>
      </c>
      <c r="I82" s="17" t="s">
        <v>2</v>
      </c>
      <c r="J82" s="20" t="s">
        <v>94</v>
      </c>
      <c r="K82" s="20" t="s">
        <v>22</v>
      </c>
      <c r="L82" s="19" t="s">
        <v>8</v>
      </c>
      <c r="M82" s="19" t="s">
        <v>16</v>
      </c>
      <c r="N82" s="19" t="s">
        <v>17</v>
      </c>
      <c r="O82" s="19" t="s">
        <v>18</v>
      </c>
      <c r="P82" s="20" t="s">
        <v>10</v>
      </c>
      <c r="Q82" s="20" t="s">
        <v>23</v>
      </c>
      <c r="R82" s="19" t="s">
        <v>9</v>
      </c>
      <c r="S82" s="19" t="s">
        <v>19</v>
      </c>
      <c r="T82" s="19" t="s">
        <v>20</v>
      </c>
      <c r="U82" s="19" t="s">
        <v>24</v>
      </c>
    </row>
    <row r="83" spans="1:21" x14ac:dyDescent="0.25">
      <c r="A83" s="41" t="s">
        <v>173</v>
      </c>
      <c r="B83" s="176" t="s">
        <v>113</v>
      </c>
      <c r="C83" s="8">
        <v>52.4</v>
      </c>
      <c r="D83" s="8">
        <v>446.59</v>
      </c>
      <c r="E83" s="8">
        <v>1</v>
      </c>
      <c r="F83" s="11">
        <f>C83/D83</f>
        <v>0.11733357218029961</v>
      </c>
      <c r="G83" s="7"/>
      <c r="H83" s="7"/>
      <c r="I83" s="8" t="s">
        <v>37</v>
      </c>
      <c r="J83" s="8">
        <v>118.96</v>
      </c>
      <c r="K83" s="21">
        <f>(F83*1.25)*J83</f>
        <v>17.447502183210549</v>
      </c>
      <c r="L83" s="7" t="s">
        <v>27</v>
      </c>
      <c r="M83" s="44">
        <v>400</v>
      </c>
      <c r="N83" s="42">
        <v>0.88300000000000001</v>
      </c>
      <c r="O83" s="11">
        <f>M83*N83</f>
        <v>353.2</v>
      </c>
      <c r="P83" s="8"/>
      <c r="Q83" s="8"/>
      <c r="R83" s="7"/>
      <c r="S83" s="7"/>
      <c r="T83" s="7"/>
      <c r="U83" s="11">
        <f>S83*T83</f>
        <v>0</v>
      </c>
    </row>
    <row r="84" spans="1:21" x14ac:dyDescent="0.25">
      <c r="B84" s="8" t="s">
        <v>114</v>
      </c>
      <c r="C84" s="8">
        <v>25.8</v>
      </c>
      <c r="D84" s="8">
        <v>200.24</v>
      </c>
      <c r="E84" s="8">
        <v>1.1000000000000001</v>
      </c>
      <c r="F84" s="11">
        <f>C84/D84</f>
        <v>0.12884538553735517</v>
      </c>
      <c r="G84" s="1"/>
      <c r="H84" s="1"/>
      <c r="I84" s="25" t="s">
        <v>39</v>
      </c>
      <c r="J84" s="26">
        <v>68.03</v>
      </c>
      <c r="K84" s="21">
        <f>(F83*3.3)*J84</f>
        <v>26.341269620905077</v>
      </c>
      <c r="L84" s="42" t="s">
        <v>38</v>
      </c>
      <c r="M84" s="45">
        <v>180</v>
      </c>
      <c r="N84" s="1">
        <v>0.94499999999999995</v>
      </c>
      <c r="O84" s="11">
        <f>M84*N84</f>
        <v>170.1</v>
      </c>
      <c r="P84" s="8"/>
      <c r="Q84" s="8"/>
      <c r="R84" s="7"/>
      <c r="S84" s="7"/>
      <c r="T84" s="7"/>
      <c r="U84" s="11">
        <f t="shared" ref="U84:U85" si="7">S84*T84</f>
        <v>0</v>
      </c>
    </row>
    <row r="85" spans="1:21" x14ac:dyDescent="0.25">
      <c r="B85" s="8"/>
      <c r="C85" s="8"/>
      <c r="D85" s="8"/>
      <c r="E85" s="8"/>
      <c r="F85" s="10"/>
      <c r="G85" s="1"/>
      <c r="H85" s="1"/>
      <c r="I85" s="25"/>
      <c r="J85" s="26"/>
      <c r="K85" s="46"/>
      <c r="L85" s="42" t="s">
        <v>40</v>
      </c>
      <c r="M85" s="45">
        <v>590</v>
      </c>
      <c r="N85" s="1">
        <v>0.89500000000000002</v>
      </c>
      <c r="O85" s="11">
        <f t="shared" ref="O85" si="8">M85*N85</f>
        <v>528.04999999999995</v>
      </c>
      <c r="P85" s="8"/>
      <c r="Q85" s="8"/>
      <c r="R85" s="7"/>
      <c r="S85" s="7"/>
      <c r="T85" s="7"/>
      <c r="U85" s="11">
        <f t="shared" si="7"/>
        <v>0</v>
      </c>
    </row>
    <row r="86" spans="1:21" x14ac:dyDescent="0.25">
      <c r="B86" s="10" t="s">
        <v>4</v>
      </c>
      <c r="C86" s="11">
        <f>SUM(C83:C84)</f>
        <v>78.2</v>
      </c>
      <c r="D86" s="11">
        <f>SUM(D83:D84)</f>
        <v>646.82999999999993</v>
      </c>
      <c r="E86" s="10"/>
      <c r="F86" s="165">
        <f>SUM(F83:F84)</f>
        <v>0.24617895771765477</v>
      </c>
      <c r="H86" s="23">
        <f>SUM(H83:H84)</f>
        <v>0</v>
      </c>
      <c r="K86" s="166">
        <f>SUM(K83:K85)</f>
        <v>43.788771804115626</v>
      </c>
      <c r="M86" s="89">
        <f>SUM(M83:M85)</f>
        <v>1170</v>
      </c>
      <c r="O86" s="23">
        <f>SUM(O83:O85)</f>
        <v>1051.3499999999999</v>
      </c>
      <c r="Q86" s="23">
        <f>SUM(Q83:Q85)</f>
        <v>0</v>
      </c>
      <c r="U86" s="23">
        <f>SUM(U83:U85)</f>
        <v>0</v>
      </c>
    </row>
    <row r="87" spans="1:21" x14ac:dyDescent="0.25">
      <c r="B87" s="4"/>
      <c r="C87" s="3"/>
      <c r="D87" s="3"/>
      <c r="E87" s="3"/>
      <c r="F87" s="4"/>
      <c r="G87" s="4"/>
      <c r="H87" s="4"/>
      <c r="L87" s="4"/>
      <c r="M87" s="4"/>
      <c r="N87" s="4"/>
      <c r="O87" s="4"/>
      <c r="P87" s="4"/>
      <c r="Q87" s="4"/>
      <c r="R87" s="4"/>
      <c r="S87" s="4"/>
      <c r="T87" s="4"/>
      <c r="U87" s="4"/>
    </row>
    <row r="88" spans="1:21" x14ac:dyDescent="0.25">
      <c r="B88" s="4"/>
      <c r="C88" s="3"/>
      <c r="D88" s="3"/>
      <c r="E88" s="3"/>
      <c r="F88" s="4"/>
      <c r="G88" s="4"/>
      <c r="J88" s="162" t="s">
        <v>133</v>
      </c>
      <c r="K88" s="96">
        <f>(S90/F83)*100</f>
        <v>90</v>
      </c>
      <c r="N88" s="4"/>
      <c r="O88" s="4"/>
      <c r="P88" s="4"/>
      <c r="Q88" s="4"/>
      <c r="R88" s="4"/>
    </row>
    <row r="89" spans="1:21" x14ac:dyDescent="0.25">
      <c r="B89" s="4"/>
      <c r="C89" s="3"/>
      <c r="D89" s="3"/>
      <c r="E89" s="3"/>
      <c r="F89" s="4"/>
      <c r="G89" s="4"/>
      <c r="J89" s="159" t="s">
        <v>134</v>
      </c>
      <c r="K89" s="97">
        <f>(R90/(D86)*100)</f>
        <v>97.214105715566689</v>
      </c>
      <c r="Q89" s="5" t="s">
        <v>11</v>
      </c>
      <c r="R89" s="5" t="s">
        <v>12</v>
      </c>
      <c r="S89" s="5" t="s">
        <v>0</v>
      </c>
    </row>
    <row r="90" spans="1:21" x14ac:dyDescent="0.25">
      <c r="B90" s="4"/>
      <c r="C90" s="3"/>
      <c r="D90" s="3"/>
      <c r="E90" s="3"/>
      <c r="F90" s="4"/>
      <c r="G90" s="4"/>
      <c r="J90" s="162" t="s">
        <v>135</v>
      </c>
      <c r="K90" s="96">
        <f>(Q90/C86)*100</f>
        <v>84.91364599798564</v>
      </c>
      <c r="O90" s="4"/>
      <c r="P90" s="5" t="s">
        <v>3</v>
      </c>
      <c r="Q90" s="9">
        <f>S90*R90</f>
        <v>66.402471170424775</v>
      </c>
      <c r="R90" s="9">
        <v>628.80999999999995</v>
      </c>
      <c r="S90" s="22">
        <f>F83*0.9</f>
        <v>0.10560021496226965</v>
      </c>
    </row>
    <row r="91" spans="1:21" ht="17.25" x14ac:dyDescent="0.25">
      <c r="B91" s="4"/>
      <c r="C91" s="3"/>
      <c r="D91" s="3"/>
      <c r="E91" s="3"/>
      <c r="F91" s="4"/>
      <c r="G91" s="4"/>
      <c r="J91" s="159" t="s">
        <v>136</v>
      </c>
      <c r="K91" s="13">
        <f>(C86+H86+K86+O86+Q86+U86)/Q90</f>
        <v>17.670107017443545</v>
      </c>
      <c r="N91" s="4"/>
      <c r="O91" s="4"/>
      <c r="R91" s="53"/>
      <c r="S91" s="3"/>
    </row>
    <row r="92" spans="1:21" ht="17.25" x14ac:dyDescent="0.25">
      <c r="B92" s="4"/>
      <c r="C92" s="3"/>
      <c r="D92" s="3"/>
      <c r="E92" s="3"/>
      <c r="F92" s="4"/>
      <c r="G92" s="4"/>
      <c r="H92" s="4"/>
      <c r="J92" s="163" t="s">
        <v>137</v>
      </c>
      <c r="K92" s="15">
        <f>(C86+H86+K86)/Q90</f>
        <v>1.8371119275218877</v>
      </c>
      <c r="N92" s="4"/>
      <c r="O92" s="4"/>
      <c r="R92" s="4"/>
    </row>
    <row r="93" spans="1:21" ht="17.25" x14ac:dyDescent="0.25">
      <c r="B93" s="4"/>
      <c r="C93" s="3"/>
      <c r="D93" s="3"/>
      <c r="E93" s="3"/>
      <c r="F93" s="4"/>
      <c r="G93" s="4"/>
      <c r="H93" s="4"/>
      <c r="J93" s="164" t="s">
        <v>138</v>
      </c>
      <c r="K93" s="16">
        <f>(O86+U86)/Q90</f>
        <v>15.832995089921658</v>
      </c>
      <c r="L93" s="4"/>
      <c r="M93" s="163" t="s">
        <v>139</v>
      </c>
      <c r="N93" s="93">
        <f>F83/M86*1000</f>
        <v>0.10028510442760651</v>
      </c>
      <c r="O93" s="4"/>
      <c r="T93" s="4"/>
      <c r="U93" s="4"/>
    </row>
    <row r="94" spans="1:21" x14ac:dyDescent="0.25">
      <c r="B94" s="6"/>
      <c r="C94"/>
      <c r="D94" s="3"/>
      <c r="E94" s="3"/>
      <c r="F94" s="4"/>
      <c r="G94" s="4"/>
      <c r="H94" s="4"/>
      <c r="M94" s="4"/>
      <c r="N94" s="4"/>
      <c r="O94" s="4"/>
      <c r="P94" s="4"/>
      <c r="Q94" s="4"/>
      <c r="R94" s="4"/>
      <c r="S94" s="4"/>
      <c r="T94" s="4"/>
      <c r="U94" s="4"/>
    </row>
    <row r="95" spans="1:21" x14ac:dyDescent="0.25">
      <c r="B95" s="6" t="s">
        <v>26</v>
      </c>
      <c r="C95" s="53"/>
      <c r="D95" s="53"/>
      <c r="E95" s="53"/>
    </row>
    <row r="96" spans="1:21" ht="32.25" x14ac:dyDescent="0.25">
      <c r="B96" s="17" t="s">
        <v>14</v>
      </c>
      <c r="C96" s="20" t="s">
        <v>21</v>
      </c>
      <c r="D96" s="20" t="s">
        <v>94</v>
      </c>
      <c r="E96" s="17" t="s">
        <v>13</v>
      </c>
      <c r="F96" s="17" t="s">
        <v>15</v>
      </c>
      <c r="G96" s="18" t="s">
        <v>1</v>
      </c>
      <c r="H96" s="19" t="s">
        <v>25</v>
      </c>
      <c r="I96" s="17" t="s">
        <v>2</v>
      </c>
      <c r="J96" s="20" t="s">
        <v>94</v>
      </c>
      <c r="K96" s="20" t="s">
        <v>22</v>
      </c>
      <c r="L96" s="19" t="s">
        <v>8</v>
      </c>
      <c r="M96" s="19" t="s">
        <v>16</v>
      </c>
      <c r="N96" s="19" t="s">
        <v>17</v>
      </c>
      <c r="O96" s="19" t="s">
        <v>18</v>
      </c>
      <c r="P96" s="20" t="s">
        <v>10</v>
      </c>
      <c r="Q96" s="20" t="s">
        <v>23</v>
      </c>
      <c r="R96" s="19" t="s">
        <v>9</v>
      </c>
      <c r="S96" s="19" t="s">
        <v>19</v>
      </c>
      <c r="T96" s="19" t="s">
        <v>20</v>
      </c>
      <c r="U96" s="19" t="s">
        <v>24</v>
      </c>
    </row>
    <row r="97" spans="1:21" x14ac:dyDescent="0.25">
      <c r="A97" s="110" t="s">
        <v>172</v>
      </c>
      <c r="B97" s="176" t="s">
        <v>42</v>
      </c>
      <c r="C97" s="8">
        <v>784</v>
      </c>
      <c r="D97" s="8">
        <v>146.15</v>
      </c>
      <c r="E97" s="8">
        <v>1</v>
      </c>
      <c r="F97" s="11">
        <f>C97/D97</f>
        <v>5.3643516934656175</v>
      </c>
      <c r="G97" s="7"/>
      <c r="H97" s="7"/>
      <c r="I97" s="8" t="s">
        <v>37</v>
      </c>
      <c r="J97" s="8">
        <v>118.96</v>
      </c>
      <c r="K97" s="21">
        <f>F98*J97</f>
        <v>657.28757577830993</v>
      </c>
      <c r="L97" s="42" t="s">
        <v>44</v>
      </c>
      <c r="M97" s="2">
        <v>550</v>
      </c>
      <c r="N97" s="2">
        <v>0.86699999999999999</v>
      </c>
      <c r="O97" s="11">
        <f>M97*N97</f>
        <v>476.85</v>
      </c>
      <c r="P97" s="8"/>
      <c r="Q97" s="8"/>
      <c r="R97" s="7"/>
      <c r="S97" s="7"/>
      <c r="T97" s="7"/>
      <c r="U97" s="11">
        <f>S97*T97</f>
        <v>0</v>
      </c>
    </row>
    <row r="98" spans="1:21" x14ac:dyDescent="0.25">
      <c r="B98" s="8" t="s">
        <v>43</v>
      </c>
      <c r="C98" s="8">
        <v>600</v>
      </c>
      <c r="D98" s="8">
        <v>108.52</v>
      </c>
      <c r="E98" s="8">
        <v>1.03</v>
      </c>
      <c r="F98" s="11">
        <f>F97*E98</f>
        <v>5.5252822442695857</v>
      </c>
      <c r="G98" s="1"/>
      <c r="H98" s="1"/>
      <c r="I98" s="25" t="s">
        <v>45</v>
      </c>
      <c r="J98" s="26">
        <v>40</v>
      </c>
      <c r="K98" s="21">
        <f>F98*J98</f>
        <v>221.01128977078343</v>
      </c>
      <c r="L98" s="42" t="s">
        <v>41</v>
      </c>
      <c r="M98" s="2">
        <v>1300</v>
      </c>
      <c r="N98" s="1">
        <v>1</v>
      </c>
      <c r="O98" s="11">
        <f t="shared" ref="O98" si="9">M98*N98</f>
        <v>1300</v>
      </c>
      <c r="P98" s="8"/>
      <c r="Q98" s="8"/>
      <c r="R98" s="7"/>
      <c r="S98" s="7"/>
      <c r="T98" s="7"/>
      <c r="U98" s="11">
        <f t="shared" ref="U98" si="10">S98*T98</f>
        <v>0</v>
      </c>
    </row>
    <row r="99" spans="1:21" x14ac:dyDescent="0.25">
      <c r="B99" s="10" t="s">
        <v>4</v>
      </c>
      <c r="C99" s="11">
        <f>SUM(C97:C98)</f>
        <v>1384</v>
      </c>
      <c r="D99" s="11">
        <f>SUM(D97:D98)</f>
        <v>254.67000000000002</v>
      </c>
      <c r="E99" s="10"/>
      <c r="F99" s="11">
        <f>SUM(F97:F98)</f>
        <v>10.889633937735203</v>
      </c>
      <c r="H99" s="23">
        <f>SUM(H97:H98)</f>
        <v>0</v>
      </c>
      <c r="K99" s="24">
        <f>SUM(K97:K98)</f>
        <v>878.29886554909331</v>
      </c>
      <c r="M99" s="89">
        <f>M97+M98</f>
        <v>1850</v>
      </c>
      <c r="O99" s="23">
        <f>SUM(O97:O98)</f>
        <v>1776.85</v>
      </c>
      <c r="Q99" s="23">
        <f>SUM(Q97:Q98)</f>
        <v>0</v>
      </c>
      <c r="U99" s="23">
        <f>SUM(U97:U98)</f>
        <v>0</v>
      </c>
    </row>
    <row r="100" spans="1:21" x14ac:dyDescent="0.25">
      <c r="B100" s="4"/>
      <c r="C100" s="3"/>
      <c r="D100" s="3"/>
      <c r="E100" s="3"/>
      <c r="F100" s="4"/>
      <c r="G100" s="4"/>
      <c r="H100" s="4"/>
      <c r="L100" s="4"/>
      <c r="M100" s="4"/>
      <c r="N100" s="4"/>
      <c r="O100" s="4"/>
      <c r="P100" s="4"/>
      <c r="Q100" s="4"/>
      <c r="R100" s="4"/>
      <c r="S100" s="4"/>
      <c r="T100" s="4"/>
      <c r="U100" s="4"/>
    </row>
    <row r="101" spans="1:21" x14ac:dyDescent="0.25">
      <c r="B101" s="4"/>
      <c r="C101" s="3"/>
      <c r="D101" s="3"/>
      <c r="E101" s="3"/>
      <c r="F101" s="4"/>
      <c r="G101" s="4"/>
      <c r="J101" s="162" t="s">
        <v>133</v>
      </c>
      <c r="K101" s="96">
        <f>(S103/F97)*100</f>
        <v>90</v>
      </c>
      <c r="N101" s="4"/>
      <c r="O101" s="4"/>
      <c r="P101" s="4"/>
      <c r="Q101" s="4"/>
      <c r="R101" s="4"/>
    </row>
    <row r="102" spans="1:21" x14ac:dyDescent="0.25">
      <c r="B102" s="4"/>
      <c r="C102" s="3"/>
      <c r="D102" s="3"/>
      <c r="E102" s="3"/>
      <c r="F102" s="4"/>
      <c r="G102" s="4"/>
      <c r="J102" s="159" t="s">
        <v>134</v>
      </c>
      <c r="K102" s="97">
        <f>(R103/(D99)*100)</f>
        <v>92.924176385125847</v>
      </c>
      <c r="Q102" s="5" t="s">
        <v>11</v>
      </c>
      <c r="R102" s="5" t="s">
        <v>12</v>
      </c>
      <c r="S102" s="5" t="s">
        <v>0</v>
      </c>
    </row>
    <row r="103" spans="1:21" x14ac:dyDescent="0.25">
      <c r="B103" s="4"/>
      <c r="C103" s="3"/>
      <c r="D103" s="3"/>
      <c r="E103" s="3"/>
      <c r="F103" s="4"/>
      <c r="G103" s="4"/>
      <c r="J103" s="162" t="s">
        <v>135</v>
      </c>
      <c r="K103" s="96">
        <f>(Q103/C99)*100</f>
        <v>82.552488831847882</v>
      </c>
      <c r="O103" s="4"/>
      <c r="P103" s="5" t="s">
        <v>3</v>
      </c>
      <c r="Q103" s="9">
        <f>S103*R103</f>
        <v>1142.5264454327746</v>
      </c>
      <c r="R103" s="9">
        <v>236.65</v>
      </c>
      <c r="S103" s="48">
        <f>F97*0.9</f>
        <v>4.8279165241190558</v>
      </c>
    </row>
    <row r="104" spans="1:21" ht="17.25" x14ac:dyDescent="0.25">
      <c r="B104" s="4"/>
      <c r="C104" s="3"/>
      <c r="D104" s="3"/>
      <c r="E104" s="3"/>
      <c r="F104" s="4"/>
      <c r="G104" s="4"/>
      <c r="J104" s="159" t="s">
        <v>136</v>
      </c>
      <c r="K104" s="13">
        <f>(C99+H99+K99+O99+Q99+U99)/Q103</f>
        <v>3.5352782263338463</v>
      </c>
      <c r="N104" s="4"/>
      <c r="O104" s="4"/>
      <c r="R104" s="53"/>
      <c r="S104" s="3"/>
    </row>
    <row r="105" spans="1:21" ht="17.25" x14ac:dyDescent="0.25">
      <c r="B105" s="4"/>
      <c r="C105" s="3"/>
      <c r="D105" s="3"/>
      <c r="E105" s="3"/>
      <c r="F105" s="4"/>
      <c r="G105" s="4"/>
      <c r="H105" s="4"/>
      <c r="J105" s="163" t="s">
        <v>137</v>
      </c>
      <c r="K105" s="15">
        <f>(C99+H99+K99)/Q103</f>
        <v>1.9800844650840124</v>
      </c>
      <c r="N105" s="4"/>
      <c r="O105" s="4"/>
      <c r="R105" s="4"/>
    </row>
    <row r="106" spans="1:21" ht="17.25" x14ac:dyDescent="0.25">
      <c r="B106" s="4"/>
      <c r="C106" s="3"/>
      <c r="D106" s="3"/>
      <c r="E106" s="3"/>
      <c r="F106" s="4"/>
      <c r="G106" s="4"/>
      <c r="H106" s="4"/>
      <c r="J106" s="164" t="s">
        <v>138</v>
      </c>
      <c r="K106" s="16">
        <f>(O99+U99)/Q103</f>
        <v>1.5551937612498339</v>
      </c>
      <c r="L106" s="4"/>
      <c r="M106" s="163" t="s">
        <v>139</v>
      </c>
      <c r="N106" s="93">
        <f>F97/M99*1000</f>
        <v>2.8996495640354687</v>
      </c>
      <c r="O106" s="4"/>
      <c r="T106" s="4"/>
      <c r="U106" s="4"/>
    </row>
    <row r="107" spans="1:21" x14ac:dyDescent="0.25">
      <c r="B107" s="6"/>
      <c r="C107"/>
      <c r="D107" s="3"/>
      <c r="E107" s="3"/>
      <c r="F107" s="4"/>
      <c r="G107" s="4"/>
      <c r="H107" s="4"/>
      <c r="L107" s="4"/>
      <c r="M107" s="4"/>
      <c r="N107" s="4"/>
      <c r="O107" s="4"/>
      <c r="P107" s="4"/>
      <c r="Q107" s="4"/>
      <c r="R107" s="4"/>
      <c r="S107" s="4"/>
      <c r="T107" s="4"/>
      <c r="U107" s="4"/>
    </row>
    <row r="108" spans="1:21" x14ac:dyDescent="0.25">
      <c r="B108" s="6"/>
      <c r="C108"/>
      <c r="D108" s="3"/>
      <c r="E108" s="3"/>
      <c r="F108" s="4"/>
      <c r="G108" s="4"/>
      <c r="H108" s="4"/>
      <c r="L108" s="4"/>
      <c r="M108" s="4"/>
      <c r="N108" s="4"/>
      <c r="O108" s="4"/>
      <c r="P108" s="4"/>
      <c r="Q108" s="4"/>
      <c r="R108" s="4"/>
      <c r="S108" s="4"/>
      <c r="T108" s="4"/>
      <c r="U108" s="4"/>
    </row>
    <row r="109" spans="1:21" s="29" customFormat="1" x14ac:dyDescent="0.25">
      <c r="A109" s="28" t="s">
        <v>105</v>
      </c>
      <c r="C109" s="30"/>
      <c r="D109" s="30"/>
      <c r="E109" s="30"/>
    </row>
    <row r="110" spans="1:21" x14ac:dyDescent="0.25">
      <c r="B110" s="6" t="s">
        <v>26</v>
      </c>
      <c r="C110" s="53"/>
      <c r="D110" s="53"/>
      <c r="E110" s="53"/>
    </row>
    <row r="111" spans="1:21" ht="32.25" x14ac:dyDescent="0.25">
      <c r="B111" s="17" t="s">
        <v>14</v>
      </c>
      <c r="C111" s="20" t="s">
        <v>21</v>
      </c>
      <c r="D111" s="20" t="s">
        <v>94</v>
      </c>
      <c r="E111" s="17" t="s">
        <v>13</v>
      </c>
      <c r="F111" s="17" t="s">
        <v>15</v>
      </c>
      <c r="G111" s="18" t="s">
        <v>1</v>
      </c>
      <c r="H111" s="19" t="s">
        <v>25</v>
      </c>
      <c r="I111" s="17" t="s">
        <v>2</v>
      </c>
      <c r="J111" s="20" t="s">
        <v>94</v>
      </c>
      <c r="K111" s="20" t="s">
        <v>22</v>
      </c>
      <c r="L111" s="19" t="s">
        <v>8</v>
      </c>
      <c r="M111" s="19" t="s">
        <v>16</v>
      </c>
      <c r="N111" s="19" t="s">
        <v>17</v>
      </c>
      <c r="O111" s="19" t="s">
        <v>18</v>
      </c>
      <c r="P111" s="20" t="s">
        <v>10</v>
      </c>
      <c r="Q111" s="20" t="s">
        <v>23</v>
      </c>
      <c r="R111" s="19" t="s">
        <v>9</v>
      </c>
      <c r="S111" s="19" t="s">
        <v>19</v>
      </c>
      <c r="T111" s="19" t="s">
        <v>20</v>
      </c>
      <c r="U111" s="19" t="s">
        <v>24</v>
      </c>
    </row>
    <row r="112" spans="1:21" x14ac:dyDescent="0.25">
      <c r="A112" s="41" t="s">
        <v>173</v>
      </c>
      <c r="B112" s="176" t="s">
        <v>113</v>
      </c>
      <c r="C112" s="8">
        <v>52.4</v>
      </c>
      <c r="D112" s="8">
        <v>446.59</v>
      </c>
      <c r="E112" s="8">
        <v>1</v>
      </c>
      <c r="F112" s="11">
        <f>C112/D112</f>
        <v>0.11733357218029961</v>
      </c>
      <c r="G112" s="7"/>
      <c r="H112" s="7"/>
      <c r="I112" s="8" t="s">
        <v>37</v>
      </c>
      <c r="J112" s="8">
        <v>118.96</v>
      </c>
      <c r="K112" s="21">
        <f>(F112*1.25)*J112</f>
        <v>17.447502183210549</v>
      </c>
      <c r="L112" s="7" t="s">
        <v>27</v>
      </c>
      <c r="M112" s="44">
        <v>101</v>
      </c>
      <c r="N112" s="42">
        <v>0.88300000000000001</v>
      </c>
      <c r="O112" s="11">
        <f>M112*N112</f>
        <v>89.183000000000007</v>
      </c>
      <c r="P112" s="8"/>
      <c r="Q112" s="8"/>
      <c r="R112" s="7"/>
      <c r="S112" s="7"/>
      <c r="T112" s="7"/>
      <c r="U112" s="11">
        <f>S112*T112</f>
        <v>0</v>
      </c>
    </row>
    <row r="113" spans="1:21" x14ac:dyDescent="0.25">
      <c r="B113" s="8" t="s">
        <v>114</v>
      </c>
      <c r="C113" s="8">
        <v>25.8</v>
      </c>
      <c r="D113" s="8">
        <v>200.24</v>
      </c>
      <c r="E113" s="8">
        <v>1.1000000000000001</v>
      </c>
      <c r="F113" s="11">
        <f>C113/D113</f>
        <v>0.12884538553735517</v>
      </c>
      <c r="G113" s="1"/>
      <c r="H113" s="1"/>
      <c r="I113" s="25" t="s">
        <v>39</v>
      </c>
      <c r="J113" s="26">
        <v>68.03</v>
      </c>
      <c r="K113" s="21">
        <f>(F112*3.3)*J113</f>
        <v>26.341269620905077</v>
      </c>
      <c r="L113" s="42" t="s">
        <v>38</v>
      </c>
      <c r="M113" s="45">
        <v>45</v>
      </c>
      <c r="N113" s="1">
        <v>0.94499999999999995</v>
      </c>
      <c r="O113" s="11">
        <f>M113*N113</f>
        <v>42.524999999999999</v>
      </c>
      <c r="P113" s="8"/>
      <c r="Q113" s="8"/>
      <c r="R113" s="7"/>
      <c r="S113" s="7"/>
      <c r="T113" s="7"/>
      <c r="U113" s="11">
        <f t="shared" ref="U113:U114" si="11">S113*T113</f>
        <v>0</v>
      </c>
    </row>
    <row r="114" spans="1:21" x14ac:dyDescent="0.25">
      <c r="B114" s="8"/>
      <c r="C114" s="8"/>
      <c r="D114" s="8"/>
      <c r="E114" s="8"/>
      <c r="F114" s="10"/>
      <c r="G114" s="1"/>
      <c r="H114" s="1"/>
      <c r="I114" s="25"/>
      <c r="J114" s="26"/>
      <c r="K114" s="46"/>
      <c r="L114" s="42" t="s">
        <v>40</v>
      </c>
      <c r="M114" s="45">
        <v>148</v>
      </c>
      <c r="N114" s="1">
        <v>0.89500000000000002</v>
      </c>
      <c r="O114" s="11">
        <f t="shared" ref="O114" si="12">M114*N114</f>
        <v>132.46</v>
      </c>
      <c r="P114" s="8"/>
      <c r="Q114" s="8"/>
      <c r="R114" s="7"/>
      <c r="S114" s="7"/>
      <c r="T114" s="7"/>
      <c r="U114" s="11">
        <f t="shared" si="11"/>
        <v>0</v>
      </c>
    </row>
    <row r="115" spans="1:21" x14ac:dyDescent="0.25">
      <c r="B115" s="10" t="s">
        <v>4</v>
      </c>
      <c r="C115" s="11">
        <f>SUM(C112:C114)</f>
        <v>78.2</v>
      </c>
      <c r="D115" s="11">
        <f>SUM(D112:D114)</f>
        <v>646.82999999999993</v>
      </c>
      <c r="E115" s="10"/>
      <c r="F115" s="165">
        <f>SUM(F112:F114)</f>
        <v>0.24617895771765477</v>
      </c>
      <c r="H115" s="23">
        <f>SUM(H112:H113)</f>
        <v>0</v>
      </c>
      <c r="K115" s="166">
        <f>SUM(K112:K114)</f>
        <v>43.788771804115626</v>
      </c>
      <c r="M115" s="89">
        <f>SUM(M112:M114)</f>
        <v>294</v>
      </c>
      <c r="O115" s="23">
        <f>SUM(O112:O114)</f>
        <v>264.16800000000001</v>
      </c>
      <c r="Q115" s="23">
        <f>SUM(Q112:Q114)</f>
        <v>0</v>
      </c>
      <c r="U115" s="23">
        <f>SUM(U112:U114)</f>
        <v>0</v>
      </c>
    </row>
    <row r="116" spans="1:21" x14ac:dyDescent="0.25">
      <c r="B116" s="4"/>
      <c r="C116" s="3"/>
      <c r="D116" s="3"/>
      <c r="E116" s="3"/>
      <c r="F116" s="4"/>
      <c r="G116" s="4"/>
      <c r="H116" s="4"/>
      <c r="L116" s="4"/>
      <c r="M116" s="4"/>
      <c r="N116" s="4"/>
      <c r="O116" s="4"/>
      <c r="P116" s="4"/>
      <c r="Q116" s="4"/>
      <c r="R116" s="4"/>
      <c r="S116" s="4"/>
      <c r="T116" s="4"/>
      <c r="U116" s="4"/>
    </row>
    <row r="117" spans="1:21" x14ac:dyDescent="0.25">
      <c r="B117" s="4"/>
      <c r="C117" s="3"/>
      <c r="D117" s="3"/>
      <c r="E117" s="3"/>
      <c r="F117" s="4"/>
      <c r="G117" s="4"/>
      <c r="J117" s="162" t="s">
        <v>133</v>
      </c>
      <c r="K117" s="96">
        <f>(S119/F112)*100</f>
        <v>90</v>
      </c>
      <c r="N117" s="4"/>
      <c r="O117" s="4"/>
      <c r="P117" s="4"/>
      <c r="Q117" s="4"/>
      <c r="R117" s="4"/>
    </row>
    <row r="118" spans="1:21" x14ac:dyDescent="0.25">
      <c r="B118" s="4"/>
      <c r="C118" s="3"/>
      <c r="D118" s="3"/>
      <c r="E118" s="3"/>
      <c r="F118" s="4"/>
      <c r="G118" s="4"/>
      <c r="J118" s="159" t="s">
        <v>134</v>
      </c>
      <c r="K118" s="97">
        <f>(R119/(D115)*100)</f>
        <v>97.214105715566689</v>
      </c>
      <c r="Q118" s="5" t="s">
        <v>11</v>
      </c>
      <c r="R118" s="5" t="s">
        <v>12</v>
      </c>
      <c r="S118" s="5" t="s">
        <v>0</v>
      </c>
    </row>
    <row r="119" spans="1:21" x14ac:dyDescent="0.25">
      <c r="B119" s="4"/>
      <c r="C119" s="3"/>
      <c r="D119" s="3"/>
      <c r="E119" s="3"/>
      <c r="F119" s="4"/>
      <c r="G119" s="4"/>
      <c r="J119" s="162" t="s">
        <v>135</v>
      </c>
      <c r="K119" s="96">
        <f>(Q119/C115)*100</f>
        <v>84.91364599798564</v>
      </c>
      <c r="O119" s="4"/>
      <c r="P119" s="5" t="s">
        <v>3</v>
      </c>
      <c r="Q119" s="9">
        <f>S119*R119</f>
        <v>66.402471170424775</v>
      </c>
      <c r="R119" s="9">
        <v>628.80999999999995</v>
      </c>
      <c r="S119" s="22">
        <f>F112*0.9</f>
        <v>0.10560021496226965</v>
      </c>
    </row>
    <row r="120" spans="1:21" ht="17.25" x14ac:dyDescent="0.25">
      <c r="B120" s="4"/>
      <c r="C120" s="3"/>
      <c r="D120" s="3"/>
      <c r="E120" s="3"/>
      <c r="F120" s="4"/>
      <c r="G120" s="4"/>
      <c r="J120" s="159" t="s">
        <v>136</v>
      </c>
      <c r="K120" s="13">
        <f>(C115+H115+K115+O115+Q115+U115)/Q119</f>
        <v>5.8153976049028024</v>
      </c>
      <c r="N120" s="4"/>
      <c r="O120" s="4"/>
      <c r="R120" s="53"/>
      <c r="S120" s="3"/>
    </row>
    <row r="121" spans="1:21" ht="17.25" x14ac:dyDescent="0.25">
      <c r="B121" s="4"/>
      <c r="C121" s="3"/>
      <c r="D121" s="3"/>
      <c r="E121" s="3"/>
      <c r="F121" s="4"/>
      <c r="G121" s="4"/>
      <c r="H121" s="4"/>
      <c r="J121" s="163" t="s">
        <v>137</v>
      </c>
      <c r="K121" s="15">
        <f>(C115+H115+K115)/Q119</f>
        <v>1.8371119275218877</v>
      </c>
      <c r="N121" s="4"/>
      <c r="O121" s="4"/>
      <c r="R121" s="4"/>
    </row>
    <row r="122" spans="1:21" ht="17.25" x14ac:dyDescent="0.25">
      <c r="B122" s="4"/>
      <c r="C122" s="3"/>
      <c r="D122" s="3"/>
      <c r="E122" s="3"/>
      <c r="F122" s="4"/>
      <c r="G122" s="4"/>
      <c r="H122" s="4"/>
      <c r="J122" s="164" t="s">
        <v>138</v>
      </c>
      <c r="K122" s="16">
        <f>(O115+U115)/Q119</f>
        <v>3.978285677380915</v>
      </c>
      <c r="L122" s="4"/>
      <c r="M122" s="163" t="s">
        <v>139</v>
      </c>
      <c r="N122" s="93">
        <f>F112/M115*1000</f>
        <v>0.39909378292618913</v>
      </c>
      <c r="O122" s="4"/>
      <c r="T122" s="4"/>
      <c r="U122" s="4"/>
    </row>
    <row r="123" spans="1:21" x14ac:dyDescent="0.25">
      <c r="B123" s="6"/>
      <c r="C123"/>
      <c r="D123" s="3"/>
      <c r="E123" s="3"/>
      <c r="F123" s="4"/>
      <c r="G123" s="4"/>
      <c r="H123" s="4"/>
      <c r="L123" s="4"/>
      <c r="M123" s="4"/>
      <c r="N123" s="4"/>
      <c r="O123" s="4"/>
      <c r="P123" s="4"/>
      <c r="Q123" s="4"/>
      <c r="R123" s="4"/>
      <c r="S123" s="4"/>
      <c r="T123" s="4"/>
      <c r="U123" s="4"/>
    </row>
    <row r="124" spans="1:21" x14ac:dyDescent="0.25">
      <c r="B124" s="6" t="s">
        <v>26</v>
      </c>
      <c r="C124" s="53"/>
      <c r="D124" s="53"/>
      <c r="E124" s="53"/>
    </row>
    <row r="125" spans="1:21" ht="32.25" x14ac:dyDescent="0.25">
      <c r="B125" s="17" t="s">
        <v>14</v>
      </c>
      <c r="C125" s="20" t="s">
        <v>21</v>
      </c>
      <c r="D125" s="20" t="s">
        <v>94</v>
      </c>
      <c r="E125" s="17" t="s">
        <v>13</v>
      </c>
      <c r="F125" s="17" t="s">
        <v>15</v>
      </c>
      <c r="G125" s="18" t="s">
        <v>1</v>
      </c>
      <c r="H125" s="19" t="s">
        <v>25</v>
      </c>
      <c r="I125" s="17" t="s">
        <v>2</v>
      </c>
      <c r="J125" s="20" t="s">
        <v>94</v>
      </c>
      <c r="K125" s="20" t="s">
        <v>22</v>
      </c>
      <c r="L125" s="19" t="s">
        <v>8</v>
      </c>
      <c r="M125" s="19" t="s">
        <v>16</v>
      </c>
      <c r="N125" s="19" t="s">
        <v>17</v>
      </c>
      <c r="O125" s="19" t="s">
        <v>18</v>
      </c>
      <c r="P125" s="20" t="s">
        <v>10</v>
      </c>
      <c r="Q125" s="20" t="s">
        <v>23</v>
      </c>
      <c r="R125" s="19" t="s">
        <v>9</v>
      </c>
      <c r="S125" s="19" t="s">
        <v>19</v>
      </c>
      <c r="T125" s="19" t="s">
        <v>20</v>
      </c>
      <c r="U125" s="19" t="s">
        <v>24</v>
      </c>
    </row>
    <row r="126" spans="1:21" x14ac:dyDescent="0.25">
      <c r="A126" s="110" t="s">
        <v>172</v>
      </c>
      <c r="B126" s="176" t="s">
        <v>42</v>
      </c>
      <c r="C126" s="8">
        <v>784</v>
      </c>
      <c r="D126" s="8">
        <v>146.15</v>
      </c>
      <c r="E126" s="8">
        <v>1</v>
      </c>
      <c r="F126" s="11">
        <f>C126/D126</f>
        <v>5.3643516934656175</v>
      </c>
      <c r="G126" s="7"/>
      <c r="H126" s="7"/>
      <c r="I126" s="8" t="s">
        <v>37</v>
      </c>
      <c r="J126" s="8">
        <v>118.96</v>
      </c>
      <c r="K126" s="21">
        <f>F127*J126</f>
        <v>657.28757577830993</v>
      </c>
      <c r="L126" s="42" t="s">
        <v>44</v>
      </c>
      <c r="M126" s="2">
        <f>550*7.24</f>
        <v>3982</v>
      </c>
      <c r="N126" s="2">
        <v>0.86699999999999999</v>
      </c>
      <c r="O126" s="11">
        <f>M126*N126</f>
        <v>3452.3939999999998</v>
      </c>
      <c r="P126" s="8"/>
      <c r="Q126" s="8"/>
      <c r="R126" s="7"/>
      <c r="S126" s="7"/>
      <c r="T126" s="7"/>
      <c r="U126" s="11">
        <f>S126*T126</f>
        <v>0</v>
      </c>
    </row>
    <row r="127" spans="1:21" x14ac:dyDescent="0.25">
      <c r="B127" s="8" t="s">
        <v>43</v>
      </c>
      <c r="C127" s="8">
        <v>600</v>
      </c>
      <c r="D127" s="8">
        <v>108.52</v>
      </c>
      <c r="E127" s="8">
        <v>1.03</v>
      </c>
      <c r="F127" s="11">
        <f>F126*E127</f>
        <v>5.5252822442695857</v>
      </c>
      <c r="G127" s="1"/>
      <c r="H127" s="1"/>
      <c r="I127" s="25" t="s">
        <v>45</v>
      </c>
      <c r="J127" s="26">
        <v>40</v>
      </c>
      <c r="K127" s="21">
        <f>F127*J127</f>
        <v>221.01128977078343</v>
      </c>
      <c r="L127" s="42" t="s">
        <v>41</v>
      </c>
      <c r="M127" s="2">
        <f>1300*7.24</f>
        <v>9412</v>
      </c>
      <c r="N127" s="1">
        <v>1</v>
      </c>
      <c r="O127" s="11">
        <f t="shared" ref="O127" si="13">M127*N127</f>
        <v>9412</v>
      </c>
      <c r="P127" s="8"/>
      <c r="Q127" s="8"/>
      <c r="R127" s="7"/>
      <c r="S127" s="7"/>
      <c r="T127" s="7"/>
      <c r="U127" s="11">
        <f t="shared" ref="U127" si="14">S127*T127</f>
        <v>0</v>
      </c>
    </row>
    <row r="128" spans="1:21" x14ac:dyDescent="0.25">
      <c r="B128" s="10" t="s">
        <v>4</v>
      </c>
      <c r="C128" s="11">
        <f>SUM(C126:C127)</f>
        <v>1384</v>
      </c>
      <c r="D128" s="11">
        <f>SUM(D126:D127)</f>
        <v>254.67000000000002</v>
      </c>
      <c r="E128" s="10"/>
      <c r="F128" s="11">
        <f>SUM(F126:F127)</f>
        <v>10.889633937735203</v>
      </c>
      <c r="H128" s="23">
        <f>SUM(H126:H127)</f>
        <v>0</v>
      </c>
      <c r="K128" s="24">
        <f>SUM(K126:K127)</f>
        <v>878.29886554909331</v>
      </c>
      <c r="M128" s="89">
        <f>M126+M127</f>
        <v>13394</v>
      </c>
      <c r="O128" s="23">
        <f>SUM(O126:O127)</f>
        <v>12864.394</v>
      </c>
      <c r="Q128" s="23">
        <f>SUM(Q126:Q127)</f>
        <v>0</v>
      </c>
      <c r="U128" s="23">
        <f>SUM(U126:U127)</f>
        <v>0</v>
      </c>
    </row>
    <row r="129" spans="1:21" x14ac:dyDescent="0.25">
      <c r="B129" s="4"/>
      <c r="C129" s="3"/>
      <c r="D129" s="3"/>
      <c r="E129" s="3"/>
      <c r="F129" s="4"/>
      <c r="G129" s="4"/>
      <c r="H129" s="4"/>
      <c r="L129" s="4"/>
      <c r="M129" s="4"/>
      <c r="N129" s="4"/>
      <c r="O129" s="4"/>
      <c r="P129" s="4"/>
      <c r="Q129" s="4"/>
      <c r="R129" s="4"/>
      <c r="S129" s="4"/>
      <c r="T129" s="4"/>
      <c r="U129" s="4"/>
    </row>
    <row r="130" spans="1:21" x14ac:dyDescent="0.25">
      <c r="B130" s="4"/>
      <c r="C130" s="3"/>
      <c r="D130" s="3"/>
      <c r="E130" s="3"/>
      <c r="F130" s="4"/>
      <c r="G130" s="4"/>
      <c r="J130" s="162" t="s">
        <v>133</v>
      </c>
      <c r="K130" s="96">
        <f>(S132/F126)*100</f>
        <v>90</v>
      </c>
      <c r="N130" s="4"/>
      <c r="O130" s="4"/>
      <c r="P130" s="4"/>
      <c r="Q130" s="4"/>
      <c r="R130" s="4"/>
    </row>
    <row r="131" spans="1:21" x14ac:dyDescent="0.25">
      <c r="B131" s="4"/>
      <c r="C131" s="3"/>
      <c r="D131" s="3"/>
      <c r="E131" s="3"/>
      <c r="F131" s="4"/>
      <c r="G131" s="4"/>
      <c r="J131" s="159" t="s">
        <v>134</v>
      </c>
      <c r="K131" s="97">
        <f>(R132/(D128)*100)</f>
        <v>92.924176385125847</v>
      </c>
      <c r="Q131" s="5" t="s">
        <v>11</v>
      </c>
      <c r="R131" s="5" t="s">
        <v>12</v>
      </c>
      <c r="S131" s="5" t="s">
        <v>0</v>
      </c>
    </row>
    <row r="132" spans="1:21" x14ac:dyDescent="0.25">
      <c r="B132" s="4"/>
      <c r="C132" s="3"/>
      <c r="D132" s="3"/>
      <c r="E132" s="3"/>
      <c r="F132" s="4"/>
      <c r="G132" s="4"/>
      <c r="J132" s="162" t="s">
        <v>135</v>
      </c>
      <c r="K132" s="96">
        <f>(Q132/C128)*100</f>
        <v>82.552488831847882</v>
      </c>
      <c r="O132" s="4"/>
      <c r="P132" s="5" t="s">
        <v>3</v>
      </c>
      <c r="Q132" s="9">
        <f>S132*R132</f>
        <v>1142.5264454327746</v>
      </c>
      <c r="R132" s="9">
        <v>236.65</v>
      </c>
      <c r="S132" s="48">
        <f>F126*0.9</f>
        <v>4.8279165241190558</v>
      </c>
    </row>
    <row r="133" spans="1:21" ht="17.25" x14ac:dyDescent="0.25">
      <c r="B133" s="4"/>
      <c r="C133" s="3"/>
      <c r="D133" s="3"/>
      <c r="E133" s="3"/>
      <c r="F133" s="4"/>
      <c r="G133" s="4"/>
      <c r="J133" s="159" t="s">
        <v>136</v>
      </c>
      <c r="K133" s="13">
        <f>(C128+H128+K128+O128+Q128+U128)/Q132</f>
        <v>13.239687296532811</v>
      </c>
      <c r="N133" s="4"/>
      <c r="O133" s="4"/>
      <c r="R133" s="53"/>
      <c r="S133" s="3"/>
    </row>
    <row r="134" spans="1:21" ht="17.25" x14ac:dyDescent="0.25">
      <c r="B134" s="4"/>
      <c r="C134" s="3"/>
      <c r="D134" s="3"/>
      <c r="E134" s="3"/>
      <c r="F134" s="4"/>
      <c r="G134" s="4"/>
      <c r="H134" s="4"/>
      <c r="J134" s="163" t="s">
        <v>137</v>
      </c>
      <c r="K134" s="15">
        <f>(C128+H128+K128)/Q132</f>
        <v>1.9800844650840124</v>
      </c>
      <c r="N134" s="4"/>
      <c r="O134" s="4"/>
      <c r="R134" s="4"/>
    </row>
    <row r="135" spans="1:21" ht="17.25" x14ac:dyDescent="0.25">
      <c r="B135" s="4"/>
      <c r="C135" s="3"/>
      <c r="D135" s="3"/>
      <c r="E135" s="3"/>
      <c r="F135" s="4"/>
      <c r="G135" s="4"/>
      <c r="H135" s="4"/>
      <c r="J135" s="164" t="s">
        <v>138</v>
      </c>
      <c r="K135" s="16">
        <f>(O128+U128)/Q132</f>
        <v>11.259602831448799</v>
      </c>
      <c r="L135" s="4"/>
      <c r="M135" s="163" t="s">
        <v>139</v>
      </c>
      <c r="N135" s="93">
        <f>F126/M128*1000</f>
        <v>0.40050408343031335</v>
      </c>
      <c r="O135" s="4"/>
      <c r="T135" s="4"/>
      <c r="U135" s="4"/>
    </row>
    <row r="136" spans="1:21" x14ac:dyDescent="0.25">
      <c r="B136" s="6"/>
      <c r="C136"/>
      <c r="D136" s="3"/>
      <c r="E136" s="3"/>
      <c r="F136" s="4"/>
      <c r="G136" s="4"/>
      <c r="H136" s="4"/>
      <c r="J136" s="4"/>
      <c r="K136" s="4"/>
      <c r="L136" s="4"/>
      <c r="M136" s="4"/>
      <c r="N136" s="4"/>
      <c r="O136" s="4"/>
      <c r="P136" s="4"/>
      <c r="Q136" s="4"/>
      <c r="R136" s="4"/>
      <c r="S136" s="4"/>
      <c r="T136" s="4"/>
      <c r="U136" s="4"/>
    </row>
    <row r="137" spans="1:21" x14ac:dyDescent="0.25">
      <c r="B137" s="6"/>
      <c r="C137"/>
      <c r="D137" s="3"/>
      <c r="E137" s="3"/>
      <c r="F137" s="4"/>
      <c r="G137" s="4"/>
      <c r="H137" s="4"/>
      <c r="L137" s="4"/>
      <c r="M137" s="4"/>
      <c r="N137" s="4"/>
      <c r="O137" s="4"/>
      <c r="P137" s="4"/>
      <c r="Q137" s="4"/>
      <c r="R137" s="4"/>
      <c r="S137" s="4"/>
      <c r="T137" s="4"/>
      <c r="U137" s="4"/>
    </row>
    <row r="138" spans="1:21" s="29" customFormat="1" x14ac:dyDescent="0.25">
      <c r="A138" s="28" t="s">
        <v>106</v>
      </c>
      <c r="C138" s="30"/>
      <c r="D138" s="30"/>
      <c r="E138" s="30"/>
    </row>
    <row r="139" spans="1:21" x14ac:dyDescent="0.25">
      <c r="B139" s="6" t="s">
        <v>26</v>
      </c>
      <c r="C139" s="76"/>
      <c r="D139" s="76"/>
      <c r="E139" s="76"/>
    </row>
    <row r="140" spans="1:21" ht="32.25" x14ac:dyDescent="0.25">
      <c r="B140" s="17" t="s">
        <v>14</v>
      </c>
      <c r="C140" s="20" t="s">
        <v>21</v>
      </c>
      <c r="D140" s="20" t="s">
        <v>94</v>
      </c>
      <c r="E140" s="17" t="s">
        <v>13</v>
      </c>
      <c r="F140" s="17" t="s">
        <v>15</v>
      </c>
      <c r="G140" s="18" t="s">
        <v>1</v>
      </c>
      <c r="H140" s="19" t="s">
        <v>25</v>
      </c>
      <c r="I140" s="17" t="s">
        <v>2</v>
      </c>
      <c r="J140" s="20" t="s">
        <v>94</v>
      </c>
      <c r="K140" s="20" t="s">
        <v>22</v>
      </c>
      <c r="L140" s="19" t="s">
        <v>8</v>
      </c>
      <c r="M140" s="19" t="s">
        <v>16</v>
      </c>
      <c r="N140" s="19" t="s">
        <v>17</v>
      </c>
      <c r="O140" s="19" t="s">
        <v>18</v>
      </c>
      <c r="P140" s="20" t="s">
        <v>10</v>
      </c>
      <c r="Q140" s="20" t="s">
        <v>23</v>
      </c>
      <c r="R140" s="19" t="s">
        <v>9</v>
      </c>
      <c r="S140" s="19" t="s">
        <v>19</v>
      </c>
      <c r="T140" s="19" t="s">
        <v>20</v>
      </c>
      <c r="U140" s="19" t="s">
        <v>24</v>
      </c>
    </row>
    <row r="141" spans="1:21" x14ac:dyDescent="0.25">
      <c r="A141" s="41" t="s">
        <v>173</v>
      </c>
      <c r="B141" s="176" t="s">
        <v>113</v>
      </c>
      <c r="C141" s="8">
        <v>52.4</v>
      </c>
      <c r="D141" s="8">
        <v>446.59</v>
      </c>
      <c r="E141" s="8">
        <v>1</v>
      </c>
      <c r="F141" s="11">
        <f>C141/D141</f>
        <v>0.11733357218029961</v>
      </c>
      <c r="G141" s="7"/>
      <c r="H141" s="7"/>
      <c r="I141" s="8" t="s">
        <v>37</v>
      </c>
      <c r="J141" s="8">
        <v>118.96</v>
      </c>
      <c r="K141" s="21">
        <f>(F141*1.25)*J141</f>
        <v>17.447502183210549</v>
      </c>
      <c r="L141" s="7" t="s">
        <v>27</v>
      </c>
      <c r="M141" s="44">
        <v>101</v>
      </c>
      <c r="N141" s="42">
        <v>0.88300000000000001</v>
      </c>
      <c r="O141" s="11">
        <f>M141*N141</f>
        <v>89.183000000000007</v>
      </c>
      <c r="P141" s="8"/>
      <c r="Q141" s="8"/>
      <c r="R141" s="7"/>
      <c r="S141" s="7"/>
      <c r="T141" s="7"/>
      <c r="U141" s="11">
        <f>S141*T141</f>
        <v>0</v>
      </c>
    </row>
    <row r="142" spans="1:21" x14ac:dyDescent="0.25">
      <c r="B142" s="8" t="s">
        <v>114</v>
      </c>
      <c r="C142" s="8">
        <v>25.8</v>
      </c>
      <c r="D142" s="8">
        <v>200.24</v>
      </c>
      <c r="E142" s="8">
        <v>1.1000000000000001</v>
      </c>
      <c r="F142" s="11">
        <f>C142/D142</f>
        <v>0.12884538553735517</v>
      </c>
      <c r="G142" s="1"/>
      <c r="H142" s="1"/>
      <c r="I142" s="25" t="s">
        <v>39</v>
      </c>
      <c r="J142" s="26">
        <v>68.03</v>
      </c>
      <c r="K142" s="21">
        <f>(F141*3.3)*J142</f>
        <v>26.341269620905077</v>
      </c>
      <c r="L142" s="42" t="s">
        <v>38</v>
      </c>
      <c r="M142" s="45">
        <v>45</v>
      </c>
      <c r="N142" s="1">
        <v>0.94499999999999995</v>
      </c>
      <c r="O142" s="11">
        <f>M142*N142</f>
        <v>42.524999999999999</v>
      </c>
      <c r="P142" s="8"/>
      <c r="Q142" s="8"/>
      <c r="R142" s="7"/>
      <c r="S142" s="7"/>
      <c r="T142" s="7"/>
      <c r="U142" s="11">
        <f t="shared" ref="U142:U143" si="15">S142*T142</f>
        <v>0</v>
      </c>
    </row>
    <row r="143" spans="1:21" x14ac:dyDescent="0.25">
      <c r="B143" s="8"/>
      <c r="C143" s="8"/>
      <c r="D143" s="8"/>
      <c r="E143" s="8"/>
      <c r="F143" s="10"/>
      <c r="G143" s="1"/>
      <c r="H143" s="1"/>
      <c r="I143" s="25"/>
      <c r="J143" s="26"/>
      <c r="K143" s="46"/>
      <c r="L143" s="42" t="s">
        <v>40</v>
      </c>
      <c r="M143" s="45">
        <v>148</v>
      </c>
      <c r="N143" s="1">
        <v>0.89500000000000002</v>
      </c>
      <c r="O143" s="11">
        <f t="shared" ref="O143" si="16">M143*N143</f>
        <v>132.46</v>
      </c>
      <c r="P143" s="8"/>
      <c r="Q143" s="8"/>
      <c r="R143" s="7"/>
      <c r="S143" s="7"/>
      <c r="T143" s="7"/>
      <c r="U143" s="11">
        <f t="shared" si="15"/>
        <v>0</v>
      </c>
    </row>
    <row r="144" spans="1:21" x14ac:dyDescent="0.25">
      <c r="B144" s="10" t="s">
        <v>4</v>
      </c>
      <c r="C144" s="11">
        <f>SUM(C141:C143)</f>
        <v>78.2</v>
      </c>
      <c r="D144" s="11">
        <f>SUM(D141:D143)</f>
        <v>646.82999999999993</v>
      </c>
      <c r="E144" s="10"/>
      <c r="F144" s="165">
        <f>SUM(F141:F143)</f>
        <v>0.24617895771765477</v>
      </c>
      <c r="H144" s="23">
        <f>SUM(H141:H142)</f>
        <v>0</v>
      </c>
      <c r="K144" s="166">
        <f>SUM(K141:K143)</f>
        <v>43.788771804115626</v>
      </c>
      <c r="M144" s="89">
        <f>SUM(M141:M143)</f>
        <v>294</v>
      </c>
      <c r="O144" s="23">
        <f>SUM(O141:O143)</f>
        <v>264.16800000000001</v>
      </c>
      <c r="Q144" s="23">
        <f>SUM(Q141:Q143)</f>
        <v>0</v>
      </c>
      <c r="U144" s="23">
        <f>SUM(U141:U143)</f>
        <v>0</v>
      </c>
    </row>
    <row r="145" spans="1:21" x14ac:dyDescent="0.25">
      <c r="B145" s="4"/>
      <c r="C145" s="3"/>
      <c r="D145" s="3"/>
      <c r="E145" s="3"/>
      <c r="F145" s="4"/>
      <c r="G145" s="4"/>
      <c r="H145" s="4"/>
      <c r="L145" s="4"/>
      <c r="M145" s="4"/>
      <c r="N145" s="4"/>
      <c r="O145" s="4"/>
      <c r="P145" s="4"/>
      <c r="Q145" s="4"/>
      <c r="R145" s="4"/>
      <c r="S145" s="4"/>
      <c r="T145" s="4"/>
      <c r="U145" s="4"/>
    </row>
    <row r="146" spans="1:21" x14ac:dyDescent="0.25">
      <c r="B146" s="4"/>
      <c r="C146" s="3"/>
      <c r="D146" s="3"/>
      <c r="E146" s="3"/>
      <c r="F146" s="4"/>
      <c r="G146" s="4"/>
      <c r="J146" s="162" t="s">
        <v>133</v>
      </c>
      <c r="K146" s="96">
        <f>(S148/F141)*100</f>
        <v>50</v>
      </c>
      <c r="N146" s="4"/>
      <c r="O146" s="4"/>
      <c r="P146" s="4"/>
      <c r="Q146" s="4"/>
      <c r="R146" s="4"/>
    </row>
    <row r="147" spans="1:21" x14ac:dyDescent="0.25">
      <c r="B147" s="4"/>
      <c r="C147" s="3"/>
      <c r="D147" s="3"/>
      <c r="E147" s="3"/>
      <c r="F147" s="4"/>
      <c r="G147" s="4"/>
      <c r="J147" s="159" t="s">
        <v>134</v>
      </c>
      <c r="K147" s="97">
        <f>(R148/(D144)*100)</f>
        <v>97.214105715566689</v>
      </c>
      <c r="Q147" s="5" t="s">
        <v>11</v>
      </c>
      <c r="R147" s="5" t="s">
        <v>12</v>
      </c>
      <c r="S147" s="5" t="s">
        <v>0</v>
      </c>
    </row>
    <row r="148" spans="1:21" x14ac:dyDescent="0.25">
      <c r="B148" s="4"/>
      <c r="C148" s="3"/>
      <c r="D148" s="3"/>
      <c r="E148" s="3"/>
      <c r="F148" s="4"/>
      <c r="G148" s="4"/>
      <c r="J148" s="162" t="s">
        <v>135</v>
      </c>
      <c r="K148" s="96">
        <f>(Q148/C144)*100</f>
        <v>47.174247776658682</v>
      </c>
      <c r="O148" s="4"/>
      <c r="P148" s="5" t="s">
        <v>3</v>
      </c>
      <c r="Q148" s="9">
        <f>S148*R148</f>
        <v>36.890261761347091</v>
      </c>
      <c r="R148" s="9">
        <v>628.80999999999995</v>
      </c>
      <c r="S148" s="22">
        <f>F141*0.5</f>
        <v>5.8666786090149803E-2</v>
      </c>
    </row>
    <row r="149" spans="1:21" ht="17.25" x14ac:dyDescent="0.25">
      <c r="B149" s="4"/>
      <c r="C149" s="3"/>
      <c r="D149" s="3"/>
      <c r="E149" s="3"/>
      <c r="F149" s="4"/>
      <c r="G149" s="4"/>
      <c r="J149" s="159" t="s">
        <v>136</v>
      </c>
      <c r="K149" s="13">
        <f>(C144+H144+K144+O144+Q144+U144)/Q148</f>
        <v>10.467715688825047</v>
      </c>
      <c r="N149" s="4"/>
      <c r="O149" s="4"/>
      <c r="R149" s="76"/>
      <c r="S149" s="3"/>
    </row>
    <row r="150" spans="1:21" ht="17.25" x14ac:dyDescent="0.25">
      <c r="B150" s="4"/>
      <c r="C150" s="3"/>
      <c r="D150" s="3"/>
      <c r="E150" s="3"/>
      <c r="F150" s="4"/>
      <c r="G150" s="4"/>
      <c r="H150" s="4"/>
      <c r="J150" s="163" t="s">
        <v>137</v>
      </c>
      <c r="K150" s="15">
        <f>(C144+H144+K144)/Q148</f>
        <v>3.3068014695393981</v>
      </c>
      <c r="N150" s="4"/>
      <c r="O150" s="4"/>
      <c r="R150" s="4"/>
    </row>
    <row r="151" spans="1:21" ht="17.25" x14ac:dyDescent="0.25">
      <c r="B151" s="4"/>
      <c r="C151" s="3"/>
      <c r="D151" s="3"/>
      <c r="E151" s="3"/>
      <c r="F151" s="4"/>
      <c r="G151" s="4"/>
      <c r="H151" s="4"/>
      <c r="J151" s="164" t="s">
        <v>138</v>
      </c>
      <c r="K151" s="16">
        <f>(O144+U144)/Q148</f>
        <v>7.1609142192856483</v>
      </c>
      <c r="L151" s="4"/>
      <c r="M151" s="163" t="s">
        <v>139</v>
      </c>
      <c r="N151" s="93">
        <f>F141/M144*1000</f>
        <v>0.39909378292618913</v>
      </c>
      <c r="O151" s="4"/>
      <c r="T151" s="4"/>
      <c r="U151" s="4"/>
    </row>
    <row r="152" spans="1:21" x14ac:dyDescent="0.25">
      <c r="B152" s="6"/>
      <c r="C152"/>
      <c r="D152" s="3"/>
      <c r="E152" s="3"/>
      <c r="F152" s="4"/>
      <c r="G152" s="4"/>
      <c r="H152" s="4"/>
      <c r="J152" s="4"/>
      <c r="K152" s="4"/>
      <c r="L152" s="4"/>
      <c r="M152" s="4"/>
      <c r="N152" s="4"/>
      <c r="O152" s="4"/>
      <c r="P152" s="4"/>
      <c r="Q152" s="4"/>
      <c r="R152" s="4"/>
      <c r="S152" s="4"/>
      <c r="T152" s="4"/>
      <c r="U152" s="4"/>
    </row>
    <row r="153" spans="1:21" x14ac:dyDescent="0.25">
      <c r="B153" s="6" t="s">
        <v>26</v>
      </c>
      <c r="C153" s="76"/>
      <c r="D153" s="76"/>
      <c r="E153" s="76"/>
      <c r="J153" s="4"/>
      <c r="K153" s="4"/>
    </row>
    <row r="154" spans="1:21" ht="32.25" x14ac:dyDescent="0.25">
      <c r="B154" s="17" t="s">
        <v>14</v>
      </c>
      <c r="C154" s="20" t="s">
        <v>21</v>
      </c>
      <c r="D154" s="20" t="s">
        <v>94</v>
      </c>
      <c r="E154" s="17" t="s">
        <v>13</v>
      </c>
      <c r="F154" s="17" t="s">
        <v>15</v>
      </c>
      <c r="G154" s="18" t="s">
        <v>1</v>
      </c>
      <c r="H154" s="19" t="s">
        <v>25</v>
      </c>
      <c r="I154" s="17" t="s">
        <v>2</v>
      </c>
      <c r="J154" s="20" t="s">
        <v>94</v>
      </c>
      <c r="K154" s="20" t="s">
        <v>22</v>
      </c>
      <c r="L154" s="19" t="s">
        <v>8</v>
      </c>
      <c r="M154" s="19" t="s">
        <v>16</v>
      </c>
      <c r="N154" s="19" t="s">
        <v>17</v>
      </c>
      <c r="O154" s="19" t="s">
        <v>18</v>
      </c>
      <c r="P154" s="20" t="s">
        <v>10</v>
      </c>
      <c r="Q154" s="20" t="s">
        <v>23</v>
      </c>
      <c r="R154" s="19" t="s">
        <v>9</v>
      </c>
      <c r="S154" s="19" t="s">
        <v>19</v>
      </c>
      <c r="T154" s="19" t="s">
        <v>20</v>
      </c>
      <c r="U154" s="19" t="s">
        <v>24</v>
      </c>
    </row>
    <row r="155" spans="1:21" x14ac:dyDescent="0.25">
      <c r="A155" s="110" t="s">
        <v>172</v>
      </c>
      <c r="B155" s="176" t="s">
        <v>42</v>
      </c>
      <c r="C155" s="8">
        <v>784</v>
      </c>
      <c r="D155" s="8">
        <v>146.15</v>
      </c>
      <c r="E155" s="8">
        <v>1</v>
      </c>
      <c r="F155" s="11">
        <f>C155/D155</f>
        <v>5.3643516934656175</v>
      </c>
      <c r="G155" s="7"/>
      <c r="H155" s="7"/>
      <c r="I155" s="8" t="s">
        <v>37</v>
      </c>
      <c r="J155" s="8">
        <v>118.96</v>
      </c>
      <c r="K155" s="21">
        <f>F156*J155</f>
        <v>657.28757577830993</v>
      </c>
      <c r="L155" s="42" t="s">
        <v>44</v>
      </c>
      <c r="M155" s="2">
        <f>550*7.24</f>
        <v>3982</v>
      </c>
      <c r="N155" s="2">
        <v>0.86699999999999999</v>
      </c>
      <c r="O155" s="11">
        <f>M155*N155</f>
        <v>3452.3939999999998</v>
      </c>
      <c r="P155" s="8"/>
      <c r="Q155" s="8"/>
      <c r="R155" s="7"/>
      <c r="S155" s="7"/>
      <c r="T155" s="7"/>
      <c r="U155" s="11">
        <f>S155*T155</f>
        <v>0</v>
      </c>
    </row>
    <row r="156" spans="1:21" x14ac:dyDescent="0.25">
      <c r="B156" s="8" t="s">
        <v>43</v>
      </c>
      <c r="C156" s="8">
        <v>600</v>
      </c>
      <c r="D156" s="8">
        <v>108.52</v>
      </c>
      <c r="E156" s="8">
        <v>1.03</v>
      </c>
      <c r="F156" s="11">
        <f>F155*E156</f>
        <v>5.5252822442695857</v>
      </c>
      <c r="G156" s="1"/>
      <c r="H156" s="1"/>
      <c r="I156" s="25" t="s">
        <v>45</v>
      </c>
      <c r="J156" s="26">
        <v>40</v>
      </c>
      <c r="K156" s="21">
        <f>F156*J156</f>
        <v>221.01128977078343</v>
      </c>
      <c r="L156" s="42" t="s">
        <v>41</v>
      </c>
      <c r="M156" s="2">
        <f>1300*7.24</f>
        <v>9412</v>
      </c>
      <c r="N156" s="1">
        <v>1</v>
      </c>
      <c r="O156" s="11">
        <f t="shared" ref="O156" si="17">M156*N156</f>
        <v>9412</v>
      </c>
      <c r="P156" s="8"/>
      <c r="Q156" s="8"/>
      <c r="R156" s="7"/>
      <c r="S156" s="7"/>
      <c r="T156" s="7"/>
      <c r="U156" s="11">
        <f t="shared" ref="U156" si="18">S156*T156</f>
        <v>0</v>
      </c>
    </row>
    <row r="157" spans="1:21" x14ac:dyDescent="0.25">
      <c r="B157" s="10" t="s">
        <v>4</v>
      </c>
      <c r="C157" s="11">
        <f>SUM(C155:C156)</f>
        <v>1384</v>
      </c>
      <c r="D157" s="11">
        <f>SUM(D155:D156)</f>
        <v>254.67000000000002</v>
      </c>
      <c r="E157" s="10"/>
      <c r="F157" s="11">
        <f>SUM(F155:F156)</f>
        <v>10.889633937735203</v>
      </c>
      <c r="H157" s="23">
        <f>SUM(H155:H156)</f>
        <v>0</v>
      </c>
      <c r="K157" s="24">
        <f>SUM(K155:K156)</f>
        <v>878.29886554909331</v>
      </c>
      <c r="M157" s="89">
        <f>M155+M156</f>
        <v>13394</v>
      </c>
      <c r="O157" s="23">
        <f>SUM(O155:O156)</f>
        <v>12864.394</v>
      </c>
      <c r="Q157" s="23">
        <f>SUM(Q155:Q156)</f>
        <v>0</v>
      </c>
      <c r="U157" s="23">
        <f>SUM(U155:U156)</f>
        <v>0</v>
      </c>
    </row>
    <row r="158" spans="1:21" x14ac:dyDescent="0.25">
      <c r="B158" s="4"/>
      <c r="C158" s="3"/>
      <c r="D158" s="3"/>
      <c r="E158" s="3"/>
      <c r="F158" s="4"/>
      <c r="G158" s="4"/>
      <c r="H158" s="4"/>
      <c r="L158" s="4"/>
      <c r="M158" s="4"/>
      <c r="N158" s="4"/>
      <c r="O158" s="4"/>
      <c r="P158" s="4"/>
      <c r="Q158" s="4"/>
      <c r="R158" s="4"/>
      <c r="S158" s="4"/>
      <c r="T158" s="4"/>
      <c r="U158" s="4"/>
    </row>
    <row r="159" spans="1:21" x14ac:dyDescent="0.25">
      <c r="B159" s="4"/>
      <c r="C159" s="3"/>
      <c r="D159" s="3"/>
      <c r="E159" s="3"/>
      <c r="F159" s="4"/>
      <c r="G159" s="4"/>
      <c r="J159" s="162" t="s">
        <v>133</v>
      </c>
      <c r="K159" s="96">
        <f>(S161/F155)*100</f>
        <v>50</v>
      </c>
      <c r="N159" s="4"/>
      <c r="O159" s="4"/>
      <c r="P159" s="4"/>
      <c r="Q159" s="4"/>
      <c r="R159" s="4"/>
    </row>
    <row r="160" spans="1:21" x14ac:dyDescent="0.25">
      <c r="B160" s="4"/>
      <c r="C160" s="3"/>
      <c r="D160" s="3"/>
      <c r="E160" s="3"/>
      <c r="F160" s="4"/>
      <c r="G160" s="4"/>
      <c r="J160" s="159" t="s">
        <v>134</v>
      </c>
      <c r="K160" s="97">
        <f>(R161/(D157)*100)</f>
        <v>92.924176385125847</v>
      </c>
      <c r="Q160" s="5" t="s">
        <v>11</v>
      </c>
      <c r="R160" s="5" t="s">
        <v>12</v>
      </c>
      <c r="S160" s="5" t="s">
        <v>0</v>
      </c>
    </row>
    <row r="161" spans="1:24" x14ac:dyDescent="0.25">
      <c r="B161" s="4"/>
      <c r="C161" s="3"/>
      <c r="D161" s="3"/>
      <c r="E161" s="3"/>
      <c r="F161" s="4"/>
      <c r="G161" s="4"/>
      <c r="J161" s="162" t="s">
        <v>135</v>
      </c>
      <c r="K161" s="96">
        <f>(Q161/C157)*100</f>
        <v>45.862493795471039</v>
      </c>
      <c r="O161" s="4"/>
      <c r="P161" s="5" t="s">
        <v>3</v>
      </c>
      <c r="Q161" s="9">
        <f>S161*R161</f>
        <v>634.73691412931919</v>
      </c>
      <c r="R161" s="9">
        <v>236.65</v>
      </c>
      <c r="S161" s="48">
        <f>F155*0.5</f>
        <v>2.6821758467328087</v>
      </c>
    </row>
    <row r="162" spans="1:24" ht="17.25" x14ac:dyDescent="0.25">
      <c r="B162" s="4"/>
      <c r="C162" s="3"/>
      <c r="D162" s="3"/>
      <c r="E162" s="3"/>
      <c r="F162" s="4"/>
      <c r="G162" s="4"/>
      <c r="J162" s="159" t="s">
        <v>136</v>
      </c>
      <c r="K162" s="13">
        <f>(C157+H157+K157+O157+Q157+U157)/Q161</f>
        <v>23.83143713375906</v>
      </c>
      <c r="N162" s="4"/>
      <c r="O162" s="4"/>
      <c r="R162" s="76"/>
      <c r="S162" s="3"/>
    </row>
    <row r="163" spans="1:24" ht="17.25" x14ac:dyDescent="0.25">
      <c r="B163" s="4"/>
      <c r="C163" s="3"/>
      <c r="D163" s="3"/>
      <c r="E163" s="3"/>
      <c r="F163" s="4"/>
      <c r="G163" s="4"/>
      <c r="H163" s="4"/>
      <c r="J163" s="163" t="s">
        <v>137</v>
      </c>
      <c r="K163" s="15">
        <f>(C157+H157+K157)/Q161</f>
        <v>3.5641520371512225</v>
      </c>
      <c r="N163" s="4"/>
      <c r="O163" s="4"/>
      <c r="R163" s="4"/>
    </row>
    <row r="164" spans="1:24" ht="17.25" x14ac:dyDescent="0.25">
      <c r="B164" s="4"/>
      <c r="C164" s="3"/>
      <c r="D164" s="3"/>
      <c r="E164" s="3"/>
      <c r="F164" s="4"/>
      <c r="G164" s="4"/>
      <c r="H164" s="4"/>
      <c r="J164" s="164" t="s">
        <v>138</v>
      </c>
      <c r="K164" s="16">
        <f>(O157+U157)/Q161</f>
        <v>20.267285096607839</v>
      </c>
      <c r="L164" s="4"/>
      <c r="M164" s="163" t="s">
        <v>139</v>
      </c>
      <c r="N164" s="93">
        <f>F155/M157*1000</f>
        <v>0.40050408343031335</v>
      </c>
      <c r="O164" s="4"/>
      <c r="T164" s="4"/>
      <c r="U164" s="4"/>
    </row>
    <row r="165" spans="1:24" x14ac:dyDescent="0.25">
      <c r="B165" s="6"/>
      <c r="C165"/>
      <c r="D165" s="3"/>
      <c r="E165" s="3"/>
      <c r="F165" s="4"/>
      <c r="G165" s="4"/>
      <c r="H165" s="4"/>
      <c r="J165" s="4"/>
      <c r="K165" s="4"/>
      <c r="L165" s="4"/>
      <c r="M165" s="4"/>
      <c r="N165" s="4"/>
      <c r="O165" s="4"/>
      <c r="P165" s="4"/>
      <c r="Q165" s="4"/>
      <c r="R165" s="4"/>
      <c r="S165" s="4"/>
      <c r="T165" s="4"/>
      <c r="U165" s="4"/>
    </row>
    <row r="166" spans="1:24" x14ac:dyDescent="0.25">
      <c r="B166" s="6"/>
      <c r="C166"/>
      <c r="D166" s="3"/>
      <c r="E166" s="3"/>
      <c r="F166" s="4"/>
      <c r="G166" s="4"/>
      <c r="H166" s="4"/>
      <c r="L166" s="4"/>
      <c r="M166" s="4"/>
      <c r="N166" s="4"/>
      <c r="O166" s="4"/>
      <c r="P166" s="4"/>
      <c r="Q166" s="4"/>
      <c r="R166" s="4"/>
      <c r="S166" s="4"/>
      <c r="T166" s="4"/>
      <c r="U166" s="4"/>
    </row>
    <row r="167" spans="1:24" s="168" customFormat="1" x14ac:dyDescent="0.25">
      <c r="A167" s="167" t="s">
        <v>140</v>
      </c>
      <c r="C167" s="169"/>
      <c r="D167" s="169"/>
      <c r="E167" s="169"/>
    </row>
    <row r="169" spans="1:24" ht="15.75" x14ac:dyDescent="0.3">
      <c r="C169" s="121" t="s">
        <v>109</v>
      </c>
      <c r="N169" s="6"/>
      <c r="O169" s="124"/>
      <c r="P169" s="124"/>
    </row>
    <row r="170" spans="1:24" ht="15.75" x14ac:dyDescent="0.25">
      <c r="C170" s="112" t="s">
        <v>29</v>
      </c>
      <c r="D170" s="112" t="s">
        <v>30</v>
      </c>
      <c r="E170" s="111" t="s">
        <v>6</v>
      </c>
      <c r="F170" s="112" t="s">
        <v>7</v>
      </c>
      <c r="G170" s="112" t="s">
        <v>32</v>
      </c>
      <c r="H170" s="112" t="s">
        <v>34</v>
      </c>
      <c r="I170" s="112" t="s">
        <v>35</v>
      </c>
      <c r="J170" s="112" t="s">
        <v>5</v>
      </c>
      <c r="M170" s="103"/>
      <c r="N170" s="103"/>
      <c r="O170" s="103"/>
      <c r="P170" s="103"/>
      <c r="Q170" s="103"/>
      <c r="R170" s="103"/>
      <c r="S170" s="103"/>
      <c r="T170" s="103"/>
      <c r="U170" s="103"/>
      <c r="V170" s="103"/>
      <c r="W170" s="103"/>
      <c r="X170" s="103"/>
    </row>
    <row r="171" spans="1:24" ht="17.100000000000001" customHeight="1" x14ac:dyDescent="0.25">
      <c r="C171" s="114"/>
      <c r="D171" s="114"/>
      <c r="E171" s="113" t="s">
        <v>31</v>
      </c>
      <c r="F171" s="114" t="s">
        <v>31</v>
      </c>
      <c r="G171" s="114" t="s">
        <v>33</v>
      </c>
      <c r="H171" s="114" t="s">
        <v>33</v>
      </c>
      <c r="I171" s="114" t="s">
        <v>33</v>
      </c>
      <c r="J171" s="114" t="s">
        <v>31</v>
      </c>
      <c r="M171" s="103"/>
      <c r="N171" s="103"/>
      <c r="O171" s="103"/>
      <c r="P171" s="103"/>
      <c r="Q171" s="103"/>
      <c r="R171" s="103"/>
      <c r="S171" s="103"/>
      <c r="T171" s="103"/>
      <c r="U171" s="103"/>
      <c r="V171" s="103"/>
      <c r="W171" s="103"/>
      <c r="X171" s="103"/>
    </row>
    <row r="172" spans="1:24" ht="15" customHeight="1" x14ac:dyDescent="0.25">
      <c r="C172" s="127" t="str">
        <f>A1</f>
        <v xml:space="preserve">Literature data reported </v>
      </c>
      <c r="D172" s="127"/>
      <c r="E172" s="127"/>
      <c r="F172" s="127"/>
      <c r="G172" s="127"/>
      <c r="H172" s="127"/>
      <c r="I172" s="127"/>
      <c r="J172" s="128"/>
      <c r="M172" s="103"/>
      <c r="N172" s="103"/>
      <c r="O172" s="103"/>
      <c r="P172" s="103"/>
      <c r="Q172" s="103"/>
      <c r="R172" s="103"/>
      <c r="S172" s="103"/>
      <c r="T172" s="103"/>
      <c r="U172" s="103"/>
      <c r="V172" s="103"/>
      <c r="W172" s="103"/>
      <c r="X172" s="103"/>
    </row>
    <row r="173" spans="1:24" ht="18" customHeight="1" x14ac:dyDescent="0.25">
      <c r="C173" s="90"/>
      <c r="D173" s="106" t="s">
        <v>174</v>
      </c>
      <c r="E173" s="91">
        <f>K21</f>
        <v>97.214105715566689</v>
      </c>
      <c r="F173" s="91">
        <f>K22</f>
        <v>86.892583120204606</v>
      </c>
      <c r="G173" s="92">
        <f>K23</f>
        <v>17.267678760914137</v>
      </c>
      <c r="H173" s="92">
        <f>K24</f>
        <v>1.7952725798986846</v>
      </c>
      <c r="I173" s="92">
        <f>K25</f>
        <v>15.472406181015451</v>
      </c>
      <c r="J173" s="60">
        <f>K20</f>
        <v>92.097476075917555</v>
      </c>
      <c r="M173" s="103"/>
      <c r="N173" s="103"/>
      <c r="O173" s="103"/>
      <c r="P173" s="103"/>
      <c r="Q173" s="103"/>
      <c r="R173" s="103"/>
      <c r="S173" s="103"/>
      <c r="T173" s="103"/>
      <c r="U173" s="103"/>
      <c r="V173" s="103"/>
      <c r="W173" s="103"/>
      <c r="X173" s="103"/>
    </row>
    <row r="174" spans="1:24" ht="17.100000000000001" customHeight="1" x14ac:dyDescent="0.25">
      <c r="C174" s="115"/>
      <c r="D174" s="114" t="s">
        <v>175</v>
      </c>
      <c r="E174" s="116">
        <f>K44</f>
        <v>92.924176385125847</v>
      </c>
      <c r="F174" s="116">
        <f>K45</f>
        <v>75</v>
      </c>
      <c r="G174" s="117">
        <f>K46</f>
        <v>3.9353082851637766</v>
      </c>
      <c r="H174" s="117">
        <f>K47</f>
        <v>2.2235067437379574</v>
      </c>
      <c r="I174" s="117">
        <f>K48</f>
        <v>1.7118015414258188</v>
      </c>
      <c r="J174" s="118">
        <f>K43</f>
        <v>81.766159876162604</v>
      </c>
      <c r="M174" s="103"/>
      <c r="N174" s="103"/>
      <c r="O174" s="103"/>
      <c r="P174" s="103"/>
      <c r="Q174" s="103"/>
      <c r="R174" s="103"/>
      <c r="S174" s="103"/>
      <c r="T174" s="103"/>
      <c r="U174" s="103"/>
      <c r="V174" s="103"/>
      <c r="W174" s="103"/>
      <c r="X174" s="103"/>
    </row>
    <row r="175" spans="1:24" x14ac:dyDescent="0.25">
      <c r="C175" s="123" t="str">
        <f>A51</f>
        <v>Simulation A: [Acid] = 0.4 M, Literature data yield</v>
      </c>
      <c r="D175" s="123"/>
      <c r="E175" s="123"/>
      <c r="F175" s="123"/>
      <c r="G175" s="123"/>
      <c r="H175" s="123"/>
      <c r="I175" s="123"/>
      <c r="J175" s="129"/>
      <c r="M175" s="103"/>
      <c r="N175" s="103"/>
      <c r="O175" s="103"/>
      <c r="P175" s="103"/>
      <c r="Q175" s="103"/>
      <c r="R175" s="103"/>
      <c r="S175" s="103"/>
      <c r="T175" s="103"/>
      <c r="U175" s="103"/>
      <c r="V175" s="103"/>
      <c r="W175" s="103"/>
      <c r="X175" s="103"/>
    </row>
    <row r="176" spans="1:24" x14ac:dyDescent="0.25">
      <c r="C176" s="102"/>
      <c r="D176" s="102" t="s">
        <v>173</v>
      </c>
      <c r="E176" s="99">
        <f>K60</f>
        <v>97.214105715566689</v>
      </c>
      <c r="F176" s="100">
        <f>K61</f>
        <v>86.892583120204606</v>
      </c>
      <c r="G176" s="101">
        <f>K62</f>
        <v>5.6829546991039823</v>
      </c>
      <c r="H176" s="101">
        <f>K63</f>
        <v>1.7952725798986846</v>
      </c>
      <c r="I176" s="101">
        <f>K64</f>
        <v>3.8876821192052979</v>
      </c>
      <c r="J176" s="60">
        <f>K59</f>
        <v>92.097476075917555</v>
      </c>
      <c r="M176" s="103"/>
      <c r="N176" s="103"/>
      <c r="O176" s="103"/>
      <c r="P176" s="103"/>
      <c r="Q176" s="103"/>
      <c r="R176" s="103"/>
      <c r="S176" s="103"/>
      <c r="T176" s="103"/>
      <c r="U176" s="103"/>
      <c r="V176" s="103"/>
      <c r="W176" s="103"/>
      <c r="X176" s="103"/>
    </row>
    <row r="177" spans="3:24" x14ac:dyDescent="0.25">
      <c r="C177" s="102"/>
      <c r="D177" s="102" t="s">
        <v>172</v>
      </c>
      <c r="E177" s="99">
        <f>K73</f>
        <v>92.924176385125847</v>
      </c>
      <c r="F177" s="100">
        <f>K74</f>
        <v>75</v>
      </c>
      <c r="G177" s="101">
        <f>K75</f>
        <v>14.572921835789108</v>
      </c>
      <c r="H177" s="101">
        <f>K76</f>
        <v>2.1794786758661786</v>
      </c>
      <c r="I177" s="101">
        <f>K77</f>
        <v>12.39344315992293</v>
      </c>
      <c r="J177" s="60">
        <f>K72</f>
        <v>81.766159876162604</v>
      </c>
      <c r="M177" s="103"/>
      <c r="N177" s="103"/>
      <c r="O177" s="103"/>
      <c r="P177" s="103"/>
      <c r="Q177" s="103"/>
      <c r="R177" s="103"/>
      <c r="S177" s="103"/>
      <c r="T177" s="103"/>
      <c r="U177" s="103"/>
      <c r="V177" s="103"/>
      <c r="W177" s="103"/>
      <c r="X177" s="103"/>
    </row>
    <row r="178" spans="3:24" x14ac:dyDescent="0.25">
      <c r="C178" s="123" t="str">
        <f>A80</f>
        <v>Simulation B: [Acid] = Literature data, 90% Yield</v>
      </c>
      <c r="D178" s="123"/>
      <c r="E178" s="123"/>
      <c r="F178" s="123"/>
      <c r="G178" s="123"/>
      <c r="H178" s="123"/>
      <c r="I178" s="123"/>
      <c r="J178" s="119"/>
      <c r="M178" s="103"/>
      <c r="N178" s="103"/>
      <c r="O178" s="103"/>
      <c r="P178" s="103"/>
      <c r="Q178" s="103"/>
      <c r="R178" s="103"/>
      <c r="S178" s="103"/>
      <c r="T178" s="103"/>
      <c r="U178" s="103"/>
      <c r="V178" s="103"/>
      <c r="W178" s="103"/>
      <c r="X178" s="103"/>
    </row>
    <row r="179" spans="3:24" x14ac:dyDescent="0.25">
      <c r="C179" s="102"/>
      <c r="D179" s="102" t="s">
        <v>173</v>
      </c>
      <c r="E179" s="99">
        <f>K89</f>
        <v>97.214105715566689</v>
      </c>
      <c r="F179" s="100">
        <f>K90</f>
        <v>84.91364599798564</v>
      </c>
      <c r="G179" s="101">
        <f>K91</f>
        <v>17.670107017443545</v>
      </c>
      <c r="H179" s="101">
        <f>K92</f>
        <v>1.8371119275218877</v>
      </c>
      <c r="I179" s="101">
        <f>K93</f>
        <v>15.832995089921658</v>
      </c>
      <c r="J179" s="60">
        <f>K88</f>
        <v>90</v>
      </c>
      <c r="M179" s="103"/>
      <c r="N179" s="103"/>
      <c r="O179" s="103"/>
      <c r="P179" s="103"/>
      <c r="Q179" s="103"/>
      <c r="R179" s="103"/>
      <c r="S179" s="103"/>
      <c r="T179" s="103"/>
      <c r="U179" s="103"/>
      <c r="V179" s="103"/>
      <c r="W179" s="103"/>
      <c r="X179" s="103"/>
    </row>
    <row r="180" spans="3:24" ht="15" customHeight="1" x14ac:dyDescent="0.25">
      <c r="C180" s="102"/>
      <c r="D180" s="102" t="s">
        <v>172</v>
      </c>
      <c r="E180" s="99">
        <f>K102</f>
        <v>92.924176385125847</v>
      </c>
      <c r="F180" s="100">
        <f>K103</f>
        <v>82.552488831847882</v>
      </c>
      <c r="G180" s="101">
        <f>K104</f>
        <v>3.5352782263338463</v>
      </c>
      <c r="H180" s="101">
        <f>K105</f>
        <v>1.9800844650840124</v>
      </c>
      <c r="I180" s="101">
        <f>K106</f>
        <v>1.5551937612498339</v>
      </c>
      <c r="J180" s="60">
        <f>K101</f>
        <v>90</v>
      </c>
      <c r="M180" s="103"/>
      <c r="N180" s="103"/>
      <c r="O180" s="103"/>
      <c r="P180" s="103"/>
      <c r="Q180" s="103"/>
      <c r="R180" s="103"/>
      <c r="S180" s="103"/>
      <c r="T180" s="103"/>
      <c r="U180" s="103"/>
      <c r="V180" s="103"/>
      <c r="W180" s="103"/>
    </row>
    <row r="181" spans="3:24" x14ac:dyDescent="0.25">
      <c r="C181" s="123" t="str">
        <f>A109</f>
        <v>Simulation C: [Acid] = 0.4 M, 90% Yield</v>
      </c>
      <c r="D181" s="123"/>
      <c r="E181" s="123"/>
      <c r="F181" s="123"/>
      <c r="G181" s="123"/>
      <c r="H181" s="123"/>
      <c r="I181" s="123"/>
      <c r="J181" s="119"/>
      <c r="M181" s="27"/>
      <c r="N181" s="27"/>
      <c r="O181" s="27"/>
      <c r="P181" s="27"/>
      <c r="Q181" s="27"/>
      <c r="R181" s="27"/>
      <c r="S181" s="27"/>
      <c r="T181" s="27"/>
      <c r="U181" s="27"/>
      <c r="V181" s="27"/>
    </row>
    <row r="182" spans="3:24" x14ac:dyDescent="0.25">
      <c r="C182" s="102"/>
      <c r="D182" s="102" t="s">
        <v>173</v>
      </c>
      <c r="E182" s="99">
        <f>K118</f>
        <v>97.214105715566689</v>
      </c>
      <c r="F182" s="100">
        <f>K119</f>
        <v>84.91364599798564</v>
      </c>
      <c r="G182" s="101">
        <f>K120</f>
        <v>5.8153976049028024</v>
      </c>
      <c r="H182" s="101">
        <f>K121</f>
        <v>1.8371119275218877</v>
      </c>
      <c r="I182" s="101">
        <f>K122</f>
        <v>3.978285677380915</v>
      </c>
      <c r="J182" s="60">
        <f>K117</f>
        <v>90</v>
      </c>
      <c r="K182" s="54"/>
      <c r="L182" s="54"/>
      <c r="M182" s="27"/>
      <c r="N182" s="27"/>
      <c r="O182" s="27"/>
      <c r="P182" s="27"/>
      <c r="Q182" s="27"/>
      <c r="R182" s="27"/>
      <c r="S182" s="27"/>
      <c r="T182" s="27"/>
      <c r="U182" s="27"/>
      <c r="V182" s="27"/>
    </row>
    <row r="183" spans="3:24" x14ac:dyDescent="0.25">
      <c r="C183" s="102"/>
      <c r="D183" s="102" t="s">
        <v>172</v>
      </c>
      <c r="E183" s="99">
        <f>K131</f>
        <v>92.924176385125847</v>
      </c>
      <c r="F183" s="100">
        <f>K132</f>
        <v>82.552488831847882</v>
      </c>
      <c r="G183" s="101">
        <f>K133</f>
        <v>13.239687296532811</v>
      </c>
      <c r="H183" s="101">
        <f>K134</f>
        <v>1.9800844650840124</v>
      </c>
      <c r="I183" s="101">
        <f>K135</f>
        <v>11.259602831448799</v>
      </c>
      <c r="J183" s="60">
        <f>K130</f>
        <v>90</v>
      </c>
      <c r="K183" s="54"/>
      <c r="L183" s="54"/>
      <c r="N183" s="6"/>
      <c r="O183" s="124"/>
      <c r="P183" s="124"/>
      <c r="Q183" s="27"/>
      <c r="R183" s="27"/>
      <c r="S183" s="27"/>
      <c r="T183" s="27"/>
      <c r="U183" s="27"/>
      <c r="V183" s="27"/>
    </row>
    <row r="184" spans="3:24" x14ac:dyDescent="0.25">
      <c r="C184" s="123" t="str">
        <f>A138</f>
        <v>Simulation D: [Acid] = 0.4 M, 50% Yield</v>
      </c>
      <c r="D184" s="123"/>
      <c r="E184" s="123"/>
      <c r="F184" s="123"/>
      <c r="G184" s="123"/>
      <c r="H184" s="123"/>
      <c r="I184" s="123"/>
      <c r="J184" s="119"/>
      <c r="K184" s="54"/>
      <c r="L184" s="54"/>
      <c r="M184" s="103"/>
      <c r="N184" s="103"/>
      <c r="O184" s="103"/>
      <c r="P184" s="103"/>
      <c r="Q184" s="103"/>
      <c r="R184" s="103"/>
      <c r="S184" s="103"/>
      <c r="T184" s="103"/>
      <c r="U184" s="103"/>
      <c r="V184" s="103"/>
      <c r="W184" s="103"/>
      <c r="X184" s="103"/>
    </row>
    <row r="185" spans="3:24" x14ac:dyDescent="0.25">
      <c r="C185" s="84"/>
      <c r="D185" s="102" t="s">
        <v>173</v>
      </c>
      <c r="E185" s="79">
        <f>K147</f>
        <v>97.214105715566689</v>
      </c>
      <c r="F185" s="60">
        <f>K148</f>
        <v>47.174247776658682</v>
      </c>
      <c r="G185" s="37">
        <f>K149</f>
        <v>10.467715688825047</v>
      </c>
      <c r="H185" s="37">
        <f>K150</f>
        <v>3.3068014695393981</v>
      </c>
      <c r="I185" s="37">
        <f>K151</f>
        <v>7.1609142192856483</v>
      </c>
      <c r="J185" s="60">
        <f>K146</f>
        <v>50</v>
      </c>
      <c r="K185" s="54"/>
      <c r="L185" s="54"/>
      <c r="M185" s="103"/>
      <c r="N185" s="103"/>
      <c r="O185" s="103"/>
      <c r="P185" s="103"/>
      <c r="Q185" s="103"/>
      <c r="R185" s="103"/>
      <c r="S185" s="103"/>
      <c r="T185" s="103"/>
      <c r="U185" s="103"/>
      <c r="V185" s="103"/>
      <c r="W185" s="103"/>
      <c r="X185" s="103"/>
    </row>
    <row r="186" spans="3:24" ht="15" customHeight="1" x14ac:dyDescent="0.25">
      <c r="C186" s="84"/>
      <c r="D186" s="102" t="s">
        <v>172</v>
      </c>
      <c r="E186" s="79">
        <f>K160</f>
        <v>92.924176385125847</v>
      </c>
      <c r="F186" s="60">
        <f>K161</f>
        <v>45.862493795471039</v>
      </c>
      <c r="G186" s="37">
        <f>K162</f>
        <v>23.83143713375906</v>
      </c>
      <c r="H186" s="37">
        <f>K163</f>
        <v>3.5641520371512225</v>
      </c>
      <c r="I186" s="37">
        <f>K164</f>
        <v>20.267285096607839</v>
      </c>
      <c r="J186" s="60">
        <f>K159</f>
        <v>50</v>
      </c>
      <c r="K186" s="54"/>
      <c r="L186" s="54"/>
      <c r="M186" s="103"/>
      <c r="N186" s="103"/>
      <c r="O186" s="103"/>
      <c r="P186" s="103"/>
      <c r="Q186" s="103"/>
      <c r="R186" s="103"/>
      <c r="S186" s="103"/>
      <c r="T186" s="103"/>
      <c r="U186" s="103"/>
      <c r="V186" s="103"/>
      <c r="W186" s="103"/>
      <c r="X186" s="103"/>
    </row>
    <row r="187" spans="3:24" x14ac:dyDescent="0.25">
      <c r="K187" s="54"/>
      <c r="L187" s="54"/>
      <c r="M187" s="103"/>
      <c r="N187" s="103"/>
      <c r="O187" s="103"/>
      <c r="P187" s="103"/>
      <c r="Q187" s="103"/>
      <c r="R187" s="103"/>
      <c r="S187" s="103"/>
      <c r="T187" s="103"/>
      <c r="U187" s="103"/>
      <c r="V187" s="103"/>
      <c r="W187" s="103"/>
      <c r="X187" s="103"/>
    </row>
    <row r="188" spans="3:24" x14ac:dyDescent="0.25">
      <c r="K188" s="54"/>
      <c r="L188" s="54"/>
      <c r="M188" s="103"/>
      <c r="N188" s="103"/>
      <c r="O188" s="103"/>
      <c r="P188" s="103"/>
      <c r="Q188" s="103"/>
      <c r="R188" s="103"/>
      <c r="S188" s="103"/>
      <c r="T188" s="103"/>
      <c r="U188" s="103"/>
      <c r="V188" s="103"/>
      <c r="W188" s="103"/>
      <c r="X188" s="103"/>
    </row>
    <row r="189" spans="3:24" x14ac:dyDescent="0.25">
      <c r="K189" s="54"/>
      <c r="L189" s="54"/>
      <c r="M189" s="103"/>
      <c r="N189" s="103"/>
      <c r="O189" s="103"/>
      <c r="P189" s="103"/>
      <c r="Q189" s="103"/>
      <c r="R189" s="103"/>
      <c r="S189" s="103"/>
      <c r="T189" s="103"/>
      <c r="U189" s="103"/>
      <c r="V189" s="103"/>
      <c r="W189" s="103"/>
      <c r="X189" s="103"/>
    </row>
    <row r="190" spans="3:24" x14ac:dyDescent="0.25">
      <c r="K190" s="54"/>
      <c r="L190" s="54"/>
      <c r="N190" s="103"/>
      <c r="O190" s="103"/>
      <c r="P190" s="103"/>
      <c r="Q190" s="103"/>
      <c r="R190" s="103"/>
      <c r="S190" s="103"/>
      <c r="T190" s="103"/>
      <c r="U190" s="103"/>
      <c r="V190" s="103"/>
      <c r="W190" s="103"/>
      <c r="X190" s="103"/>
    </row>
    <row r="191" spans="3:24" x14ac:dyDescent="0.25">
      <c r="N191" s="103"/>
      <c r="O191" s="103"/>
      <c r="P191" s="103"/>
      <c r="Q191" s="103"/>
      <c r="R191" s="103"/>
      <c r="S191" s="103"/>
      <c r="T191" s="103"/>
      <c r="U191" s="103"/>
      <c r="V191" s="103"/>
      <c r="W191" s="103"/>
    </row>
    <row r="192" spans="3:24" ht="15" customHeight="1" x14ac:dyDescent="0.25">
      <c r="K192" s="122"/>
      <c r="L192" s="122"/>
      <c r="N192" s="103"/>
      <c r="O192" s="103"/>
      <c r="P192" s="103"/>
      <c r="Q192" s="103"/>
      <c r="R192" s="103"/>
      <c r="S192" s="103"/>
      <c r="T192" s="103"/>
      <c r="U192" s="103"/>
      <c r="V192" s="103"/>
      <c r="W192" s="103"/>
    </row>
    <row r="193" spans="11:23" x14ac:dyDescent="0.25">
      <c r="K193" s="122"/>
      <c r="L193" s="122"/>
      <c r="N193" s="103"/>
      <c r="O193" s="103"/>
      <c r="P193" s="103"/>
      <c r="Q193" s="103"/>
      <c r="R193" s="103"/>
      <c r="S193" s="103"/>
      <c r="T193" s="103"/>
      <c r="U193" s="103"/>
      <c r="V193" s="103"/>
      <c r="W193" s="103"/>
    </row>
    <row r="194" spans="11:23" x14ac:dyDescent="0.25">
      <c r="K194" s="122"/>
      <c r="L194" s="122"/>
      <c r="N194" s="103"/>
      <c r="O194" s="103"/>
      <c r="P194" s="103"/>
      <c r="Q194" s="103"/>
      <c r="R194" s="103"/>
      <c r="S194" s="103"/>
      <c r="T194" s="103"/>
      <c r="U194" s="103"/>
      <c r="V194" s="103"/>
      <c r="W194" s="103"/>
    </row>
    <row r="195" spans="11:23" x14ac:dyDescent="0.25">
      <c r="K195" s="122"/>
      <c r="L195" s="122"/>
    </row>
    <row r="196" spans="11:23" x14ac:dyDescent="0.25">
      <c r="K196" s="122"/>
      <c r="L196" s="122"/>
      <c r="M196" s="50"/>
    </row>
    <row r="197" spans="11:23" x14ac:dyDescent="0.25">
      <c r="K197" s="122"/>
      <c r="L197" s="122"/>
      <c r="M197" s="50"/>
    </row>
    <row r="198" spans="11:23" ht="15" customHeight="1" x14ac:dyDescent="0.25"/>
    <row r="200" spans="11:23" ht="15" customHeight="1" x14ac:dyDescent="0.25"/>
    <row r="203" spans="11:23" ht="15" customHeight="1" x14ac:dyDescent="0.25"/>
    <row r="204" spans="11:23" ht="15" customHeight="1" x14ac:dyDescent="0.25"/>
    <row r="206" spans="11:23" ht="15" customHeight="1" x14ac:dyDescent="0.25"/>
    <row r="209" ht="15" customHeight="1" x14ac:dyDescent="0.25"/>
    <row r="210" ht="15" customHeight="1" x14ac:dyDescent="0.25"/>
    <row r="212" ht="15" customHeight="1" x14ac:dyDescent="0.25"/>
  </sheetData>
  <mergeCells count="4">
    <mergeCell ref="N3:AG11"/>
    <mergeCell ref="N28:AG36"/>
    <mergeCell ref="C27:J36"/>
    <mergeCell ref="C3:L12"/>
  </mergeCells>
  <pageMargins left="0.7" right="0.7" top="0.75" bottom="0.75" header="0.3" footer="0.3"/>
  <pageSetup paperSize="9" scale="19" orientation="portrait" horizontalDpi="4294967293" r:id="rId1"/>
  <drawing r:id="rId2"/>
  <legacyDrawing r:id="rId3"/>
  <oleObjects>
    <mc:AlternateContent xmlns:mc="http://schemas.openxmlformats.org/markup-compatibility/2006">
      <mc:Choice Requires="x14">
        <oleObject progId="ChemDraw.Document.6.0" shapeId="1030" r:id="rId4">
          <objectPr defaultSize="0" r:id="rId5">
            <anchor moveWithCells="1">
              <from>
                <xdr:col>2</xdr:col>
                <xdr:colOff>57150</xdr:colOff>
                <xdr:row>2</xdr:row>
                <xdr:rowOff>19050</xdr:rowOff>
              </from>
              <to>
                <xdr:col>11</xdr:col>
                <xdr:colOff>704850</xdr:colOff>
                <xdr:row>10</xdr:row>
                <xdr:rowOff>123825</xdr:rowOff>
              </to>
            </anchor>
          </objectPr>
        </oleObject>
      </mc:Choice>
      <mc:Fallback>
        <oleObject progId="ChemDraw.Document.6.0" shapeId="1030" r:id="rId4"/>
      </mc:Fallback>
    </mc:AlternateContent>
    <mc:AlternateContent xmlns:mc="http://schemas.openxmlformats.org/markup-compatibility/2006">
      <mc:Choice Requires="x14">
        <oleObject progId="ChemDraw.Document.6.0" shapeId="1031" r:id="rId6">
          <objectPr defaultSize="0" autoPict="0" r:id="rId7">
            <anchor moveWithCells="1">
              <from>
                <xdr:col>2</xdr:col>
                <xdr:colOff>171450</xdr:colOff>
                <xdr:row>26</xdr:row>
                <xdr:rowOff>104775</xdr:rowOff>
              </from>
              <to>
                <xdr:col>9</xdr:col>
                <xdr:colOff>962025</xdr:colOff>
                <xdr:row>35</xdr:row>
                <xdr:rowOff>133350</xdr:rowOff>
              </to>
            </anchor>
          </objectPr>
        </oleObject>
      </mc:Choice>
      <mc:Fallback>
        <oleObject progId="ChemDraw.Document.6.0" shapeId="1031" r:id="rId6"/>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732"/>
  <sheetViews>
    <sheetView zoomScale="70" zoomScaleNormal="70" workbookViewId="0">
      <selection activeCell="H677" sqref="H677"/>
    </sheetView>
  </sheetViews>
  <sheetFormatPr defaultColWidth="8.85546875" defaultRowHeight="15" x14ac:dyDescent="0.25"/>
  <cols>
    <col min="1" max="1" width="12" customWidth="1"/>
    <col min="2" max="2" width="1.7109375" customWidth="1"/>
    <col min="3" max="3" width="51.85546875" customWidth="1"/>
    <col min="4" max="4" width="12.7109375" style="73" customWidth="1"/>
    <col min="5" max="5" width="19.140625" style="73" bestFit="1" customWidth="1"/>
    <col min="6" max="6" width="12.85546875" style="73" customWidth="1"/>
    <col min="7" max="7" width="10.7109375" customWidth="1"/>
    <col min="8" max="8" width="12.140625" bestFit="1" customWidth="1"/>
    <col min="9" max="9" width="10.42578125" bestFit="1" customWidth="1"/>
    <col min="10" max="10" width="11.42578125" bestFit="1" customWidth="1"/>
    <col min="11" max="11" width="18.28515625" bestFit="1" customWidth="1"/>
    <col min="12" max="12" width="9.7109375" customWidth="1"/>
    <col min="13" max="13" width="13" bestFit="1" customWidth="1"/>
    <col min="14" max="14" width="12.42578125" bestFit="1" customWidth="1"/>
    <col min="15" max="15" width="13.85546875" customWidth="1"/>
    <col min="16" max="16" width="12.42578125" bestFit="1" customWidth="1"/>
    <col min="17" max="17" width="13.28515625" bestFit="1" customWidth="1"/>
    <col min="18" max="18" width="10.140625" customWidth="1"/>
    <col min="19" max="19" width="11.28515625" bestFit="1" customWidth="1"/>
    <col min="20" max="20" width="18.28515625" bestFit="1" customWidth="1"/>
    <col min="21" max="21" width="24.85546875" bestFit="1" customWidth="1"/>
    <col min="22" max="22" width="12.140625" customWidth="1"/>
  </cols>
  <sheetData>
    <row r="1" spans="1:22" s="29" customFormat="1" ht="17.45" x14ac:dyDescent="0.35">
      <c r="A1" s="184" t="s">
        <v>154</v>
      </c>
      <c r="D1" s="30"/>
      <c r="E1" s="30"/>
      <c r="F1" s="30"/>
    </row>
    <row r="2" spans="1:22" ht="14.45" x14ac:dyDescent="0.3">
      <c r="B2" s="4"/>
      <c r="C2" s="6" t="s">
        <v>26</v>
      </c>
      <c r="D2" s="83"/>
      <c r="E2" s="83"/>
      <c r="F2" s="83"/>
    </row>
    <row r="3" spans="1:22" ht="32.450000000000003" x14ac:dyDescent="0.3">
      <c r="C3" s="17" t="s">
        <v>14</v>
      </c>
      <c r="D3" s="20" t="s">
        <v>21</v>
      </c>
      <c r="E3" s="20" t="s">
        <v>94</v>
      </c>
      <c r="F3" s="17" t="s">
        <v>13</v>
      </c>
      <c r="G3" s="17" t="s">
        <v>15</v>
      </c>
      <c r="H3" s="18" t="s">
        <v>1</v>
      </c>
      <c r="I3" s="19" t="s">
        <v>25</v>
      </c>
      <c r="J3" s="17" t="s">
        <v>2</v>
      </c>
      <c r="K3" s="20" t="s">
        <v>94</v>
      </c>
      <c r="L3" s="20" t="s">
        <v>22</v>
      </c>
      <c r="M3" s="19" t="s">
        <v>8</v>
      </c>
      <c r="N3" s="19" t="s">
        <v>16</v>
      </c>
      <c r="O3" s="19" t="s">
        <v>17</v>
      </c>
      <c r="P3" s="19" t="s">
        <v>18</v>
      </c>
      <c r="Q3" s="20" t="s">
        <v>10</v>
      </c>
      <c r="R3" s="20" t="s">
        <v>23</v>
      </c>
      <c r="S3" s="19" t="s">
        <v>9</v>
      </c>
      <c r="T3" s="19" t="s">
        <v>19</v>
      </c>
      <c r="U3" s="19" t="s">
        <v>20</v>
      </c>
      <c r="V3" s="19" t="s">
        <v>24</v>
      </c>
    </row>
    <row r="4" spans="1:22" ht="14.45" x14ac:dyDescent="0.3">
      <c r="A4" s="6" t="s">
        <v>184</v>
      </c>
      <c r="C4" s="176" t="s">
        <v>57</v>
      </c>
      <c r="D4" s="56">
        <f>G4*E4</f>
        <v>4244</v>
      </c>
      <c r="E4" s="8">
        <v>212.2</v>
      </c>
      <c r="F4" s="8">
        <v>1</v>
      </c>
      <c r="G4" s="11">
        <v>20</v>
      </c>
      <c r="H4" s="7"/>
      <c r="I4" s="7"/>
      <c r="J4" s="8" t="s">
        <v>37</v>
      </c>
      <c r="K4" s="8">
        <v>118.96</v>
      </c>
      <c r="L4" s="46">
        <f>G5*K4</f>
        <v>2617.12</v>
      </c>
      <c r="M4" s="42" t="s">
        <v>27</v>
      </c>
      <c r="N4" s="45">
        <v>50500</v>
      </c>
      <c r="O4" s="1">
        <v>0.88300000000000001</v>
      </c>
      <c r="P4" s="11">
        <f>N4*O4</f>
        <v>44591.5</v>
      </c>
      <c r="Q4" s="8"/>
      <c r="R4" s="8"/>
      <c r="S4" s="7"/>
      <c r="T4" s="7"/>
      <c r="U4" s="7"/>
      <c r="V4" s="11">
        <f>T4*U4</f>
        <v>0</v>
      </c>
    </row>
    <row r="5" spans="1:22" ht="14.45" x14ac:dyDescent="0.3">
      <c r="A5" s="6"/>
      <c r="C5" s="8" t="s">
        <v>59</v>
      </c>
      <c r="D5" s="8">
        <f>G5*E5</f>
        <v>4274.16</v>
      </c>
      <c r="E5" s="8">
        <v>194.28</v>
      </c>
      <c r="F5" s="8">
        <v>1.1000000000000001</v>
      </c>
      <c r="G5" s="11">
        <f>G4*1.1</f>
        <v>22</v>
      </c>
      <c r="H5" s="1"/>
      <c r="I5" s="1"/>
      <c r="J5" s="25"/>
      <c r="K5" s="26"/>
      <c r="L5" s="46"/>
      <c r="M5" s="42"/>
      <c r="N5" s="2"/>
      <c r="O5" s="1"/>
      <c r="P5" s="11"/>
      <c r="Q5" s="8"/>
      <c r="R5" s="8"/>
      <c r="S5" s="7"/>
      <c r="T5" s="7"/>
      <c r="U5" s="7"/>
      <c r="V5" s="11">
        <f t="shared" ref="V5" si="0">T5*U5</f>
        <v>0</v>
      </c>
    </row>
    <row r="6" spans="1:22" ht="14.45" x14ac:dyDescent="0.3">
      <c r="A6" s="6"/>
      <c r="C6" s="10" t="s">
        <v>4</v>
      </c>
      <c r="D6" s="11">
        <f>SUM(D4:D5)</f>
        <v>8518.16</v>
      </c>
      <c r="E6" s="11">
        <f>SUM(E4:E5)</f>
        <v>406.48</v>
      </c>
      <c r="F6" s="10"/>
      <c r="G6" s="165">
        <f>SUM(G4:G5)</f>
        <v>42</v>
      </c>
      <c r="I6" s="23">
        <f>SUM(I4:I5)</f>
        <v>0</v>
      </c>
      <c r="L6" s="47">
        <f>SUM(L4:L5)</f>
        <v>2617.12</v>
      </c>
      <c r="N6" s="23">
        <f>SUM(N4:N5)</f>
        <v>50500</v>
      </c>
      <c r="P6" s="23">
        <f>SUM(P4:P5)</f>
        <v>44591.5</v>
      </c>
      <c r="R6" s="23">
        <f>SUM(R4:R5)</f>
        <v>0</v>
      </c>
      <c r="V6" s="23">
        <f>SUM(V4:V5)</f>
        <v>0</v>
      </c>
    </row>
    <row r="7" spans="1:22" ht="14.45" x14ac:dyDescent="0.3">
      <c r="A7" s="6"/>
      <c r="C7" s="4"/>
      <c r="D7" s="3"/>
      <c r="E7" s="3"/>
      <c r="F7" s="3"/>
      <c r="G7" s="4"/>
      <c r="H7" s="4"/>
      <c r="I7" s="4"/>
      <c r="M7" s="49"/>
      <c r="N7" s="4"/>
      <c r="O7" s="4"/>
      <c r="P7" s="4"/>
      <c r="Q7" s="4"/>
      <c r="R7" s="4"/>
      <c r="S7" s="4"/>
      <c r="T7" s="4"/>
      <c r="U7" s="4"/>
      <c r="V7" s="4"/>
    </row>
    <row r="8" spans="1:22" ht="14.45" x14ac:dyDescent="0.3">
      <c r="A8" s="6"/>
      <c r="C8" s="4"/>
      <c r="D8" s="3"/>
      <c r="E8" s="3"/>
      <c r="F8" s="3"/>
      <c r="G8" s="4"/>
      <c r="H8" s="4"/>
      <c r="K8" s="162" t="s">
        <v>133</v>
      </c>
      <c r="L8" s="96">
        <f>(T10/G4)*100</f>
        <v>90</v>
      </c>
      <c r="M8" s="49"/>
      <c r="O8" s="4"/>
      <c r="P8" s="4"/>
      <c r="Q8" s="4"/>
      <c r="R8" s="4"/>
      <c r="S8" s="4"/>
    </row>
    <row r="9" spans="1:22" ht="14.45" x14ac:dyDescent="0.3">
      <c r="A9" s="6"/>
      <c r="C9" s="4"/>
      <c r="D9" s="3"/>
      <c r="E9" s="3"/>
      <c r="F9" s="3"/>
      <c r="G9" s="4"/>
      <c r="H9" s="4"/>
      <c r="K9" s="159" t="s">
        <v>134</v>
      </c>
      <c r="L9" s="97">
        <f>(S10/(E6)*100)</f>
        <v>95.566817555599286</v>
      </c>
      <c r="M9" s="49"/>
      <c r="R9" s="5" t="s">
        <v>11</v>
      </c>
      <c r="S9" s="5" t="s">
        <v>12</v>
      </c>
      <c r="T9" s="5" t="s">
        <v>0</v>
      </c>
    </row>
    <row r="10" spans="1:22" ht="14.45" x14ac:dyDescent="0.3">
      <c r="A10" s="6"/>
      <c r="C10" s="4"/>
      <c r="D10" s="3"/>
      <c r="E10" s="3"/>
      <c r="F10" s="3"/>
      <c r="G10" s="4"/>
      <c r="H10" s="4"/>
      <c r="K10" s="162" t="s">
        <v>135</v>
      </c>
      <c r="L10" s="96">
        <f>(R10/D6)*100</f>
        <v>82.086741737652261</v>
      </c>
      <c r="P10" s="4"/>
      <c r="Q10" s="5" t="s">
        <v>3</v>
      </c>
      <c r="R10" s="9">
        <f>T10*S10</f>
        <v>6992.28</v>
      </c>
      <c r="S10" s="9">
        <v>388.46</v>
      </c>
      <c r="T10" s="22">
        <f>G4*0.9</f>
        <v>18</v>
      </c>
    </row>
    <row r="11" spans="1:22" ht="16.149999999999999" x14ac:dyDescent="0.3">
      <c r="A11" s="6"/>
      <c r="C11" s="4"/>
      <c r="D11" s="3"/>
      <c r="E11" s="3"/>
      <c r="F11" s="3"/>
      <c r="G11" s="4"/>
      <c r="H11" s="4"/>
      <c r="K11" s="159" t="s">
        <v>136</v>
      </c>
      <c r="L11" s="13">
        <f>(D6+I6+L6+P6+R6+V6)/R10</f>
        <v>7.9697580760495859</v>
      </c>
      <c r="O11" s="4"/>
      <c r="P11" s="4"/>
      <c r="S11" s="83"/>
      <c r="T11" s="3"/>
    </row>
    <row r="12" spans="1:22" ht="16.149999999999999" x14ac:dyDescent="0.3">
      <c r="A12" s="6"/>
      <c r="C12" s="4"/>
      <c r="D12" s="3"/>
      <c r="E12" s="3"/>
      <c r="F12" s="3"/>
      <c r="G12" s="4"/>
      <c r="H12" s="4"/>
      <c r="I12" s="4"/>
      <c r="K12" s="163" t="s">
        <v>137</v>
      </c>
      <c r="L12" s="15">
        <f>(D6+I6+L6)/R10</f>
        <v>1.5925105974017058</v>
      </c>
      <c r="N12" s="163" t="s">
        <v>139</v>
      </c>
      <c r="O12" s="154">
        <f>G4/N6*1000</f>
        <v>0.39603960396039606</v>
      </c>
      <c r="P12" s="4"/>
      <c r="S12" s="4"/>
    </row>
    <row r="13" spans="1:22" ht="16.149999999999999" x14ac:dyDescent="0.3">
      <c r="A13" s="6"/>
      <c r="C13" s="4"/>
      <c r="D13" s="3"/>
      <c r="E13" s="3"/>
      <c r="F13" s="3"/>
      <c r="G13" s="4"/>
      <c r="H13" s="4"/>
      <c r="I13" s="4"/>
      <c r="K13" s="164" t="s">
        <v>138</v>
      </c>
      <c r="L13" s="16">
        <f>(P6+V6)/R10</f>
        <v>6.3772474786478801</v>
      </c>
      <c r="M13" s="4"/>
      <c r="N13" s="4"/>
      <c r="O13" s="4"/>
      <c r="P13" s="4"/>
      <c r="U13" s="4"/>
      <c r="V13" s="4"/>
    </row>
    <row r="14" spans="1:22" ht="14.45" x14ac:dyDescent="0.3">
      <c r="A14" s="6"/>
      <c r="C14" s="6"/>
      <c r="D14"/>
      <c r="E14" s="3"/>
      <c r="F14" s="3"/>
      <c r="G14" s="4"/>
      <c r="H14" s="4"/>
      <c r="I14" s="4"/>
      <c r="K14" s="4"/>
      <c r="M14" s="4"/>
      <c r="P14" s="4"/>
      <c r="Q14" s="4"/>
      <c r="R14" s="4"/>
      <c r="S14" s="4"/>
      <c r="T14" s="4"/>
      <c r="U14" s="4"/>
      <c r="V14" s="4"/>
    </row>
    <row r="15" spans="1:22" ht="14.45" x14ac:dyDescent="0.3">
      <c r="A15" s="6"/>
      <c r="B15" s="4"/>
      <c r="C15" s="6" t="s">
        <v>26</v>
      </c>
      <c r="D15" s="83"/>
      <c r="E15" s="83"/>
      <c r="F15" s="83"/>
    </row>
    <row r="16" spans="1:22" ht="32.450000000000003" x14ac:dyDescent="0.3">
      <c r="A16" s="6"/>
      <c r="C16" s="17" t="s">
        <v>14</v>
      </c>
      <c r="D16" s="20" t="s">
        <v>21</v>
      </c>
      <c r="E16" s="20" t="s">
        <v>94</v>
      </c>
      <c r="F16" s="17" t="s">
        <v>13</v>
      </c>
      <c r="G16" s="17" t="s">
        <v>15</v>
      </c>
      <c r="H16" s="18" t="s">
        <v>1</v>
      </c>
      <c r="I16" s="19" t="s">
        <v>25</v>
      </c>
      <c r="J16" s="17" t="s">
        <v>2</v>
      </c>
      <c r="K16" s="20" t="s">
        <v>94</v>
      </c>
      <c r="L16" s="20" t="s">
        <v>22</v>
      </c>
      <c r="M16" s="19" t="s">
        <v>8</v>
      </c>
      <c r="N16" s="19" t="s">
        <v>16</v>
      </c>
      <c r="O16" s="19" t="s">
        <v>17</v>
      </c>
      <c r="P16" s="19" t="s">
        <v>18</v>
      </c>
      <c r="Q16" s="20" t="s">
        <v>10</v>
      </c>
      <c r="R16" s="20" t="s">
        <v>23</v>
      </c>
      <c r="S16" s="19" t="s">
        <v>9</v>
      </c>
      <c r="T16" s="19" t="s">
        <v>19</v>
      </c>
      <c r="U16" s="19" t="s">
        <v>20</v>
      </c>
      <c r="V16" s="19" t="s">
        <v>24</v>
      </c>
    </row>
    <row r="17" spans="1:22" ht="14.45" x14ac:dyDescent="0.3">
      <c r="A17" s="6" t="s">
        <v>197</v>
      </c>
      <c r="C17" s="172" t="s">
        <v>119</v>
      </c>
      <c r="D17" s="56">
        <f>G17*E17</f>
        <v>15494.6</v>
      </c>
      <c r="E17" s="8">
        <v>774.73</v>
      </c>
      <c r="F17" s="8">
        <v>1</v>
      </c>
      <c r="G17" s="11">
        <v>20</v>
      </c>
      <c r="H17" s="7"/>
      <c r="I17" s="7"/>
      <c r="J17" s="8" t="s">
        <v>37</v>
      </c>
      <c r="K17" s="8">
        <v>118.96</v>
      </c>
      <c r="L17" s="46">
        <f>G18*K17</f>
        <v>2617.12</v>
      </c>
      <c r="M17" s="42" t="s">
        <v>27</v>
      </c>
      <c r="N17" s="45">
        <v>50600</v>
      </c>
      <c r="O17" s="1">
        <v>0.88300000000000001</v>
      </c>
      <c r="P17" s="11">
        <f>N17*O17</f>
        <v>44679.8</v>
      </c>
      <c r="Q17" s="8"/>
      <c r="R17" s="8"/>
      <c r="S17" s="7"/>
      <c r="T17" s="7"/>
      <c r="U17" s="7"/>
      <c r="V17" s="11">
        <f>T17*U17</f>
        <v>0</v>
      </c>
    </row>
    <row r="18" spans="1:22" ht="14.45" x14ac:dyDescent="0.3">
      <c r="A18" s="6"/>
      <c r="C18" s="69" t="s">
        <v>124</v>
      </c>
      <c r="D18" s="8">
        <f>G18*E18</f>
        <v>6894.14</v>
      </c>
      <c r="E18" s="8">
        <v>313.37</v>
      </c>
      <c r="F18" s="8">
        <v>1.1000000000000001</v>
      </c>
      <c r="G18" s="11">
        <f>G17*F18</f>
        <v>22</v>
      </c>
      <c r="H18" s="1"/>
      <c r="I18" s="1"/>
      <c r="J18" s="25"/>
      <c r="K18" s="26"/>
      <c r="L18" s="46"/>
      <c r="M18" s="42"/>
      <c r="N18" s="2"/>
      <c r="O18" s="1"/>
      <c r="P18" s="11"/>
      <c r="Q18" s="8"/>
      <c r="R18" s="8"/>
      <c r="S18" s="7"/>
      <c r="T18" s="7"/>
      <c r="U18" s="7"/>
      <c r="V18" s="11">
        <f t="shared" ref="V18" si="1">T18*U18</f>
        <v>0</v>
      </c>
    </row>
    <row r="19" spans="1:22" ht="14.45" x14ac:dyDescent="0.3">
      <c r="A19" s="6"/>
      <c r="C19" s="10" t="s">
        <v>4</v>
      </c>
      <c r="D19" s="11">
        <f>SUM(D17:D18)</f>
        <v>22388.74</v>
      </c>
      <c r="E19" s="11">
        <f>SUM(E17:E18)</f>
        <v>1088.0999999999999</v>
      </c>
      <c r="F19" s="10"/>
      <c r="G19" s="165">
        <f>SUM(G17:G18)</f>
        <v>42</v>
      </c>
      <c r="I19" s="23">
        <f>SUM(I17:I18)</f>
        <v>0</v>
      </c>
      <c r="L19" s="47">
        <f>SUM(L17:L18)</f>
        <v>2617.12</v>
      </c>
      <c r="N19" s="23">
        <f>SUM(N17:N18)</f>
        <v>50600</v>
      </c>
      <c r="P19" s="23">
        <f>SUM(P17:P18)</f>
        <v>44679.8</v>
      </c>
      <c r="R19" s="23">
        <f>SUM(R17:R18)</f>
        <v>0</v>
      </c>
      <c r="V19" s="23">
        <f>SUM(V17:V18)</f>
        <v>0</v>
      </c>
    </row>
    <row r="20" spans="1:22" ht="14.45" x14ac:dyDescent="0.3">
      <c r="C20" s="4"/>
      <c r="D20" s="3"/>
      <c r="E20" s="3"/>
      <c r="F20" s="3"/>
      <c r="G20" s="4"/>
      <c r="H20" s="4"/>
      <c r="I20" s="4"/>
      <c r="M20" s="49"/>
      <c r="N20" s="4"/>
      <c r="O20" s="4"/>
      <c r="P20" s="4"/>
      <c r="Q20" s="4"/>
      <c r="R20" s="4"/>
      <c r="S20" s="4"/>
      <c r="T20" s="4"/>
      <c r="U20" s="4"/>
      <c r="V20" s="4"/>
    </row>
    <row r="21" spans="1:22" ht="14.45" x14ac:dyDescent="0.3">
      <c r="C21" s="4"/>
      <c r="D21" s="3"/>
      <c r="E21" s="3"/>
      <c r="F21" s="3"/>
      <c r="G21" s="4"/>
      <c r="H21" s="4"/>
      <c r="K21" s="162" t="s">
        <v>133</v>
      </c>
      <c r="L21" s="96">
        <f>(T23/G17)*100</f>
        <v>90</v>
      </c>
      <c r="M21" s="49"/>
      <c r="O21" s="4"/>
      <c r="P21" s="4"/>
      <c r="Q21" s="4"/>
      <c r="R21" s="4"/>
      <c r="S21" s="4"/>
    </row>
    <row r="22" spans="1:22" ht="14.45" x14ac:dyDescent="0.3">
      <c r="C22" s="4"/>
      <c r="D22" s="3"/>
      <c r="E22" s="3"/>
      <c r="F22" s="3"/>
      <c r="G22" s="4"/>
      <c r="H22" s="4"/>
      <c r="K22" s="159" t="s">
        <v>134</v>
      </c>
      <c r="L22" s="97">
        <f>(S23/(E19)*100)</f>
        <v>82.518150905247694</v>
      </c>
      <c r="M22" s="49"/>
      <c r="R22" s="5" t="s">
        <v>11</v>
      </c>
      <c r="S22" s="5" t="s">
        <v>12</v>
      </c>
      <c r="T22" s="5" t="s">
        <v>0</v>
      </c>
    </row>
    <row r="23" spans="1:22" ht="14.45" x14ac:dyDescent="0.3">
      <c r="C23" s="4"/>
      <c r="D23" s="3"/>
      <c r="E23" s="3"/>
      <c r="F23" s="3"/>
      <c r="G23" s="4"/>
      <c r="H23" s="4"/>
      <c r="K23" s="162" t="s">
        <v>135</v>
      </c>
      <c r="L23" s="96">
        <f>(R23/D19)*100</f>
        <v>72.187358466800717</v>
      </c>
      <c r="P23" s="4"/>
      <c r="Q23" s="5" t="s">
        <v>3</v>
      </c>
      <c r="R23" s="9">
        <f>T23*S23</f>
        <v>16161.84</v>
      </c>
      <c r="S23" s="9">
        <v>897.88</v>
      </c>
      <c r="T23" s="22">
        <f>G17*0.9</f>
        <v>18</v>
      </c>
    </row>
    <row r="24" spans="1:22" ht="16.149999999999999" x14ac:dyDescent="0.3">
      <c r="C24" s="4"/>
      <c r="D24" s="3"/>
      <c r="E24" s="3"/>
      <c r="F24" s="3"/>
      <c r="G24" s="4"/>
      <c r="H24" s="4"/>
      <c r="K24" s="159" t="s">
        <v>136</v>
      </c>
      <c r="L24" s="13">
        <f>(D19+I19+L19+P19+R19+V19)/R23</f>
        <v>4.3117404948941456</v>
      </c>
      <c r="O24" s="4"/>
      <c r="P24" s="4"/>
      <c r="S24" s="83"/>
      <c r="T24" s="3"/>
    </row>
    <row r="25" spans="1:22" ht="16.149999999999999" x14ac:dyDescent="0.3">
      <c r="C25" s="4"/>
      <c r="D25" s="3"/>
      <c r="E25" s="3"/>
      <c r="F25" s="3"/>
      <c r="G25" s="4"/>
      <c r="H25" s="4"/>
      <c r="I25" s="4"/>
      <c r="K25" s="163" t="s">
        <v>137</v>
      </c>
      <c r="L25" s="15">
        <f>(D19+I19+L19)/R23</f>
        <v>1.5472161585562041</v>
      </c>
      <c r="N25" s="163" t="s">
        <v>139</v>
      </c>
      <c r="O25" s="93">
        <f>G17/N19*1000</f>
        <v>0.39525691699604742</v>
      </c>
      <c r="P25" s="4"/>
      <c r="S25" s="4"/>
    </row>
    <row r="26" spans="1:22" ht="16.149999999999999" x14ac:dyDescent="0.3">
      <c r="C26" s="4"/>
      <c r="D26" s="3"/>
      <c r="E26" s="3"/>
      <c r="F26" s="3"/>
      <c r="G26" s="4"/>
      <c r="H26" s="4"/>
      <c r="I26" s="4"/>
      <c r="K26" s="164" t="s">
        <v>138</v>
      </c>
      <c r="L26" s="16">
        <f>(P19+V19)/R23</f>
        <v>2.7645243363379417</v>
      </c>
      <c r="M26" s="4"/>
      <c r="N26" s="4"/>
      <c r="O26" s="4"/>
      <c r="P26" s="4"/>
      <c r="U26" s="4"/>
      <c r="V26" s="4"/>
    </row>
    <row r="27" spans="1:22" ht="14.45" x14ac:dyDescent="0.3">
      <c r="C27" s="6"/>
      <c r="D27"/>
      <c r="E27" s="3"/>
      <c r="F27" s="3"/>
      <c r="G27" s="4"/>
      <c r="H27" s="4"/>
      <c r="I27" s="4"/>
      <c r="K27" s="4"/>
      <c r="M27" s="4"/>
      <c r="P27" s="4"/>
      <c r="Q27" s="4"/>
      <c r="R27" s="4"/>
      <c r="S27" s="4"/>
      <c r="T27" s="4"/>
      <c r="U27" s="4"/>
      <c r="V27" s="4"/>
    </row>
    <row r="28" spans="1:22" ht="14.45" x14ac:dyDescent="0.3">
      <c r="C28" s="6"/>
      <c r="D28"/>
      <c r="E28" s="3"/>
      <c r="F28" s="3"/>
      <c r="G28" s="4"/>
      <c r="H28" s="4"/>
      <c r="I28" s="4"/>
      <c r="M28" s="4"/>
      <c r="N28" s="4"/>
      <c r="O28" s="4"/>
      <c r="P28" s="4"/>
      <c r="Q28" s="4"/>
      <c r="R28" s="4"/>
      <c r="S28" s="4"/>
      <c r="T28" s="4"/>
      <c r="U28" s="4"/>
      <c r="V28" s="4"/>
    </row>
    <row r="29" spans="1:22" s="29" customFormat="1" ht="17.45" x14ac:dyDescent="0.35">
      <c r="A29" s="184" t="s">
        <v>151</v>
      </c>
      <c r="D29" s="30"/>
      <c r="E29" s="30"/>
      <c r="F29" s="30"/>
    </row>
    <row r="30" spans="1:22" ht="14.45" x14ac:dyDescent="0.3">
      <c r="B30" s="4"/>
      <c r="C30" s="6" t="s">
        <v>26</v>
      </c>
      <c r="D30" s="83"/>
      <c r="E30" s="83"/>
      <c r="F30" s="83"/>
    </row>
    <row r="31" spans="1:22" ht="32.450000000000003" x14ac:dyDescent="0.3">
      <c r="C31" s="17" t="s">
        <v>14</v>
      </c>
      <c r="D31" s="20" t="s">
        <v>21</v>
      </c>
      <c r="E31" s="20" t="s">
        <v>94</v>
      </c>
      <c r="F31" s="17" t="s">
        <v>13</v>
      </c>
      <c r="G31" s="17" t="s">
        <v>15</v>
      </c>
      <c r="H31" s="18" t="s">
        <v>1</v>
      </c>
      <c r="I31" s="19" t="s">
        <v>25</v>
      </c>
      <c r="J31" s="17" t="s">
        <v>2</v>
      </c>
      <c r="K31" s="20" t="s">
        <v>94</v>
      </c>
      <c r="L31" s="20" t="s">
        <v>22</v>
      </c>
      <c r="M31" s="19" t="s">
        <v>8</v>
      </c>
      <c r="N31" s="19" t="s">
        <v>16</v>
      </c>
      <c r="O31" s="19" t="s">
        <v>17</v>
      </c>
      <c r="P31" s="19" t="s">
        <v>18</v>
      </c>
      <c r="Q31" s="20" t="s">
        <v>10</v>
      </c>
      <c r="R31" s="20" t="s">
        <v>23</v>
      </c>
      <c r="S31" s="19" t="s">
        <v>9</v>
      </c>
      <c r="T31" s="19" t="s">
        <v>19</v>
      </c>
      <c r="U31" s="19" t="s">
        <v>20</v>
      </c>
      <c r="V31" s="19" t="s">
        <v>24</v>
      </c>
    </row>
    <row r="32" spans="1:22" ht="14.45" x14ac:dyDescent="0.3">
      <c r="A32" s="6" t="s">
        <v>184</v>
      </c>
      <c r="C32" s="176" t="s">
        <v>57</v>
      </c>
      <c r="D32" s="56">
        <f>G32*E32</f>
        <v>4244</v>
      </c>
      <c r="E32" s="8">
        <v>212.2</v>
      </c>
      <c r="F32" s="8">
        <v>1</v>
      </c>
      <c r="G32" s="11">
        <v>20</v>
      </c>
      <c r="H32" s="7"/>
      <c r="I32" s="7"/>
      <c r="J32" s="8" t="s">
        <v>48</v>
      </c>
      <c r="K32" s="8">
        <v>126.92</v>
      </c>
      <c r="L32" s="46">
        <f>G33*K32</f>
        <v>2792.2400000000002</v>
      </c>
      <c r="M32" s="42" t="s">
        <v>27</v>
      </c>
      <c r="N32" s="45">
        <v>50600</v>
      </c>
      <c r="O32" s="1">
        <v>0.88300000000000001</v>
      </c>
      <c r="P32" s="11">
        <f>N32*O32</f>
        <v>44679.8</v>
      </c>
      <c r="Q32" s="8"/>
      <c r="R32" s="8"/>
      <c r="S32" s="7"/>
      <c r="T32" s="7"/>
      <c r="U32" s="7"/>
      <c r="V32" s="11">
        <f>T32*U32</f>
        <v>0</v>
      </c>
    </row>
    <row r="33" spans="1:22" ht="14.45" x14ac:dyDescent="0.3">
      <c r="A33" s="6"/>
      <c r="C33" s="8" t="s">
        <v>59</v>
      </c>
      <c r="D33" s="8">
        <f>G33*E33</f>
        <v>4274.16</v>
      </c>
      <c r="E33" s="8">
        <v>194.28</v>
      </c>
      <c r="F33" s="8">
        <v>1.1000000000000001</v>
      </c>
      <c r="G33" s="11">
        <f>G32*1.1</f>
        <v>22</v>
      </c>
      <c r="H33" s="1"/>
      <c r="I33" s="1"/>
      <c r="J33" s="25"/>
      <c r="K33" s="26"/>
      <c r="L33" s="46"/>
      <c r="M33" s="42"/>
      <c r="N33" s="2"/>
      <c r="O33" s="1"/>
      <c r="P33" s="11"/>
      <c r="Q33" s="8"/>
      <c r="R33" s="8"/>
      <c r="S33" s="7"/>
      <c r="T33" s="7"/>
      <c r="U33" s="7"/>
      <c r="V33" s="11">
        <f t="shared" ref="V33" si="2">T33*U33</f>
        <v>0</v>
      </c>
    </row>
    <row r="34" spans="1:22" ht="14.45" x14ac:dyDescent="0.3">
      <c r="A34" s="6"/>
      <c r="C34" s="10" t="s">
        <v>4</v>
      </c>
      <c r="D34" s="11">
        <f>SUM(D32:D33)</f>
        <v>8518.16</v>
      </c>
      <c r="E34" s="11">
        <f>SUM(E32:E33)</f>
        <v>406.48</v>
      </c>
      <c r="F34" s="10"/>
      <c r="G34" s="165">
        <f>SUM(G32:G33)</f>
        <v>42</v>
      </c>
      <c r="I34" s="23">
        <f>SUM(I32:I33)</f>
        <v>0</v>
      </c>
      <c r="L34" s="47">
        <f>SUM(L32:L33)</f>
        <v>2792.2400000000002</v>
      </c>
      <c r="N34" s="23">
        <f>SUM(N32:N33)</f>
        <v>50600</v>
      </c>
      <c r="P34" s="23">
        <f>SUM(P32:P33)</f>
        <v>44679.8</v>
      </c>
      <c r="R34" s="23">
        <f>SUM(R32:R33)</f>
        <v>0</v>
      </c>
      <c r="V34" s="23">
        <f>SUM(V32:V33)</f>
        <v>0</v>
      </c>
    </row>
    <row r="35" spans="1:22" ht="14.45" x14ac:dyDescent="0.3">
      <c r="A35" s="6"/>
      <c r="C35" s="4"/>
      <c r="D35" s="3"/>
      <c r="E35" s="3"/>
      <c r="F35" s="3"/>
      <c r="G35" s="4"/>
      <c r="H35" s="4"/>
      <c r="I35" s="4"/>
      <c r="M35" s="49"/>
      <c r="N35" s="4"/>
      <c r="O35" s="4"/>
      <c r="P35" s="4"/>
      <c r="Q35" s="4"/>
      <c r="R35" s="4"/>
      <c r="S35" s="4"/>
      <c r="T35" s="4"/>
      <c r="U35" s="4"/>
      <c r="V35" s="4"/>
    </row>
    <row r="36" spans="1:22" ht="14.45" x14ac:dyDescent="0.3">
      <c r="A36" s="6"/>
      <c r="C36" s="4"/>
      <c r="D36" s="3"/>
      <c r="E36" s="3"/>
      <c r="F36" s="3"/>
      <c r="G36" s="4"/>
      <c r="H36" s="4"/>
      <c r="K36" s="162" t="s">
        <v>133</v>
      </c>
      <c r="L36" s="96">
        <f>(T38/G32)*100</f>
        <v>90</v>
      </c>
      <c r="M36" s="49"/>
      <c r="O36" s="4"/>
      <c r="P36" s="4"/>
      <c r="Q36" s="4"/>
      <c r="R36" s="4"/>
      <c r="S36" s="4"/>
    </row>
    <row r="37" spans="1:22" ht="14.45" x14ac:dyDescent="0.3">
      <c r="A37" s="6"/>
      <c r="C37" s="4"/>
      <c r="D37" s="3"/>
      <c r="E37" s="3"/>
      <c r="F37" s="3"/>
      <c r="G37" s="4"/>
      <c r="H37" s="4"/>
      <c r="K37" s="159" t="s">
        <v>134</v>
      </c>
      <c r="L37" s="97">
        <f>(S38/(E34)*100)</f>
        <v>95.566817555599286</v>
      </c>
      <c r="M37" s="49"/>
      <c r="R37" s="5" t="s">
        <v>11</v>
      </c>
      <c r="S37" s="5" t="s">
        <v>12</v>
      </c>
      <c r="T37" s="5" t="s">
        <v>0</v>
      </c>
    </row>
    <row r="38" spans="1:22" ht="14.45" x14ac:dyDescent="0.3">
      <c r="A38" s="6"/>
      <c r="C38" s="4"/>
      <c r="D38" s="3"/>
      <c r="E38" s="3"/>
      <c r="F38" s="3"/>
      <c r="G38" s="4"/>
      <c r="H38" s="4"/>
      <c r="K38" s="162" t="s">
        <v>135</v>
      </c>
      <c r="L38" s="96">
        <f>(R38/D34)*100</f>
        <v>82.086741737652261</v>
      </c>
      <c r="P38" s="4"/>
      <c r="Q38" s="5" t="s">
        <v>3</v>
      </c>
      <c r="R38" s="9">
        <f>T38*S38</f>
        <v>6992.28</v>
      </c>
      <c r="S38" s="9">
        <v>388.46</v>
      </c>
      <c r="T38" s="22">
        <f>G32*0.9</f>
        <v>18</v>
      </c>
    </row>
    <row r="39" spans="1:22" ht="16.149999999999999" x14ac:dyDescent="0.3">
      <c r="A39" s="6"/>
      <c r="C39" s="4"/>
      <c r="D39" s="3"/>
      <c r="E39" s="3"/>
      <c r="F39" s="3"/>
      <c r="G39" s="4"/>
      <c r="H39" s="4"/>
      <c r="K39" s="159" t="s">
        <v>136</v>
      </c>
      <c r="L39" s="13">
        <f>(D34+I34+L34+P34+R34+V34)/R38</f>
        <v>8.0074310525322225</v>
      </c>
      <c r="O39" s="4"/>
      <c r="P39" s="4"/>
      <c r="S39" s="83"/>
      <c r="T39" s="3"/>
    </row>
    <row r="40" spans="1:22" ht="16.149999999999999" x14ac:dyDescent="0.3">
      <c r="A40" s="6"/>
      <c r="C40" s="4"/>
      <c r="D40" s="3"/>
      <c r="E40" s="3"/>
      <c r="F40" s="3"/>
      <c r="G40" s="4"/>
      <c r="H40" s="4"/>
      <c r="I40" s="4"/>
      <c r="K40" s="163" t="s">
        <v>137</v>
      </c>
      <c r="L40" s="15">
        <f>(D34+I34+L34)/R38</f>
        <v>1.6175553610553353</v>
      </c>
      <c r="N40" s="163" t="s">
        <v>139</v>
      </c>
      <c r="O40" s="93">
        <f>G32/N34*1000</f>
        <v>0.39525691699604742</v>
      </c>
      <c r="P40" s="4"/>
      <c r="S40" s="4"/>
    </row>
    <row r="41" spans="1:22" ht="16.149999999999999" x14ac:dyDescent="0.3">
      <c r="A41" s="6"/>
      <c r="C41" s="4"/>
      <c r="D41" s="3"/>
      <c r="E41" s="3"/>
      <c r="F41" s="3"/>
      <c r="G41" s="4"/>
      <c r="H41" s="4"/>
      <c r="I41" s="4"/>
      <c r="K41" s="164" t="s">
        <v>138</v>
      </c>
      <c r="L41" s="16">
        <f>(P34+V34)/R38</f>
        <v>6.3898756914768864</v>
      </c>
      <c r="M41" s="4"/>
      <c r="N41" s="4"/>
      <c r="O41" s="4"/>
      <c r="P41" s="4"/>
      <c r="U41" s="4"/>
      <c r="V41" s="4"/>
    </row>
    <row r="42" spans="1:22" ht="14.45" x14ac:dyDescent="0.3">
      <c r="A42" s="6"/>
      <c r="C42" s="6"/>
      <c r="D42"/>
      <c r="E42" s="3"/>
      <c r="F42" s="3"/>
      <c r="G42" s="4"/>
      <c r="H42" s="4"/>
      <c r="I42" s="4"/>
      <c r="K42" s="4"/>
      <c r="M42" s="4"/>
      <c r="P42" s="4"/>
      <c r="Q42" s="4"/>
      <c r="R42" s="4"/>
      <c r="S42" s="4"/>
      <c r="T42" s="4"/>
      <c r="U42" s="4"/>
      <c r="V42" s="4"/>
    </row>
    <row r="43" spans="1:22" ht="14.45" x14ac:dyDescent="0.3">
      <c r="A43" s="6"/>
      <c r="B43" s="4"/>
      <c r="C43" s="6" t="s">
        <v>26</v>
      </c>
      <c r="D43" s="83"/>
      <c r="E43" s="83"/>
      <c r="F43" s="83"/>
    </row>
    <row r="44" spans="1:22" ht="32.450000000000003" x14ac:dyDescent="0.3">
      <c r="A44" s="6"/>
      <c r="C44" s="17" t="s">
        <v>14</v>
      </c>
      <c r="D44" s="20" t="s">
        <v>21</v>
      </c>
      <c r="E44" s="20" t="s">
        <v>94</v>
      </c>
      <c r="F44" s="17" t="s">
        <v>13</v>
      </c>
      <c r="G44" s="17" t="s">
        <v>15</v>
      </c>
      <c r="H44" s="18" t="s">
        <v>1</v>
      </c>
      <c r="I44" s="19" t="s">
        <v>25</v>
      </c>
      <c r="J44" s="17" t="s">
        <v>2</v>
      </c>
      <c r="K44" s="20" t="s">
        <v>94</v>
      </c>
      <c r="L44" s="20" t="s">
        <v>22</v>
      </c>
      <c r="M44" s="19" t="s">
        <v>8</v>
      </c>
      <c r="N44" s="19" t="s">
        <v>16</v>
      </c>
      <c r="O44" s="19" t="s">
        <v>17</v>
      </c>
      <c r="P44" s="19" t="s">
        <v>18</v>
      </c>
      <c r="Q44" s="20" t="s">
        <v>10</v>
      </c>
      <c r="R44" s="20" t="s">
        <v>23</v>
      </c>
      <c r="S44" s="19" t="s">
        <v>9</v>
      </c>
      <c r="T44" s="19" t="s">
        <v>19</v>
      </c>
      <c r="U44" s="19" t="s">
        <v>20</v>
      </c>
      <c r="V44" s="19" t="s">
        <v>24</v>
      </c>
    </row>
    <row r="45" spans="1:22" ht="14.45" x14ac:dyDescent="0.3">
      <c r="A45" s="6" t="s">
        <v>197</v>
      </c>
      <c r="C45" s="172" t="s">
        <v>119</v>
      </c>
      <c r="D45" s="56">
        <f>G45*E45</f>
        <v>15494.6</v>
      </c>
      <c r="E45" s="8">
        <v>774.73</v>
      </c>
      <c r="F45" s="8">
        <v>1</v>
      </c>
      <c r="G45" s="11">
        <v>20</v>
      </c>
      <c r="H45" s="7"/>
      <c r="I45" s="7"/>
      <c r="J45" s="8" t="s">
        <v>48</v>
      </c>
      <c r="K45" s="8">
        <v>126.92</v>
      </c>
      <c r="L45" s="46">
        <f>G46*K45</f>
        <v>2792.2400000000002</v>
      </c>
      <c r="M45" s="42" t="s">
        <v>27</v>
      </c>
      <c r="N45" s="45">
        <v>50600</v>
      </c>
      <c r="O45" s="1">
        <v>0.88300000000000001</v>
      </c>
      <c r="P45" s="11">
        <f>N45*O45</f>
        <v>44679.8</v>
      </c>
      <c r="Q45" s="8"/>
      <c r="R45" s="8"/>
      <c r="S45" s="7"/>
      <c r="T45" s="7"/>
      <c r="U45" s="7"/>
      <c r="V45" s="11">
        <f>T45*U45</f>
        <v>0</v>
      </c>
    </row>
    <row r="46" spans="1:22" ht="15.75" customHeight="1" x14ac:dyDescent="0.3">
      <c r="A46" s="6"/>
      <c r="C46" s="69" t="s">
        <v>124</v>
      </c>
      <c r="D46" s="8">
        <f>G46*E46</f>
        <v>6894.14</v>
      </c>
      <c r="E46" s="8">
        <v>313.37</v>
      </c>
      <c r="F46" s="8">
        <v>1.1000000000000001</v>
      </c>
      <c r="G46" s="11">
        <f>G45*F46</f>
        <v>22</v>
      </c>
      <c r="H46" s="1"/>
      <c r="I46" s="1"/>
      <c r="J46" s="25"/>
      <c r="K46" s="26"/>
      <c r="L46" s="46"/>
      <c r="M46" s="42"/>
      <c r="N46" s="2"/>
      <c r="O46" s="1"/>
      <c r="P46" s="11"/>
      <c r="Q46" s="8"/>
      <c r="R46" s="8"/>
      <c r="S46" s="7"/>
      <c r="T46" s="7"/>
      <c r="U46" s="7"/>
      <c r="V46" s="11">
        <f t="shared" ref="V46" si="3">T46*U46</f>
        <v>0</v>
      </c>
    </row>
    <row r="47" spans="1:22" ht="14.45" x14ac:dyDescent="0.3">
      <c r="A47" s="6"/>
      <c r="C47" s="10" t="s">
        <v>4</v>
      </c>
      <c r="D47" s="11">
        <f>SUM(D45:D46)</f>
        <v>22388.74</v>
      </c>
      <c r="E47" s="11">
        <f>SUM(E45:E46)</f>
        <v>1088.0999999999999</v>
      </c>
      <c r="F47" s="10"/>
      <c r="G47" s="165">
        <f>SUM(G45:G46)</f>
        <v>42</v>
      </c>
      <c r="I47" s="23">
        <f>SUM(I45:I46)</f>
        <v>0</v>
      </c>
      <c r="L47" s="47">
        <f>SUM(L45:L46)</f>
        <v>2792.2400000000002</v>
      </c>
      <c r="N47" s="23">
        <f>SUM(N45:N46)</f>
        <v>50600</v>
      </c>
      <c r="P47" s="23">
        <f>SUM(P45:P46)</f>
        <v>44679.8</v>
      </c>
      <c r="R47" s="23">
        <f>SUM(R45:R46)</f>
        <v>0</v>
      </c>
      <c r="V47" s="23">
        <f>SUM(V45:V46)</f>
        <v>0</v>
      </c>
    </row>
    <row r="48" spans="1:22" ht="14.45" x14ac:dyDescent="0.3">
      <c r="C48" s="4"/>
      <c r="D48" s="3"/>
      <c r="E48" s="3"/>
      <c r="F48" s="3"/>
      <c r="G48" s="4"/>
      <c r="H48" s="4"/>
      <c r="I48" s="4"/>
      <c r="M48" s="49"/>
      <c r="N48" s="4"/>
      <c r="O48" s="4"/>
      <c r="P48" s="4"/>
      <c r="Q48" s="4"/>
      <c r="R48" s="4"/>
      <c r="S48" s="4"/>
      <c r="T48" s="4"/>
      <c r="U48" s="4"/>
      <c r="V48" s="4"/>
    </row>
    <row r="49" spans="1:22" ht="14.45" x14ac:dyDescent="0.3">
      <c r="C49" s="4"/>
      <c r="D49" s="3"/>
      <c r="E49" s="3"/>
      <c r="F49" s="3"/>
      <c r="G49" s="4"/>
      <c r="H49" s="4"/>
      <c r="K49" s="162" t="s">
        <v>133</v>
      </c>
      <c r="L49" s="96">
        <f>(T51/G45)*100</f>
        <v>90</v>
      </c>
      <c r="M49" s="49"/>
      <c r="O49" s="4"/>
      <c r="P49" s="4"/>
      <c r="Q49" s="4"/>
      <c r="R49" s="4"/>
      <c r="S49" s="4"/>
    </row>
    <row r="50" spans="1:22" ht="14.45" x14ac:dyDescent="0.3">
      <c r="C50" s="4"/>
      <c r="D50" s="3"/>
      <c r="E50" s="3"/>
      <c r="F50" s="3"/>
      <c r="G50" s="4"/>
      <c r="H50" s="4"/>
      <c r="K50" s="159" t="s">
        <v>134</v>
      </c>
      <c r="L50" s="97">
        <f>(S51/(E47)*100)</f>
        <v>82.518150905247694</v>
      </c>
      <c r="M50" s="49"/>
      <c r="R50" s="5" t="s">
        <v>11</v>
      </c>
      <c r="S50" s="5" t="s">
        <v>12</v>
      </c>
      <c r="T50" s="5" t="s">
        <v>0</v>
      </c>
    </row>
    <row r="51" spans="1:22" ht="14.45" x14ac:dyDescent="0.3">
      <c r="C51" s="4"/>
      <c r="D51" s="3"/>
      <c r="E51" s="3"/>
      <c r="F51" s="3"/>
      <c r="G51" s="4"/>
      <c r="H51" s="4"/>
      <c r="K51" s="162" t="s">
        <v>135</v>
      </c>
      <c r="L51" s="96">
        <f>(R51/D47)*100</f>
        <v>72.187358466800717</v>
      </c>
      <c r="P51" s="4"/>
      <c r="Q51" s="5" t="s">
        <v>3</v>
      </c>
      <c r="R51" s="9">
        <f>T51*S51</f>
        <v>16161.84</v>
      </c>
      <c r="S51" s="9">
        <v>897.88</v>
      </c>
      <c r="T51" s="22">
        <f>G45*0.9</f>
        <v>18</v>
      </c>
    </row>
    <row r="52" spans="1:22" ht="16.149999999999999" x14ac:dyDescent="0.3">
      <c r="C52" s="4"/>
      <c r="D52" s="3"/>
      <c r="E52" s="3"/>
      <c r="F52" s="3"/>
      <c r="G52" s="4"/>
      <c r="H52" s="4"/>
      <c r="K52" s="159" t="s">
        <v>136</v>
      </c>
      <c r="L52" s="13">
        <f>(D47+I47+L47+P47+R47+V47)/R51</f>
        <v>4.3225758948238564</v>
      </c>
      <c r="O52" s="4"/>
      <c r="P52" s="4"/>
      <c r="S52" s="83"/>
      <c r="T52" s="3"/>
    </row>
    <row r="53" spans="1:22" ht="17.25" x14ac:dyDescent="0.25">
      <c r="C53" s="4"/>
      <c r="D53" s="3"/>
      <c r="E53" s="3"/>
      <c r="F53" s="3"/>
      <c r="G53" s="4"/>
      <c r="H53" s="4"/>
      <c r="I53" s="4"/>
      <c r="K53" s="163" t="s">
        <v>137</v>
      </c>
      <c r="L53" s="15">
        <f>(D47+I47+L47)/R51</f>
        <v>1.5580515584859151</v>
      </c>
      <c r="N53" s="163" t="s">
        <v>139</v>
      </c>
      <c r="O53" s="93">
        <f>G45/N47*1000</f>
        <v>0.39525691699604742</v>
      </c>
      <c r="P53" s="4"/>
      <c r="S53" s="4"/>
    </row>
    <row r="54" spans="1:22" ht="17.25" x14ac:dyDescent="0.25">
      <c r="C54" s="4"/>
      <c r="D54" s="3"/>
      <c r="E54" s="3"/>
      <c r="F54" s="3"/>
      <c r="G54" s="4"/>
      <c r="H54" s="4"/>
      <c r="I54" s="4"/>
      <c r="K54" s="164" t="s">
        <v>138</v>
      </c>
      <c r="L54" s="16">
        <f>(P47+V47)/R51</f>
        <v>2.7645243363379417</v>
      </c>
      <c r="M54" s="4"/>
      <c r="N54" s="4"/>
      <c r="O54" s="4"/>
      <c r="P54" s="4"/>
      <c r="U54" s="4"/>
      <c r="V54" s="4"/>
    </row>
    <row r="55" spans="1:22" x14ac:dyDescent="0.25">
      <c r="C55" s="6"/>
      <c r="D55"/>
      <c r="E55" s="3"/>
      <c r="F55" s="3"/>
      <c r="G55" s="4"/>
      <c r="H55" s="4"/>
      <c r="I55" s="4"/>
      <c r="K55" s="4"/>
      <c r="M55" s="4"/>
      <c r="P55" s="4"/>
      <c r="Q55" s="4"/>
      <c r="R55" s="4"/>
      <c r="S55" s="4"/>
      <c r="T55" s="4"/>
      <c r="U55" s="4"/>
      <c r="V55" s="4"/>
    </row>
    <row r="56" spans="1:22" x14ac:dyDescent="0.25">
      <c r="C56" s="6"/>
      <c r="D56"/>
      <c r="E56" s="3"/>
      <c r="F56" s="3"/>
      <c r="G56" s="4"/>
      <c r="H56" s="4"/>
      <c r="I56" s="4"/>
      <c r="M56" s="4"/>
      <c r="N56" s="4"/>
      <c r="O56" s="4"/>
      <c r="P56" s="4"/>
      <c r="Q56" s="4"/>
      <c r="R56" s="4"/>
      <c r="S56" s="4"/>
      <c r="T56" s="4"/>
      <c r="U56" s="4"/>
      <c r="V56" s="4"/>
    </row>
    <row r="57" spans="1:22" s="29" customFormat="1" ht="17.25" x14ac:dyDescent="0.25">
      <c r="A57" s="184" t="s">
        <v>150</v>
      </c>
      <c r="D57" s="30"/>
      <c r="E57" s="30"/>
      <c r="F57" s="30"/>
    </row>
    <row r="58" spans="1:22" x14ac:dyDescent="0.25">
      <c r="B58" s="4"/>
      <c r="C58" s="6" t="s">
        <v>26</v>
      </c>
      <c r="D58" s="83"/>
      <c r="E58" s="83"/>
      <c r="F58" s="83"/>
    </row>
    <row r="59" spans="1:22" ht="34.5" x14ac:dyDescent="0.25">
      <c r="C59" s="17" t="s">
        <v>14</v>
      </c>
      <c r="D59" s="20" t="s">
        <v>21</v>
      </c>
      <c r="E59" s="20" t="s">
        <v>94</v>
      </c>
      <c r="F59" s="17" t="s">
        <v>13</v>
      </c>
      <c r="G59" s="17" t="s">
        <v>15</v>
      </c>
      <c r="H59" s="18" t="s">
        <v>1</v>
      </c>
      <c r="I59" s="19" t="s">
        <v>25</v>
      </c>
      <c r="J59" s="17" t="s">
        <v>2</v>
      </c>
      <c r="K59" s="20" t="s">
        <v>94</v>
      </c>
      <c r="L59" s="20" t="s">
        <v>22</v>
      </c>
      <c r="M59" s="19" t="s">
        <v>8</v>
      </c>
      <c r="N59" s="19" t="s">
        <v>16</v>
      </c>
      <c r="O59" s="19" t="s">
        <v>17</v>
      </c>
      <c r="P59" s="19" t="s">
        <v>18</v>
      </c>
      <c r="Q59" s="20" t="s">
        <v>10</v>
      </c>
      <c r="R59" s="20" t="s">
        <v>23</v>
      </c>
      <c r="S59" s="19" t="s">
        <v>9</v>
      </c>
      <c r="T59" s="19" t="s">
        <v>19</v>
      </c>
      <c r="U59" s="19" t="s">
        <v>20</v>
      </c>
      <c r="V59" s="19" t="s">
        <v>24</v>
      </c>
    </row>
    <row r="60" spans="1:22" x14ac:dyDescent="0.25">
      <c r="A60" s="6" t="s">
        <v>184</v>
      </c>
      <c r="C60" s="176" t="s">
        <v>57</v>
      </c>
      <c r="D60" s="56">
        <f>G60*E60</f>
        <v>4244</v>
      </c>
      <c r="E60" s="8">
        <v>212.2</v>
      </c>
      <c r="F60" s="8">
        <v>1</v>
      </c>
      <c r="G60" s="11">
        <v>20</v>
      </c>
      <c r="H60" s="7"/>
      <c r="I60" s="7"/>
      <c r="J60" s="8" t="s">
        <v>58</v>
      </c>
      <c r="K60" s="8">
        <v>162.15</v>
      </c>
      <c r="L60" s="46">
        <f>G61*K60</f>
        <v>3567.3</v>
      </c>
      <c r="M60" s="42" t="s">
        <v>27</v>
      </c>
      <c r="N60" s="45">
        <v>50600</v>
      </c>
      <c r="O60" s="1">
        <v>0.88300000000000001</v>
      </c>
      <c r="P60" s="11">
        <f>N60*O60</f>
        <v>44679.8</v>
      </c>
      <c r="Q60" s="8"/>
      <c r="R60" s="8"/>
      <c r="S60" s="7"/>
      <c r="T60" s="7"/>
      <c r="U60" s="7"/>
      <c r="V60" s="11">
        <f>T60*U60</f>
        <v>0</v>
      </c>
    </row>
    <row r="61" spans="1:22" x14ac:dyDescent="0.25">
      <c r="A61" s="6"/>
      <c r="C61" s="8" t="s">
        <v>59</v>
      </c>
      <c r="D61" s="8">
        <f>G61*E61</f>
        <v>4274.16</v>
      </c>
      <c r="E61" s="8">
        <v>194.28</v>
      </c>
      <c r="F61" s="8">
        <v>1.1000000000000001</v>
      </c>
      <c r="G61" s="11">
        <f>G60*1.1</f>
        <v>22</v>
      </c>
      <c r="H61" s="1"/>
      <c r="I61" s="1"/>
      <c r="J61" s="25"/>
      <c r="K61" s="26"/>
      <c r="L61" s="46"/>
      <c r="M61" s="42"/>
      <c r="N61" s="2"/>
      <c r="O61" s="1"/>
      <c r="P61" s="11"/>
      <c r="Q61" s="8"/>
      <c r="R61" s="8"/>
      <c r="S61" s="7"/>
      <c r="T61" s="7"/>
      <c r="U61" s="7"/>
      <c r="V61" s="11">
        <f t="shared" ref="V61" si="4">T61*U61</f>
        <v>0</v>
      </c>
    </row>
    <row r="62" spans="1:22" x14ac:dyDescent="0.25">
      <c r="A62" s="6"/>
      <c r="C62" s="10" t="s">
        <v>4</v>
      </c>
      <c r="D62" s="11">
        <f>SUM(D60:D61)</f>
        <v>8518.16</v>
      </c>
      <c r="E62" s="11">
        <f>SUM(E60:E61)</f>
        <v>406.48</v>
      </c>
      <c r="F62" s="10"/>
      <c r="G62" s="165">
        <f>SUM(G60:G61)</f>
        <v>42</v>
      </c>
      <c r="I62" s="23">
        <f>SUM(I60:I61)</f>
        <v>0</v>
      </c>
      <c r="L62" s="47">
        <f>SUM(L60:L61)</f>
        <v>3567.3</v>
      </c>
      <c r="N62" s="23">
        <f>SUM(N60:N61)</f>
        <v>50600</v>
      </c>
      <c r="P62" s="23">
        <f>SUM(P60:P61)</f>
        <v>44679.8</v>
      </c>
      <c r="R62" s="23">
        <f>SUM(R60:R61)</f>
        <v>0</v>
      </c>
      <c r="V62" s="23">
        <f>SUM(V60:V61)</f>
        <v>0</v>
      </c>
    </row>
    <row r="63" spans="1:22" x14ac:dyDescent="0.25">
      <c r="A63" s="6"/>
      <c r="C63" s="4"/>
      <c r="D63" s="3"/>
      <c r="E63" s="3"/>
      <c r="F63" s="3"/>
      <c r="G63" s="4"/>
      <c r="H63" s="4"/>
      <c r="I63" s="4"/>
      <c r="M63" s="49"/>
      <c r="N63" s="4"/>
      <c r="O63" s="4"/>
      <c r="P63" s="4"/>
      <c r="Q63" s="4"/>
      <c r="R63" s="4"/>
      <c r="S63" s="4"/>
      <c r="T63" s="4"/>
      <c r="U63" s="4"/>
      <c r="V63" s="4"/>
    </row>
    <row r="64" spans="1:22" x14ac:dyDescent="0.25">
      <c r="A64" s="6"/>
      <c r="C64" s="4"/>
      <c r="D64" s="3"/>
      <c r="E64" s="3"/>
      <c r="F64" s="3"/>
      <c r="G64" s="4"/>
      <c r="H64" s="4"/>
      <c r="K64" s="162" t="s">
        <v>133</v>
      </c>
      <c r="L64" s="96">
        <f>(T66/G60)*100</f>
        <v>90</v>
      </c>
      <c r="M64" s="49"/>
      <c r="O64" s="4"/>
      <c r="P64" s="4"/>
      <c r="Q64" s="4"/>
      <c r="R64" s="4"/>
      <c r="S64" s="4"/>
    </row>
    <row r="65" spans="1:22" x14ac:dyDescent="0.25">
      <c r="A65" s="6"/>
      <c r="C65" s="4"/>
      <c r="D65" s="3"/>
      <c r="E65" s="3"/>
      <c r="F65" s="3"/>
      <c r="G65" s="4"/>
      <c r="H65" s="4"/>
      <c r="K65" s="159" t="s">
        <v>134</v>
      </c>
      <c r="L65" s="97">
        <f>(S66/(E62)*100)</f>
        <v>95.566817555599286</v>
      </c>
      <c r="M65" s="49"/>
      <c r="R65" s="5" t="s">
        <v>11</v>
      </c>
      <c r="S65" s="5" t="s">
        <v>12</v>
      </c>
      <c r="T65" s="5" t="s">
        <v>0</v>
      </c>
    </row>
    <row r="66" spans="1:22" x14ac:dyDescent="0.25">
      <c r="A66" s="6"/>
      <c r="C66" s="4"/>
      <c r="D66" s="3"/>
      <c r="E66" s="3"/>
      <c r="F66" s="3"/>
      <c r="G66" s="4"/>
      <c r="H66" s="4"/>
      <c r="K66" s="162" t="s">
        <v>135</v>
      </c>
      <c r="L66" s="96">
        <f>(R66/D62)*100</f>
        <v>82.086741737652261</v>
      </c>
      <c r="P66" s="4"/>
      <c r="Q66" s="5" t="s">
        <v>3</v>
      </c>
      <c r="R66" s="9">
        <f>T66*S66</f>
        <v>6992.28</v>
      </c>
      <c r="S66" s="9">
        <v>388.46</v>
      </c>
      <c r="T66" s="22">
        <f>G60*0.9</f>
        <v>18</v>
      </c>
    </row>
    <row r="67" spans="1:22" ht="17.25" x14ac:dyDescent="0.25">
      <c r="A67" s="6"/>
      <c r="C67" s="4"/>
      <c r="D67" s="3"/>
      <c r="E67" s="3"/>
      <c r="F67" s="3"/>
      <c r="G67" s="4"/>
      <c r="H67" s="4"/>
      <c r="K67" s="159" t="s">
        <v>136</v>
      </c>
      <c r="L67" s="13">
        <f>(D62+I62+L62+P62+R62+V62)/R66</f>
        <v>8.118276155989177</v>
      </c>
      <c r="O67" s="4"/>
      <c r="P67" s="4"/>
      <c r="S67" s="83"/>
      <c r="T67" s="3"/>
    </row>
    <row r="68" spans="1:22" ht="17.25" x14ac:dyDescent="0.25">
      <c r="A68" s="6"/>
      <c r="C68" s="4"/>
      <c r="D68" s="3"/>
      <c r="E68" s="3"/>
      <c r="F68" s="3"/>
      <c r="G68" s="4"/>
      <c r="H68" s="4"/>
      <c r="I68" s="4"/>
      <c r="K68" s="163" t="s">
        <v>137</v>
      </c>
      <c r="L68" s="15">
        <f>(D62+I62+L62)/R66</f>
        <v>1.7284004645122906</v>
      </c>
      <c r="N68" s="163" t="s">
        <v>139</v>
      </c>
      <c r="O68" s="93">
        <f>G60/N62*1000</f>
        <v>0.39525691699604742</v>
      </c>
      <c r="P68" s="4"/>
      <c r="S68" s="4"/>
    </row>
    <row r="69" spans="1:22" ht="17.25" x14ac:dyDescent="0.25">
      <c r="A69" s="6"/>
      <c r="C69" s="4"/>
      <c r="D69" s="3"/>
      <c r="E69" s="3"/>
      <c r="F69" s="3"/>
      <c r="G69" s="4"/>
      <c r="H69" s="4"/>
      <c r="I69" s="4"/>
      <c r="K69" s="164" t="s">
        <v>138</v>
      </c>
      <c r="L69" s="16">
        <f>(P62+V62)/R66</f>
        <v>6.3898756914768864</v>
      </c>
      <c r="M69" s="4"/>
      <c r="N69" s="4"/>
      <c r="O69" s="4"/>
      <c r="P69" s="4"/>
      <c r="U69" s="4"/>
      <c r="V69" s="4"/>
    </row>
    <row r="70" spans="1:22" x14ac:dyDescent="0.25">
      <c r="A70" s="6"/>
      <c r="C70" s="6"/>
      <c r="D70"/>
      <c r="E70" s="3"/>
      <c r="F70" s="3"/>
      <c r="G70" s="4"/>
      <c r="H70" s="4"/>
      <c r="I70" s="4"/>
      <c r="K70" s="4"/>
      <c r="M70" s="4"/>
      <c r="P70" s="4"/>
      <c r="Q70" s="4"/>
      <c r="R70" s="4"/>
      <c r="S70" s="4"/>
      <c r="T70" s="4"/>
      <c r="U70" s="4"/>
      <c r="V70" s="4"/>
    </row>
    <row r="71" spans="1:22" x14ac:dyDescent="0.25">
      <c r="A71" s="6"/>
      <c r="B71" s="4"/>
      <c r="C71" s="6" t="s">
        <v>26</v>
      </c>
      <c r="D71" s="83"/>
      <c r="E71" s="83"/>
      <c r="F71" s="83"/>
    </row>
    <row r="72" spans="1:22" ht="34.5" x14ac:dyDescent="0.25">
      <c r="A72" s="6"/>
      <c r="C72" s="17" t="s">
        <v>14</v>
      </c>
      <c r="D72" s="20" t="s">
        <v>21</v>
      </c>
      <c r="E72" s="20" t="s">
        <v>94</v>
      </c>
      <c r="F72" s="17" t="s">
        <v>13</v>
      </c>
      <c r="G72" s="17" t="s">
        <v>15</v>
      </c>
      <c r="H72" s="18" t="s">
        <v>1</v>
      </c>
      <c r="I72" s="19" t="s">
        <v>25</v>
      </c>
      <c r="J72" s="17" t="s">
        <v>2</v>
      </c>
      <c r="K72" s="20" t="s">
        <v>94</v>
      </c>
      <c r="L72" s="20" t="s">
        <v>22</v>
      </c>
      <c r="M72" s="19" t="s">
        <v>8</v>
      </c>
      <c r="N72" s="19" t="s">
        <v>16</v>
      </c>
      <c r="O72" s="19" t="s">
        <v>17</v>
      </c>
      <c r="P72" s="19" t="s">
        <v>18</v>
      </c>
      <c r="Q72" s="20" t="s">
        <v>10</v>
      </c>
      <c r="R72" s="20" t="s">
        <v>23</v>
      </c>
      <c r="S72" s="19" t="s">
        <v>9</v>
      </c>
      <c r="T72" s="19" t="s">
        <v>19</v>
      </c>
      <c r="U72" s="19" t="s">
        <v>20</v>
      </c>
      <c r="V72" s="19" t="s">
        <v>24</v>
      </c>
    </row>
    <row r="73" spans="1:22" x14ac:dyDescent="0.25">
      <c r="A73" s="6" t="s">
        <v>197</v>
      </c>
      <c r="C73" s="172" t="s">
        <v>119</v>
      </c>
      <c r="D73" s="56">
        <f>G73*E73</f>
        <v>15494.6</v>
      </c>
      <c r="E73" s="8">
        <v>774.73</v>
      </c>
      <c r="F73" s="8">
        <v>1</v>
      </c>
      <c r="G73" s="11">
        <v>20</v>
      </c>
      <c r="H73" s="7"/>
      <c r="I73" s="7"/>
      <c r="J73" s="8" t="s">
        <v>58</v>
      </c>
      <c r="K73" s="8">
        <v>162.15</v>
      </c>
      <c r="L73" s="46">
        <f>G74*K73</f>
        <v>3567.3</v>
      </c>
      <c r="M73" s="42" t="s">
        <v>27</v>
      </c>
      <c r="N73" s="45">
        <v>50600</v>
      </c>
      <c r="O73" s="1">
        <v>0.88300000000000001</v>
      </c>
      <c r="P73" s="11">
        <f>N73*O73</f>
        <v>44679.8</v>
      </c>
      <c r="Q73" s="8"/>
      <c r="R73" s="8"/>
      <c r="S73" s="7"/>
      <c r="T73" s="7"/>
      <c r="U73" s="7"/>
      <c r="V73" s="11">
        <f>T73*U73</f>
        <v>0</v>
      </c>
    </row>
    <row r="74" spans="1:22" x14ac:dyDescent="0.25">
      <c r="A74" s="6"/>
      <c r="C74" s="69" t="s">
        <v>124</v>
      </c>
      <c r="D74" s="8">
        <f>G74*E74</f>
        <v>6894.14</v>
      </c>
      <c r="E74" s="8">
        <v>313.37</v>
      </c>
      <c r="F74" s="8">
        <v>1.1000000000000001</v>
      </c>
      <c r="G74" s="11">
        <f>G73*F74</f>
        <v>22</v>
      </c>
      <c r="H74" s="1"/>
      <c r="I74" s="1"/>
      <c r="J74" s="25"/>
      <c r="K74" s="26"/>
      <c r="L74" s="46"/>
      <c r="M74" s="42"/>
      <c r="N74" s="2"/>
      <c r="O74" s="1"/>
      <c r="P74" s="11"/>
      <c r="Q74" s="8"/>
      <c r="R74" s="8"/>
      <c r="S74" s="7"/>
      <c r="T74" s="7"/>
      <c r="U74" s="7"/>
      <c r="V74" s="11">
        <f t="shared" ref="V74" si="5">T74*U74</f>
        <v>0</v>
      </c>
    </row>
    <row r="75" spans="1:22" x14ac:dyDescent="0.25">
      <c r="A75" s="6"/>
      <c r="C75" s="10" t="s">
        <v>4</v>
      </c>
      <c r="D75" s="11">
        <f>SUM(D73:D74)</f>
        <v>22388.74</v>
      </c>
      <c r="E75" s="11">
        <f>SUM(E73:E74)</f>
        <v>1088.0999999999999</v>
      </c>
      <c r="F75" s="10"/>
      <c r="G75" s="165">
        <f>SUM(G73:G74)</f>
        <v>42</v>
      </c>
      <c r="I75" s="23">
        <f>SUM(I73:I74)</f>
        <v>0</v>
      </c>
      <c r="L75" s="47">
        <f>SUM(L73:L74)</f>
        <v>3567.3</v>
      </c>
      <c r="N75" s="23">
        <f>SUM(N73:N74)</f>
        <v>50600</v>
      </c>
      <c r="P75" s="23">
        <f>SUM(P73:P74)</f>
        <v>44679.8</v>
      </c>
      <c r="R75" s="23">
        <f>SUM(R73:R74)</f>
        <v>0</v>
      </c>
      <c r="V75" s="23">
        <f>SUM(V73:V74)</f>
        <v>0</v>
      </c>
    </row>
    <row r="76" spans="1:22" x14ac:dyDescent="0.25">
      <c r="C76" s="4"/>
      <c r="D76" s="3"/>
      <c r="E76" s="3"/>
      <c r="F76" s="3"/>
      <c r="G76" s="4"/>
      <c r="H76" s="4"/>
      <c r="I76" s="4"/>
      <c r="M76" s="49"/>
      <c r="N76" s="4"/>
      <c r="O76" s="4"/>
      <c r="P76" s="4"/>
      <c r="Q76" s="4"/>
      <c r="R76" s="4"/>
      <c r="S76" s="4"/>
      <c r="T76" s="4"/>
      <c r="U76" s="4"/>
      <c r="V76" s="4"/>
    </row>
    <row r="77" spans="1:22" x14ac:dyDescent="0.25">
      <c r="C77" s="4"/>
      <c r="D77" s="3"/>
      <c r="E77" s="3"/>
      <c r="F77" s="3"/>
      <c r="G77" s="4"/>
      <c r="H77" s="4"/>
      <c r="K77" s="162" t="s">
        <v>133</v>
      </c>
      <c r="L77" s="96">
        <f>(T79/G73)*100</f>
        <v>90</v>
      </c>
      <c r="M77" s="49"/>
      <c r="O77" s="4"/>
      <c r="P77" s="4"/>
      <c r="Q77" s="4"/>
      <c r="R77" s="4"/>
      <c r="S77" s="4"/>
    </row>
    <row r="78" spans="1:22" x14ac:dyDescent="0.25">
      <c r="C78" s="4"/>
      <c r="D78" s="3"/>
      <c r="E78" s="3"/>
      <c r="F78" s="3"/>
      <c r="G78" s="4"/>
      <c r="H78" s="4"/>
      <c r="K78" s="159" t="s">
        <v>134</v>
      </c>
      <c r="L78" s="97">
        <f>(S79/(E75)*100)</f>
        <v>82.518150905247694</v>
      </c>
      <c r="M78" s="49"/>
      <c r="R78" s="5" t="s">
        <v>11</v>
      </c>
      <c r="S78" s="5" t="s">
        <v>12</v>
      </c>
      <c r="T78" s="5" t="s">
        <v>0</v>
      </c>
    </row>
    <row r="79" spans="1:22" x14ac:dyDescent="0.25">
      <c r="C79" s="4"/>
      <c r="D79" s="3"/>
      <c r="E79" s="3"/>
      <c r="F79" s="3"/>
      <c r="G79" s="4"/>
      <c r="H79" s="4"/>
      <c r="K79" s="162" t="s">
        <v>135</v>
      </c>
      <c r="L79" s="96">
        <f>(R79/D75)*100</f>
        <v>72.187358466800717</v>
      </c>
      <c r="P79" s="4"/>
      <c r="Q79" s="5" t="s">
        <v>3</v>
      </c>
      <c r="R79" s="9">
        <f>T79*S79</f>
        <v>16161.84</v>
      </c>
      <c r="S79" s="9">
        <v>897.88</v>
      </c>
      <c r="T79" s="22">
        <f>G73*0.9</f>
        <v>18</v>
      </c>
    </row>
    <row r="80" spans="1:22" ht="17.25" x14ac:dyDescent="0.25">
      <c r="C80" s="4"/>
      <c r="D80" s="3"/>
      <c r="E80" s="3"/>
      <c r="F80" s="3"/>
      <c r="G80" s="4"/>
      <c r="H80" s="4"/>
      <c r="K80" s="159" t="s">
        <v>136</v>
      </c>
      <c r="L80" s="13">
        <f>(D75+I75+L75+P75+R75+V75)/R79</f>
        <v>4.3705320681308564</v>
      </c>
      <c r="O80" s="4"/>
      <c r="P80" s="4"/>
      <c r="S80" s="83"/>
      <c r="T80" s="3"/>
    </row>
    <row r="81" spans="1:22" ht="17.25" x14ac:dyDescent="0.25">
      <c r="C81" s="4"/>
      <c r="D81" s="3"/>
      <c r="E81" s="3"/>
      <c r="F81" s="3"/>
      <c r="G81" s="4"/>
      <c r="H81" s="4"/>
      <c r="I81" s="4"/>
      <c r="K81" s="163" t="s">
        <v>137</v>
      </c>
      <c r="L81" s="15">
        <f>(D75+I75+L75)/R79</f>
        <v>1.6060077317929147</v>
      </c>
      <c r="N81" s="163" t="s">
        <v>139</v>
      </c>
      <c r="O81" s="93">
        <f>G73/N75*1000</f>
        <v>0.39525691699604742</v>
      </c>
      <c r="P81" s="4"/>
      <c r="S81" s="4"/>
    </row>
    <row r="82" spans="1:22" ht="17.25" x14ac:dyDescent="0.25">
      <c r="C82" s="4"/>
      <c r="D82" s="3"/>
      <c r="E82" s="3"/>
      <c r="F82" s="3"/>
      <c r="G82" s="4"/>
      <c r="H82" s="4"/>
      <c r="I82" s="4"/>
      <c r="K82" s="164" t="s">
        <v>138</v>
      </c>
      <c r="L82" s="16">
        <f>(P75+V75)/R79</f>
        <v>2.7645243363379417</v>
      </c>
      <c r="M82" s="4"/>
      <c r="N82" s="4"/>
      <c r="O82" s="4"/>
      <c r="P82" s="4"/>
      <c r="U82" s="4"/>
      <c r="V82" s="4"/>
    </row>
    <row r="83" spans="1:22" x14ac:dyDescent="0.25">
      <c r="C83" s="6"/>
      <c r="D83"/>
      <c r="E83" s="3"/>
      <c r="F83" s="3"/>
      <c r="G83" s="4"/>
      <c r="H83" s="4"/>
      <c r="I83" s="4"/>
      <c r="K83" s="4"/>
      <c r="M83" s="4"/>
      <c r="P83" s="4"/>
      <c r="Q83" s="4"/>
      <c r="R83" s="4"/>
      <c r="S83" s="4"/>
      <c r="T83" s="4"/>
      <c r="U83" s="4"/>
      <c r="V83" s="4"/>
    </row>
    <row r="84" spans="1:22" x14ac:dyDescent="0.25">
      <c r="C84" s="6"/>
      <c r="D84"/>
      <c r="E84" s="3"/>
      <c r="F84" s="3"/>
      <c r="G84" s="4"/>
      <c r="H84" s="4"/>
      <c r="I84" s="4"/>
      <c r="M84" s="4"/>
      <c r="N84" s="4"/>
      <c r="O84" s="4"/>
      <c r="P84" s="4"/>
      <c r="Q84" s="4"/>
      <c r="R84" s="4"/>
      <c r="S84" s="4"/>
      <c r="T84" s="4"/>
      <c r="U84" s="4"/>
      <c r="V84" s="4"/>
    </row>
    <row r="85" spans="1:22" s="29" customFormat="1" ht="17.25" x14ac:dyDescent="0.25">
      <c r="A85" s="184" t="s">
        <v>149</v>
      </c>
      <c r="D85" s="30"/>
      <c r="E85" s="30"/>
      <c r="F85" s="30"/>
    </row>
    <row r="86" spans="1:22" x14ac:dyDescent="0.25">
      <c r="B86" s="4"/>
      <c r="C86" s="6" t="s">
        <v>26</v>
      </c>
      <c r="D86" s="83"/>
      <c r="E86" s="83"/>
      <c r="F86" s="83"/>
    </row>
    <row r="87" spans="1:22" ht="34.5" x14ac:dyDescent="0.25">
      <c r="C87" s="17" t="s">
        <v>14</v>
      </c>
      <c r="D87" s="20" t="s">
        <v>21</v>
      </c>
      <c r="E87" s="20" t="s">
        <v>94</v>
      </c>
      <c r="F87" s="17" t="s">
        <v>13</v>
      </c>
      <c r="G87" s="17" t="s">
        <v>15</v>
      </c>
      <c r="H87" s="18" t="s">
        <v>1</v>
      </c>
      <c r="I87" s="19" t="s">
        <v>25</v>
      </c>
      <c r="J87" s="17" t="s">
        <v>2</v>
      </c>
      <c r="K87" s="20" t="s">
        <v>94</v>
      </c>
      <c r="L87" s="20" t="s">
        <v>22</v>
      </c>
      <c r="M87" s="19" t="s">
        <v>8</v>
      </c>
      <c r="N87" s="19" t="s">
        <v>16</v>
      </c>
      <c r="O87" s="19" t="s">
        <v>17</v>
      </c>
      <c r="P87" s="19" t="s">
        <v>18</v>
      </c>
      <c r="Q87" s="20" t="s">
        <v>10</v>
      </c>
      <c r="R87" s="20" t="s">
        <v>23</v>
      </c>
      <c r="S87" s="19" t="s">
        <v>9</v>
      </c>
      <c r="T87" s="19" t="s">
        <v>19</v>
      </c>
      <c r="U87" s="19" t="s">
        <v>20</v>
      </c>
      <c r="V87" s="19" t="s">
        <v>24</v>
      </c>
    </row>
    <row r="88" spans="1:22" x14ac:dyDescent="0.25">
      <c r="A88" s="6" t="s">
        <v>184</v>
      </c>
      <c r="C88" s="176" t="s">
        <v>57</v>
      </c>
      <c r="D88" s="56">
        <f>G88*E88</f>
        <v>4244</v>
      </c>
      <c r="E88" s="8">
        <v>212.2</v>
      </c>
      <c r="F88" s="8">
        <v>1</v>
      </c>
      <c r="G88" s="11">
        <v>20</v>
      </c>
      <c r="H88" s="7"/>
      <c r="I88" s="7"/>
      <c r="J88" s="25" t="s">
        <v>66</v>
      </c>
      <c r="K88" s="26">
        <v>206.33</v>
      </c>
      <c r="L88" s="46">
        <f>G89*K88</f>
        <v>4539.26</v>
      </c>
      <c r="M88" s="42" t="s">
        <v>27</v>
      </c>
      <c r="N88" s="45">
        <v>50600</v>
      </c>
      <c r="O88" s="1">
        <v>0.88300000000000001</v>
      </c>
      <c r="P88" s="11">
        <f>N88*O88</f>
        <v>44679.8</v>
      </c>
      <c r="Q88" s="8"/>
      <c r="R88" s="8"/>
      <c r="S88" s="7"/>
      <c r="T88" s="7"/>
      <c r="U88" s="7"/>
      <c r="V88" s="11">
        <f>T88*U88</f>
        <v>0</v>
      </c>
    </row>
    <row r="89" spans="1:22" x14ac:dyDescent="0.25">
      <c r="A89" s="6"/>
      <c r="C89" s="8" t="s">
        <v>59</v>
      </c>
      <c r="D89" s="8">
        <f>G89*E89</f>
        <v>4274.16</v>
      </c>
      <c r="E89" s="8">
        <v>194.28</v>
      </c>
      <c r="F89" s="8">
        <v>1.1000000000000001</v>
      </c>
      <c r="G89" s="11">
        <f>G88*1.1</f>
        <v>22</v>
      </c>
      <c r="H89" s="1"/>
      <c r="I89" s="1"/>
      <c r="J89" s="25"/>
      <c r="K89" s="26"/>
      <c r="L89" s="46">
        <f>G89*K89</f>
        <v>0</v>
      </c>
      <c r="M89" s="42"/>
      <c r="N89" s="2"/>
      <c r="O89" s="1"/>
      <c r="P89" s="11"/>
      <c r="Q89" s="8"/>
      <c r="R89" s="8"/>
      <c r="S89" s="7"/>
      <c r="T89" s="7"/>
      <c r="U89" s="7"/>
      <c r="V89" s="11">
        <f t="shared" ref="V89" si="6">T89*U89</f>
        <v>0</v>
      </c>
    </row>
    <row r="90" spans="1:22" x14ac:dyDescent="0.25">
      <c r="A90" s="6"/>
      <c r="C90" s="10" t="s">
        <v>4</v>
      </c>
      <c r="D90" s="11">
        <f>SUM(D88:D89)</f>
        <v>8518.16</v>
      </c>
      <c r="E90" s="11">
        <f>SUM(E88:E89)</f>
        <v>406.48</v>
      </c>
      <c r="F90" s="10"/>
      <c r="G90" s="165">
        <f>SUM(G88:G89)</f>
        <v>42</v>
      </c>
      <c r="I90" s="23">
        <f>SUM(I88:I89)</f>
        <v>0</v>
      </c>
      <c r="L90" s="47">
        <f>SUM(L88:L89)</f>
        <v>4539.26</v>
      </c>
      <c r="N90" s="23">
        <f>SUM(N88:N89)</f>
        <v>50600</v>
      </c>
      <c r="P90" s="23">
        <f>SUM(P88:P89)</f>
        <v>44679.8</v>
      </c>
      <c r="R90" s="23">
        <f>SUM(R88:R89)</f>
        <v>0</v>
      </c>
      <c r="V90" s="23">
        <f>SUM(V88:V89)</f>
        <v>0</v>
      </c>
    </row>
    <row r="91" spans="1:22" x14ac:dyDescent="0.25">
      <c r="A91" s="6"/>
      <c r="C91" s="4"/>
      <c r="D91" s="3"/>
      <c r="E91" s="3"/>
      <c r="F91" s="3"/>
      <c r="G91" s="4"/>
      <c r="H91" s="4"/>
      <c r="I91" s="4"/>
      <c r="M91" s="49"/>
      <c r="N91" s="4"/>
      <c r="O91" s="4"/>
      <c r="P91" s="4"/>
      <c r="Q91" s="4"/>
      <c r="R91" s="4"/>
      <c r="S91" s="4"/>
      <c r="T91" s="4"/>
      <c r="U91" s="4"/>
      <c r="V91" s="4"/>
    </row>
    <row r="92" spans="1:22" x14ac:dyDescent="0.25">
      <c r="A92" s="6"/>
      <c r="C92" s="4"/>
      <c r="D92" s="3"/>
      <c r="E92" s="3"/>
      <c r="F92" s="3"/>
      <c r="G92" s="4"/>
      <c r="H92" s="4"/>
      <c r="K92" s="162" t="s">
        <v>133</v>
      </c>
      <c r="L92" s="96">
        <f>(T94/G88)*100</f>
        <v>90</v>
      </c>
      <c r="M92" s="49"/>
      <c r="O92" s="4"/>
      <c r="P92" s="4"/>
      <c r="Q92" s="4"/>
      <c r="R92" s="4"/>
      <c r="S92" s="4"/>
    </row>
    <row r="93" spans="1:22" x14ac:dyDescent="0.25">
      <c r="A93" s="6"/>
      <c r="C93" s="4"/>
      <c r="D93" s="3"/>
      <c r="E93" s="3"/>
      <c r="F93" s="3"/>
      <c r="G93" s="4"/>
      <c r="H93" s="4"/>
      <c r="K93" s="159" t="s">
        <v>134</v>
      </c>
      <c r="L93" s="97">
        <f>(S94/(E90)*100)</f>
        <v>95.566817555599286</v>
      </c>
      <c r="M93" s="49"/>
      <c r="R93" s="5" t="s">
        <v>11</v>
      </c>
      <c r="S93" s="5" t="s">
        <v>12</v>
      </c>
      <c r="T93" s="5" t="s">
        <v>0</v>
      </c>
    </row>
    <row r="94" spans="1:22" x14ac:dyDescent="0.25">
      <c r="A94" s="6"/>
      <c r="C94" s="4"/>
      <c r="D94" s="3"/>
      <c r="E94" s="3"/>
      <c r="F94" s="3"/>
      <c r="G94" s="4"/>
      <c r="H94" s="4"/>
      <c r="K94" s="162" t="s">
        <v>135</v>
      </c>
      <c r="L94" s="96">
        <f>(R94/D90)*100</f>
        <v>82.086741737652261</v>
      </c>
      <c r="P94" s="4"/>
      <c r="Q94" s="5" t="s">
        <v>3</v>
      </c>
      <c r="R94" s="9">
        <f>T94*S94</f>
        <v>6992.28</v>
      </c>
      <c r="S94" s="9">
        <v>388.46</v>
      </c>
      <c r="T94" s="22">
        <f>G88*0.9</f>
        <v>18</v>
      </c>
    </row>
    <row r="95" spans="1:22" ht="17.25" x14ac:dyDescent="0.25">
      <c r="A95" s="6"/>
      <c r="C95" s="4"/>
      <c r="D95" s="3"/>
      <c r="E95" s="3"/>
      <c r="F95" s="3"/>
      <c r="G95" s="4"/>
      <c r="H95" s="4"/>
      <c r="K95" s="159" t="s">
        <v>136</v>
      </c>
      <c r="L95" s="13">
        <f>(D90+I90+L90+P90+R90+V90)/R94</f>
        <v>8.2572808869210039</v>
      </c>
      <c r="O95" s="4"/>
      <c r="P95" s="4"/>
      <c r="S95" s="83"/>
      <c r="T95" s="3"/>
    </row>
    <row r="96" spans="1:22" ht="17.25" x14ac:dyDescent="0.25">
      <c r="A96" s="6"/>
      <c r="C96" s="4"/>
      <c r="D96" s="3"/>
      <c r="E96" s="3"/>
      <c r="F96" s="3"/>
      <c r="G96" s="4"/>
      <c r="H96" s="4"/>
      <c r="I96" s="4"/>
      <c r="K96" s="163" t="s">
        <v>137</v>
      </c>
      <c r="L96" s="15">
        <f>(D90+I90+L90)/R94</f>
        <v>1.8674051954441184</v>
      </c>
      <c r="N96" s="163" t="s">
        <v>139</v>
      </c>
      <c r="O96" s="93">
        <f>G88/N90*1000</f>
        <v>0.39525691699604742</v>
      </c>
      <c r="P96" s="4"/>
      <c r="S96" s="4"/>
    </row>
    <row r="97" spans="1:22" ht="17.25" x14ac:dyDescent="0.25">
      <c r="A97" s="6"/>
      <c r="C97" s="4"/>
      <c r="D97" s="3"/>
      <c r="E97" s="3"/>
      <c r="F97" s="3"/>
      <c r="G97" s="4"/>
      <c r="H97" s="4"/>
      <c r="I97" s="4"/>
      <c r="K97" s="164" t="s">
        <v>138</v>
      </c>
      <c r="L97" s="16">
        <f>(P90+V90)/R94</f>
        <v>6.3898756914768864</v>
      </c>
      <c r="M97" s="4"/>
      <c r="N97" s="4"/>
      <c r="O97" s="4"/>
      <c r="P97" s="4"/>
      <c r="U97" s="4"/>
      <c r="V97" s="4"/>
    </row>
    <row r="98" spans="1:22" x14ac:dyDescent="0.25">
      <c r="A98" s="6"/>
      <c r="C98" s="6"/>
      <c r="D98"/>
      <c r="E98" s="3"/>
      <c r="F98" s="3"/>
      <c r="G98" s="4"/>
      <c r="H98" s="4"/>
      <c r="I98" s="4"/>
      <c r="K98" s="4"/>
      <c r="M98" s="4"/>
      <c r="P98" s="4"/>
      <c r="Q98" s="4"/>
      <c r="R98" s="4"/>
      <c r="S98" s="4"/>
      <c r="T98" s="4"/>
      <c r="U98" s="4"/>
      <c r="V98" s="4"/>
    </row>
    <row r="99" spans="1:22" x14ac:dyDescent="0.25">
      <c r="A99" s="6"/>
      <c r="B99" s="4"/>
      <c r="C99" s="6" t="s">
        <v>26</v>
      </c>
      <c r="D99" s="83"/>
      <c r="E99" s="83"/>
      <c r="F99" s="83"/>
    </row>
    <row r="100" spans="1:22" ht="34.5" x14ac:dyDescent="0.25">
      <c r="A100" s="6"/>
      <c r="C100" s="17" t="s">
        <v>14</v>
      </c>
      <c r="D100" s="20" t="s">
        <v>21</v>
      </c>
      <c r="E100" s="20" t="s">
        <v>94</v>
      </c>
      <c r="F100" s="17" t="s">
        <v>13</v>
      </c>
      <c r="G100" s="17" t="s">
        <v>15</v>
      </c>
      <c r="H100" s="18" t="s">
        <v>1</v>
      </c>
      <c r="I100" s="19" t="s">
        <v>25</v>
      </c>
      <c r="J100" s="17" t="s">
        <v>2</v>
      </c>
      <c r="K100" s="20" t="s">
        <v>94</v>
      </c>
      <c r="L100" s="20" t="s">
        <v>22</v>
      </c>
      <c r="M100" s="19" t="s">
        <v>8</v>
      </c>
      <c r="N100" s="19" t="s">
        <v>16</v>
      </c>
      <c r="O100" s="19" t="s">
        <v>17</v>
      </c>
      <c r="P100" s="19" t="s">
        <v>18</v>
      </c>
      <c r="Q100" s="20" t="s">
        <v>10</v>
      </c>
      <c r="R100" s="20" t="s">
        <v>23</v>
      </c>
      <c r="S100" s="19" t="s">
        <v>9</v>
      </c>
      <c r="T100" s="19" t="s">
        <v>19</v>
      </c>
      <c r="U100" s="19" t="s">
        <v>20</v>
      </c>
      <c r="V100" s="19" t="s">
        <v>24</v>
      </c>
    </row>
    <row r="101" spans="1:22" x14ac:dyDescent="0.25">
      <c r="A101" s="6" t="s">
        <v>197</v>
      </c>
      <c r="C101" s="172" t="s">
        <v>119</v>
      </c>
      <c r="D101" s="56">
        <f>G101*E101</f>
        <v>15494.6</v>
      </c>
      <c r="E101" s="8">
        <v>774.73</v>
      </c>
      <c r="F101" s="8">
        <v>1</v>
      </c>
      <c r="G101" s="11">
        <v>20</v>
      </c>
      <c r="H101" s="7"/>
      <c r="I101" s="7"/>
      <c r="J101" s="25" t="s">
        <v>66</v>
      </c>
      <c r="K101" s="26">
        <v>206.33</v>
      </c>
      <c r="L101" s="46">
        <f>G102*K101</f>
        <v>4539.26</v>
      </c>
      <c r="M101" s="42" t="s">
        <v>27</v>
      </c>
      <c r="N101" s="45">
        <v>50600</v>
      </c>
      <c r="O101" s="1">
        <v>0.88300000000000001</v>
      </c>
      <c r="P101" s="11">
        <f>N101*O101</f>
        <v>44679.8</v>
      </c>
      <c r="Q101" s="8"/>
      <c r="R101" s="8"/>
      <c r="S101" s="7"/>
      <c r="T101" s="7"/>
      <c r="U101" s="7"/>
      <c r="V101" s="11">
        <f>T101*U101</f>
        <v>0</v>
      </c>
    </row>
    <row r="102" spans="1:22" x14ac:dyDescent="0.25">
      <c r="A102" s="6"/>
      <c r="C102" s="69" t="s">
        <v>124</v>
      </c>
      <c r="D102" s="8">
        <f>G102*E102</f>
        <v>6894.14</v>
      </c>
      <c r="E102" s="8">
        <v>313.37</v>
      </c>
      <c r="F102" s="8">
        <v>1.1000000000000001</v>
      </c>
      <c r="G102" s="11">
        <f>G101*F102</f>
        <v>22</v>
      </c>
      <c r="H102" s="1"/>
      <c r="I102" s="1"/>
      <c r="J102" s="25"/>
      <c r="K102" s="26"/>
      <c r="L102" s="46">
        <f>G102*K102</f>
        <v>0</v>
      </c>
      <c r="M102" s="42"/>
      <c r="N102" s="2"/>
      <c r="O102" s="1"/>
      <c r="P102" s="11"/>
      <c r="Q102" s="8"/>
      <c r="R102" s="8"/>
      <c r="S102" s="7"/>
      <c r="T102" s="7"/>
      <c r="U102" s="7"/>
      <c r="V102" s="11">
        <f t="shared" ref="V102" si="7">T102*U102</f>
        <v>0</v>
      </c>
    </row>
    <row r="103" spans="1:22" x14ac:dyDescent="0.25">
      <c r="A103" s="6"/>
      <c r="C103" s="10" t="s">
        <v>4</v>
      </c>
      <c r="D103" s="11">
        <f>SUM(D101:D102)</f>
        <v>22388.74</v>
      </c>
      <c r="E103" s="11">
        <f>SUM(E101:E102)</f>
        <v>1088.0999999999999</v>
      </c>
      <c r="F103" s="10"/>
      <c r="G103" s="165">
        <f>SUM(G101:G102)</f>
        <v>42</v>
      </c>
      <c r="I103" s="23">
        <f>SUM(I101:I102)</f>
        <v>0</v>
      </c>
      <c r="L103" s="47">
        <f>SUM(L101:L102)</f>
        <v>4539.26</v>
      </c>
      <c r="N103" s="23">
        <f>SUM(N101:N102)</f>
        <v>50600</v>
      </c>
      <c r="P103" s="23">
        <f>SUM(P101:P102)</f>
        <v>44679.8</v>
      </c>
      <c r="R103" s="23">
        <f>SUM(R101:R102)</f>
        <v>0</v>
      </c>
      <c r="V103" s="23">
        <f>SUM(V101:V102)</f>
        <v>0</v>
      </c>
    </row>
    <row r="104" spans="1:22" x14ac:dyDescent="0.25">
      <c r="C104" s="4"/>
      <c r="D104" s="3"/>
      <c r="E104" s="3"/>
      <c r="F104" s="3"/>
      <c r="G104" s="4"/>
      <c r="H104" s="4"/>
      <c r="I104" s="4"/>
      <c r="M104" s="49"/>
      <c r="N104" s="4"/>
      <c r="O104" s="4"/>
      <c r="P104" s="4"/>
      <c r="Q104" s="4"/>
      <c r="R104" s="4"/>
      <c r="S104" s="4"/>
      <c r="T104" s="4"/>
      <c r="U104" s="4"/>
      <c r="V104" s="4"/>
    </row>
    <row r="105" spans="1:22" x14ac:dyDescent="0.25">
      <c r="C105" s="4"/>
      <c r="D105" s="3"/>
      <c r="E105" s="3"/>
      <c r="F105" s="3"/>
      <c r="G105" s="4"/>
      <c r="H105" s="4"/>
      <c r="K105" s="162" t="s">
        <v>133</v>
      </c>
      <c r="L105" s="96">
        <f>(T107/G101)*100</f>
        <v>90</v>
      </c>
      <c r="M105" s="49"/>
      <c r="O105" s="4"/>
      <c r="P105" s="4"/>
      <c r="Q105" s="4"/>
      <c r="R105" s="4"/>
      <c r="S105" s="4"/>
    </row>
    <row r="106" spans="1:22" x14ac:dyDescent="0.25">
      <c r="C106" s="4"/>
      <c r="D106" s="3"/>
      <c r="E106" s="3"/>
      <c r="F106" s="3"/>
      <c r="G106" s="4"/>
      <c r="H106" s="4"/>
      <c r="K106" s="159" t="s">
        <v>134</v>
      </c>
      <c r="L106" s="97">
        <f>(S107/(E103)*100)</f>
        <v>82.518150905247694</v>
      </c>
      <c r="M106" s="49"/>
      <c r="R106" s="5" t="s">
        <v>11</v>
      </c>
      <c r="S106" s="5" t="s">
        <v>12</v>
      </c>
      <c r="T106" s="5" t="s">
        <v>0</v>
      </c>
    </row>
    <row r="107" spans="1:22" x14ac:dyDescent="0.25">
      <c r="C107" s="4"/>
      <c r="D107" s="3"/>
      <c r="E107" s="3"/>
      <c r="F107" s="3"/>
      <c r="G107" s="4"/>
      <c r="H107" s="4"/>
      <c r="K107" s="162" t="s">
        <v>135</v>
      </c>
      <c r="L107" s="96">
        <f>(R107/D103)*100</f>
        <v>72.187358466800717</v>
      </c>
      <c r="P107" s="4"/>
      <c r="Q107" s="5" t="s">
        <v>3</v>
      </c>
      <c r="R107" s="9">
        <f>T107*S107</f>
        <v>16161.84</v>
      </c>
      <c r="S107" s="9">
        <v>897.88</v>
      </c>
      <c r="T107" s="22">
        <f>G101*0.9</f>
        <v>18</v>
      </c>
    </row>
    <row r="108" spans="1:22" ht="17.25" x14ac:dyDescent="0.25">
      <c r="C108" s="4"/>
      <c r="D108" s="3"/>
      <c r="E108" s="3"/>
      <c r="F108" s="3"/>
      <c r="G108" s="4"/>
      <c r="H108" s="4"/>
      <c r="K108" s="159" t="s">
        <v>136</v>
      </c>
      <c r="L108" s="13">
        <f>(D103+I103+L103+P103+R103+V103)/R107</f>
        <v>4.430671260203046</v>
      </c>
      <c r="O108" s="4"/>
      <c r="P108" s="4"/>
      <c r="S108" s="83"/>
      <c r="T108" s="3"/>
    </row>
    <row r="109" spans="1:22" ht="17.25" x14ac:dyDescent="0.25">
      <c r="C109" s="4"/>
      <c r="D109" s="3"/>
      <c r="E109" s="3"/>
      <c r="F109" s="3"/>
      <c r="G109" s="4"/>
      <c r="H109" s="4"/>
      <c r="I109" s="4"/>
      <c r="K109" s="163" t="s">
        <v>137</v>
      </c>
      <c r="L109" s="15">
        <f>(D103+I103+L103)/R107</f>
        <v>1.6661469238651045</v>
      </c>
      <c r="N109" s="163" t="s">
        <v>139</v>
      </c>
      <c r="O109" s="93">
        <f>G101/N103*1000</f>
        <v>0.39525691699604742</v>
      </c>
      <c r="P109" s="4"/>
      <c r="S109" s="4"/>
    </row>
    <row r="110" spans="1:22" ht="17.25" x14ac:dyDescent="0.25">
      <c r="C110" s="4"/>
      <c r="D110" s="3"/>
      <c r="E110" s="3"/>
      <c r="F110" s="3"/>
      <c r="G110" s="4"/>
      <c r="H110" s="4"/>
      <c r="I110" s="4"/>
      <c r="K110" s="164" t="s">
        <v>138</v>
      </c>
      <c r="L110" s="16">
        <f>(P103+V103)/R107</f>
        <v>2.7645243363379417</v>
      </c>
      <c r="M110" s="4"/>
      <c r="N110" s="4"/>
      <c r="O110" s="4"/>
      <c r="P110" s="4"/>
      <c r="U110" s="4"/>
      <c r="V110" s="4"/>
    </row>
    <row r="111" spans="1:22" x14ac:dyDescent="0.25">
      <c r="C111" s="6"/>
      <c r="D111"/>
      <c r="E111" s="3"/>
      <c r="F111" s="3"/>
      <c r="G111" s="4"/>
      <c r="H111" s="4"/>
      <c r="I111" s="4"/>
      <c r="K111" s="4"/>
      <c r="M111" s="4"/>
      <c r="P111" s="4"/>
      <c r="Q111" s="4"/>
      <c r="R111" s="4"/>
      <c r="S111" s="4"/>
      <c r="T111" s="4"/>
      <c r="U111" s="4"/>
      <c r="V111" s="4"/>
    </row>
    <row r="112" spans="1:22" x14ac:dyDescent="0.25">
      <c r="C112" s="6"/>
      <c r="D112"/>
      <c r="E112" s="3"/>
      <c r="F112" s="3"/>
      <c r="G112" s="4"/>
      <c r="H112" s="4"/>
      <c r="I112" s="4"/>
      <c r="M112" s="4"/>
      <c r="N112" s="4"/>
      <c r="O112" s="4"/>
      <c r="P112" s="4"/>
      <c r="Q112" s="4"/>
      <c r="R112" s="4"/>
      <c r="S112" s="4"/>
      <c r="T112" s="4"/>
      <c r="U112" s="4"/>
      <c r="V112" s="4"/>
    </row>
    <row r="113" spans="1:22" s="29" customFormat="1" ht="17.25" x14ac:dyDescent="0.25">
      <c r="A113" s="199" t="s">
        <v>148</v>
      </c>
      <c r="B113" s="200"/>
      <c r="C113" s="200"/>
      <c r="D113" s="200"/>
      <c r="E113" s="30"/>
      <c r="F113" s="30"/>
    </row>
    <row r="114" spans="1:22" x14ac:dyDescent="0.25">
      <c r="B114" s="4"/>
      <c r="C114" s="6" t="s">
        <v>26</v>
      </c>
      <c r="D114" s="83"/>
      <c r="E114" s="83"/>
      <c r="F114" s="83"/>
    </row>
    <row r="115" spans="1:22" ht="34.5" x14ac:dyDescent="0.25">
      <c r="C115" s="17" t="s">
        <v>14</v>
      </c>
      <c r="D115" s="20" t="s">
        <v>21</v>
      </c>
      <c r="E115" s="20" t="s">
        <v>94</v>
      </c>
      <c r="F115" s="17" t="s">
        <v>13</v>
      </c>
      <c r="G115" s="17" t="s">
        <v>15</v>
      </c>
      <c r="H115" s="18" t="s">
        <v>1</v>
      </c>
      <c r="I115" s="19" t="s">
        <v>25</v>
      </c>
      <c r="J115" s="17" t="s">
        <v>2</v>
      </c>
      <c r="K115" s="20" t="s">
        <v>94</v>
      </c>
      <c r="L115" s="20" t="s">
        <v>22</v>
      </c>
      <c r="M115" s="19" t="s">
        <v>8</v>
      </c>
      <c r="N115" s="19" t="s">
        <v>16</v>
      </c>
      <c r="O115" s="19" t="s">
        <v>17</v>
      </c>
      <c r="P115" s="19" t="s">
        <v>18</v>
      </c>
      <c r="Q115" s="20" t="s">
        <v>10</v>
      </c>
      <c r="R115" s="20" t="s">
        <v>23</v>
      </c>
      <c r="S115" s="19" t="s">
        <v>9</v>
      </c>
      <c r="T115" s="19" t="s">
        <v>19</v>
      </c>
      <c r="U115" s="19" t="s">
        <v>20</v>
      </c>
      <c r="V115" s="19" t="s">
        <v>24</v>
      </c>
    </row>
    <row r="116" spans="1:22" x14ac:dyDescent="0.25">
      <c r="A116" s="6" t="s">
        <v>184</v>
      </c>
      <c r="C116" s="176" t="s">
        <v>57</v>
      </c>
      <c r="D116" s="56">
        <f>G116*E116</f>
        <v>4244</v>
      </c>
      <c r="E116" s="8">
        <v>212.2</v>
      </c>
      <c r="F116" s="8">
        <v>1</v>
      </c>
      <c r="G116" s="11">
        <v>20</v>
      </c>
      <c r="H116" s="7"/>
      <c r="I116" s="7"/>
      <c r="J116" s="25" t="s">
        <v>77</v>
      </c>
      <c r="K116" s="26">
        <v>191.7</v>
      </c>
      <c r="L116" s="46">
        <f>G117*K116</f>
        <v>4217.3999999999996</v>
      </c>
      <c r="M116" s="42" t="s">
        <v>27</v>
      </c>
      <c r="N116" s="45">
        <v>50600</v>
      </c>
      <c r="O116" s="1">
        <v>0.88300000000000001</v>
      </c>
      <c r="P116" s="11">
        <f>N116*O116</f>
        <v>44679.8</v>
      </c>
      <c r="Q116" s="8"/>
      <c r="R116" s="8"/>
      <c r="S116" s="7"/>
      <c r="T116" s="7"/>
      <c r="U116" s="7"/>
      <c r="V116" s="11">
        <f>T116*U116</f>
        <v>0</v>
      </c>
    </row>
    <row r="117" spans="1:22" x14ac:dyDescent="0.25">
      <c r="A117" s="6"/>
      <c r="C117" s="8" t="s">
        <v>59</v>
      </c>
      <c r="D117" s="8">
        <f>G117*E117</f>
        <v>4274.16</v>
      </c>
      <c r="E117" s="8">
        <v>194.28</v>
      </c>
      <c r="F117" s="8">
        <v>1.1000000000000001</v>
      </c>
      <c r="G117" s="11">
        <f>G116*1.1</f>
        <v>22</v>
      </c>
      <c r="H117" s="1"/>
      <c r="I117" s="1"/>
      <c r="J117" s="25"/>
      <c r="K117" s="26"/>
      <c r="L117" s="46">
        <f>G117*K117</f>
        <v>0</v>
      </c>
      <c r="M117" s="42"/>
      <c r="N117" s="2"/>
      <c r="O117" s="1"/>
      <c r="P117" s="11"/>
      <c r="Q117" s="8"/>
      <c r="R117" s="8"/>
      <c r="S117" s="7"/>
      <c r="T117" s="7"/>
      <c r="U117" s="7"/>
      <c r="V117" s="11">
        <f t="shared" ref="V117" si="8">T117*U117</f>
        <v>0</v>
      </c>
    </row>
    <row r="118" spans="1:22" x14ac:dyDescent="0.25">
      <c r="A118" s="6"/>
      <c r="C118" s="10" t="s">
        <v>4</v>
      </c>
      <c r="D118" s="11">
        <f>SUM(D116:D117)</f>
        <v>8518.16</v>
      </c>
      <c r="E118" s="11">
        <f>SUM(E116:E117)</f>
        <v>406.48</v>
      </c>
      <c r="F118" s="10"/>
      <c r="G118" s="165">
        <f>SUM(G116:G117)</f>
        <v>42</v>
      </c>
      <c r="I118" s="23">
        <f>SUM(I116:I117)</f>
        <v>0</v>
      </c>
      <c r="L118" s="47">
        <f>SUM(L116:L117)</f>
        <v>4217.3999999999996</v>
      </c>
      <c r="N118" s="23">
        <f>SUM(N116:N117)</f>
        <v>50600</v>
      </c>
      <c r="P118" s="23">
        <f>SUM(P116:P117)</f>
        <v>44679.8</v>
      </c>
      <c r="R118" s="23">
        <f>SUM(R116:R117)</f>
        <v>0</v>
      </c>
      <c r="V118" s="23">
        <f>SUM(V116:V117)</f>
        <v>0</v>
      </c>
    </row>
    <row r="119" spans="1:22" x14ac:dyDescent="0.25">
      <c r="A119" s="6"/>
      <c r="C119" s="4"/>
      <c r="D119" s="3"/>
      <c r="E119" s="3"/>
      <c r="F119" s="3"/>
      <c r="G119" s="4"/>
      <c r="H119" s="4"/>
      <c r="I119" s="4"/>
      <c r="M119" s="49"/>
      <c r="N119" s="4"/>
      <c r="O119" s="4"/>
      <c r="P119" s="4"/>
      <c r="Q119" s="4"/>
      <c r="R119" s="4"/>
      <c r="S119" s="4"/>
      <c r="T119" s="4"/>
      <c r="U119" s="4"/>
      <c r="V119" s="4"/>
    </row>
    <row r="120" spans="1:22" x14ac:dyDescent="0.25">
      <c r="A120" s="6"/>
      <c r="C120" s="4"/>
      <c r="D120" s="3"/>
      <c r="E120" s="3"/>
      <c r="F120" s="3"/>
      <c r="G120" s="4"/>
      <c r="H120" s="4"/>
      <c r="K120" s="162" t="s">
        <v>133</v>
      </c>
      <c r="L120" s="96">
        <f>(T122/G116)*100</f>
        <v>90</v>
      </c>
      <c r="M120" s="49"/>
      <c r="O120" s="4"/>
      <c r="P120" s="4"/>
      <c r="Q120" s="4"/>
      <c r="R120" s="4"/>
      <c r="S120" s="4"/>
    </row>
    <row r="121" spans="1:22" x14ac:dyDescent="0.25">
      <c r="A121" s="6"/>
      <c r="C121" s="4"/>
      <c r="D121" s="3"/>
      <c r="E121" s="3"/>
      <c r="F121" s="3"/>
      <c r="G121" s="4"/>
      <c r="H121" s="4"/>
      <c r="K121" s="159" t="s">
        <v>134</v>
      </c>
      <c r="L121" s="97">
        <f>(S122/(E118)*100)</f>
        <v>95.566817555599286</v>
      </c>
      <c r="M121" s="49"/>
      <c r="R121" s="5" t="s">
        <v>11</v>
      </c>
      <c r="S121" s="5" t="s">
        <v>12</v>
      </c>
      <c r="T121" s="5" t="s">
        <v>0</v>
      </c>
    </row>
    <row r="122" spans="1:22" x14ac:dyDescent="0.25">
      <c r="A122" s="6"/>
      <c r="C122" s="4"/>
      <c r="D122" s="3"/>
      <c r="E122" s="3"/>
      <c r="F122" s="3"/>
      <c r="G122" s="4"/>
      <c r="H122" s="4"/>
      <c r="K122" s="162" t="s">
        <v>135</v>
      </c>
      <c r="L122" s="96">
        <f>(R122/D118)*100</f>
        <v>82.086741737652261</v>
      </c>
      <c r="P122" s="4"/>
      <c r="Q122" s="5" t="s">
        <v>3</v>
      </c>
      <c r="R122" s="9">
        <f>T122*S122</f>
        <v>6992.28</v>
      </c>
      <c r="S122" s="9">
        <v>388.46</v>
      </c>
      <c r="T122" s="22">
        <f>G116*0.9</f>
        <v>18</v>
      </c>
    </row>
    <row r="123" spans="1:22" ht="17.25" x14ac:dyDescent="0.25">
      <c r="A123" s="6"/>
      <c r="C123" s="4"/>
      <c r="D123" s="3"/>
      <c r="E123" s="3"/>
      <c r="F123" s="3"/>
      <c r="G123" s="4"/>
      <c r="H123" s="4"/>
      <c r="K123" s="159" t="s">
        <v>136</v>
      </c>
      <c r="L123" s="13">
        <f>(D118+I118+L118+P118+R118+V118)/R122</f>
        <v>8.2112501215626388</v>
      </c>
      <c r="O123" s="4"/>
      <c r="P123" s="4"/>
      <c r="S123" s="83"/>
      <c r="T123" s="3"/>
    </row>
    <row r="124" spans="1:22" ht="17.25" x14ac:dyDescent="0.25">
      <c r="A124" s="6"/>
      <c r="C124" s="4"/>
      <c r="D124" s="3"/>
      <c r="E124" s="3"/>
      <c r="F124" s="3"/>
      <c r="G124" s="4"/>
      <c r="H124" s="4"/>
      <c r="I124" s="4"/>
      <c r="K124" s="163" t="s">
        <v>137</v>
      </c>
      <c r="L124" s="15">
        <f>(D118+I118+L118)/R122</f>
        <v>1.8213744300857517</v>
      </c>
      <c r="N124" s="163" t="s">
        <v>139</v>
      </c>
      <c r="O124" s="93">
        <f>G116/N118*1000</f>
        <v>0.39525691699604742</v>
      </c>
      <c r="P124" s="4"/>
      <c r="S124" s="4"/>
    </row>
    <row r="125" spans="1:22" ht="17.25" x14ac:dyDescent="0.25">
      <c r="A125" s="6"/>
      <c r="C125" s="4"/>
      <c r="D125" s="3"/>
      <c r="E125" s="3"/>
      <c r="F125" s="3"/>
      <c r="G125" s="4"/>
      <c r="H125" s="4"/>
      <c r="I125" s="4"/>
      <c r="K125" s="164" t="s">
        <v>138</v>
      </c>
      <c r="L125" s="16">
        <f>(P118+V118)/R122</f>
        <v>6.3898756914768864</v>
      </c>
      <c r="M125" s="4"/>
      <c r="N125" s="4"/>
      <c r="O125" s="4"/>
      <c r="P125" s="4"/>
      <c r="U125" s="4"/>
      <c r="V125" s="4"/>
    </row>
    <row r="126" spans="1:22" x14ac:dyDescent="0.25">
      <c r="A126" s="6"/>
      <c r="C126" s="6"/>
      <c r="D126"/>
      <c r="E126" s="3"/>
      <c r="F126" s="3"/>
      <c r="G126" s="4"/>
      <c r="H126" s="4"/>
      <c r="I126" s="4"/>
      <c r="K126" s="4"/>
      <c r="M126" s="4"/>
      <c r="P126" s="4"/>
      <c r="Q126" s="4"/>
      <c r="R126" s="4"/>
      <c r="S126" s="4"/>
      <c r="T126" s="4"/>
      <c r="U126" s="4"/>
      <c r="V126" s="4"/>
    </row>
    <row r="127" spans="1:22" x14ac:dyDescent="0.25">
      <c r="A127" s="6"/>
      <c r="B127" s="4"/>
      <c r="C127" s="6" t="s">
        <v>26</v>
      </c>
      <c r="D127" s="83"/>
      <c r="E127" s="83"/>
      <c r="F127" s="83"/>
    </row>
    <row r="128" spans="1:22" ht="34.5" x14ac:dyDescent="0.25">
      <c r="A128" s="6"/>
      <c r="C128" s="17" t="s">
        <v>14</v>
      </c>
      <c r="D128" s="20" t="s">
        <v>21</v>
      </c>
      <c r="E128" s="20" t="s">
        <v>94</v>
      </c>
      <c r="F128" s="17" t="s">
        <v>13</v>
      </c>
      <c r="G128" s="17" t="s">
        <v>15</v>
      </c>
      <c r="H128" s="18" t="s">
        <v>1</v>
      </c>
      <c r="I128" s="19" t="s">
        <v>25</v>
      </c>
      <c r="J128" s="17" t="s">
        <v>2</v>
      </c>
      <c r="K128" s="20" t="s">
        <v>94</v>
      </c>
      <c r="L128" s="20" t="s">
        <v>22</v>
      </c>
      <c r="M128" s="19" t="s">
        <v>8</v>
      </c>
      <c r="N128" s="19" t="s">
        <v>16</v>
      </c>
      <c r="O128" s="19" t="s">
        <v>17</v>
      </c>
      <c r="P128" s="19" t="s">
        <v>18</v>
      </c>
      <c r="Q128" s="20" t="s">
        <v>10</v>
      </c>
      <c r="R128" s="20" t="s">
        <v>23</v>
      </c>
      <c r="S128" s="19" t="s">
        <v>9</v>
      </c>
      <c r="T128" s="19" t="s">
        <v>19</v>
      </c>
      <c r="U128" s="19" t="s">
        <v>20</v>
      </c>
      <c r="V128" s="19" t="s">
        <v>24</v>
      </c>
    </row>
    <row r="129" spans="1:22" x14ac:dyDescent="0.25">
      <c r="A129" s="6" t="s">
        <v>197</v>
      </c>
      <c r="C129" s="172" t="s">
        <v>119</v>
      </c>
      <c r="D129" s="56">
        <f>G129*E129</f>
        <v>15494.6</v>
      </c>
      <c r="E129" s="8">
        <v>774.73</v>
      </c>
      <c r="F129" s="8">
        <v>1</v>
      </c>
      <c r="G129" s="11">
        <v>20</v>
      </c>
      <c r="H129" s="7"/>
      <c r="I129" s="7"/>
      <c r="J129" s="25" t="s">
        <v>77</v>
      </c>
      <c r="K129" s="26">
        <v>191.7</v>
      </c>
      <c r="L129" s="46">
        <f>G130*K129</f>
        <v>4217.3999999999996</v>
      </c>
      <c r="M129" s="42" t="s">
        <v>27</v>
      </c>
      <c r="N129" s="45">
        <v>50600</v>
      </c>
      <c r="O129" s="1">
        <v>0.88300000000000001</v>
      </c>
      <c r="P129" s="11">
        <f>N129*O129</f>
        <v>44679.8</v>
      </c>
      <c r="Q129" s="8"/>
      <c r="R129" s="8"/>
      <c r="S129" s="7"/>
      <c r="T129" s="7"/>
      <c r="U129" s="7"/>
      <c r="V129" s="11">
        <f>T129*U129</f>
        <v>0</v>
      </c>
    </row>
    <row r="130" spans="1:22" x14ac:dyDescent="0.25">
      <c r="A130" s="6"/>
      <c r="C130" s="69" t="s">
        <v>124</v>
      </c>
      <c r="D130" s="8">
        <f>G130*E130</f>
        <v>6894.14</v>
      </c>
      <c r="E130" s="8">
        <v>313.37</v>
      </c>
      <c r="F130" s="8">
        <v>1.1000000000000001</v>
      </c>
      <c r="G130" s="11">
        <f>G129*F130</f>
        <v>22</v>
      </c>
      <c r="H130" s="1"/>
      <c r="I130" s="1"/>
      <c r="J130" s="25"/>
      <c r="K130" s="26"/>
      <c r="L130" s="46">
        <f>G130*K130</f>
        <v>0</v>
      </c>
      <c r="M130" s="42"/>
      <c r="N130" s="2"/>
      <c r="O130" s="1"/>
      <c r="P130" s="11"/>
      <c r="Q130" s="8"/>
      <c r="R130" s="8"/>
      <c r="S130" s="7"/>
      <c r="T130" s="7"/>
      <c r="U130" s="7"/>
      <c r="V130" s="11">
        <f t="shared" ref="V130" si="9">T130*U130</f>
        <v>0</v>
      </c>
    </row>
    <row r="131" spans="1:22" x14ac:dyDescent="0.25">
      <c r="A131" s="6"/>
      <c r="C131" s="10" t="s">
        <v>4</v>
      </c>
      <c r="D131" s="11">
        <f>SUM(D129:D130)</f>
        <v>22388.74</v>
      </c>
      <c r="E131" s="11">
        <f>SUM(E129:E130)</f>
        <v>1088.0999999999999</v>
      </c>
      <c r="F131" s="10"/>
      <c r="G131" s="165">
        <f>SUM(G129:G130)</f>
        <v>42</v>
      </c>
      <c r="I131" s="23">
        <f>SUM(I129:I130)</f>
        <v>0</v>
      </c>
      <c r="L131" s="47">
        <f>SUM(L129:L130)</f>
        <v>4217.3999999999996</v>
      </c>
      <c r="N131" s="23">
        <f>SUM(N129:N130)</f>
        <v>50600</v>
      </c>
      <c r="P131" s="23">
        <f>SUM(P129:P130)</f>
        <v>44679.8</v>
      </c>
      <c r="R131" s="23">
        <f>SUM(R129:R130)</f>
        <v>0</v>
      </c>
      <c r="V131" s="23">
        <f>SUM(V129:V130)</f>
        <v>0</v>
      </c>
    </row>
    <row r="132" spans="1:22" x14ac:dyDescent="0.25">
      <c r="C132" s="4"/>
      <c r="D132" s="3"/>
      <c r="E132" s="3"/>
      <c r="F132" s="3"/>
      <c r="G132" s="4"/>
      <c r="H132" s="4"/>
      <c r="I132" s="4"/>
      <c r="M132" s="49"/>
      <c r="N132" s="4"/>
      <c r="O132" s="4"/>
      <c r="P132" s="4"/>
      <c r="Q132" s="4"/>
      <c r="R132" s="4"/>
      <c r="S132" s="4"/>
      <c r="T132" s="4"/>
      <c r="U132" s="4"/>
      <c r="V132" s="4"/>
    </row>
    <row r="133" spans="1:22" x14ac:dyDescent="0.25">
      <c r="C133" s="4"/>
      <c r="D133" s="3"/>
      <c r="E133" s="3"/>
      <c r="F133" s="3"/>
      <c r="G133" s="4"/>
      <c r="H133" s="4"/>
      <c r="K133" s="162" t="s">
        <v>133</v>
      </c>
      <c r="L133" s="96">
        <f>(T135/G129)*100</f>
        <v>90</v>
      </c>
      <c r="M133" s="49"/>
      <c r="O133" s="4"/>
      <c r="P133" s="4"/>
      <c r="Q133" s="4"/>
      <c r="R133" s="4"/>
      <c r="S133" s="4"/>
    </row>
    <row r="134" spans="1:22" x14ac:dyDescent="0.25">
      <c r="C134" s="4"/>
      <c r="D134" s="3"/>
      <c r="E134" s="3"/>
      <c r="F134" s="3"/>
      <c r="G134" s="4"/>
      <c r="H134" s="4"/>
      <c r="K134" s="159" t="s">
        <v>134</v>
      </c>
      <c r="L134" s="97">
        <f>(S135/(E131)*100)</f>
        <v>82.518150905247694</v>
      </c>
      <c r="M134" s="49"/>
      <c r="R134" s="5" t="s">
        <v>11</v>
      </c>
      <c r="S134" s="5" t="s">
        <v>12</v>
      </c>
      <c r="T134" s="5" t="s">
        <v>0</v>
      </c>
    </row>
    <row r="135" spans="1:22" x14ac:dyDescent="0.25">
      <c r="C135" s="4"/>
      <c r="D135" s="3"/>
      <c r="E135" s="3"/>
      <c r="F135" s="3"/>
      <c r="G135" s="4"/>
      <c r="H135" s="4"/>
      <c r="K135" s="162" t="s">
        <v>135</v>
      </c>
      <c r="L135" s="96">
        <f>(R135/D131)*100</f>
        <v>72.187358466800717</v>
      </c>
      <c r="P135" s="4"/>
      <c r="Q135" s="5" t="s">
        <v>3</v>
      </c>
      <c r="R135" s="9">
        <f>T135*S135</f>
        <v>16161.84</v>
      </c>
      <c r="S135" s="9">
        <v>897.88</v>
      </c>
      <c r="T135" s="22">
        <f>G129*0.9</f>
        <v>18</v>
      </c>
    </row>
    <row r="136" spans="1:22" ht="17.25" x14ac:dyDescent="0.25">
      <c r="C136" s="4"/>
      <c r="D136" s="3"/>
      <c r="E136" s="3"/>
      <c r="F136" s="3"/>
      <c r="G136" s="4"/>
      <c r="H136" s="4"/>
      <c r="K136" s="159" t="s">
        <v>136</v>
      </c>
      <c r="L136" s="13">
        <f>(D131+I131+L131+P131+R131+V131)/R135</f>
        <v>4.4107564485231885</v>
      </c>
      <c r="O136" s="4"/>
      <c r="P136" s="4"/>
      <c r="S136" s="83"/>
      <c r="T136" s="3"/>
    </row>
    <row r="137" spans="1:22" ht="17.25" x14ac:dyDescent="0.25">
      <c r="C137" s="4"/>
      <c r="D137" s="3"/>
      <c r="E137" s="3"/>
      <c r="F137" s="3"/>
      <c r="G137" s="4"/>
      <c r="H137" s="4"/>
      <c r="I137" s="4"/>
      <c r="K137" s="163" t="s">
        <v>137</v>
      </c>
      <c r="L137" s="15">
        <f>(D131+I131+L131)/R135</f>
        <v>1.6462321121852461</v>
      </c>
      <c r="N137" s="163" t="s">
        <v>139</v>
      </c>
      <c r="O137" s="93">
        <f>G129/N131*1000</f>
        <v>0.39525691699604742</v>
      </c>
      <c r="P137" s="4"/>
      <c r="S137" s="4"/>
    </row>
    <row r="138" spans="1:22" ht="17.25" x14ac:dyDescent="0.25">
      <c r="C138" s="4"/>
      <c r="D138" s="3"/>
      <c r="E138" s="3"/>
      <c r="F138" s="3"/>
      <c r="G138" s="4"/>
      <c r="H138" s="4"/>
      <c r="I138" s="4"/>
      <c r="K138" s="164" t="s">
        <v>138</v>
      </c>
      <c r="L138" s="16">
        <f>(P131+V131)/R135</f>
        <v>2.7645243363379417</v>
      </c>
      <c r="M138" s="4"/>
      <c r="N138" s="4"/>
      <c r="O138" s="4"/>
      <c r="P138" s="4"/>
      <c r="U138" s="4"/>
      <c r="V138" s="4"/>
    </row>
    <row r="139" spans="1:22" x14ac:dyDescent="0.25">
      <c r="C139" s="6"/>
      <c r="D139"/>
      <c r="E139" s="3"/>
      <c r="F139" s="3"/>
      <c r="G139" s="4"/>
      <c r="H139" s="4"/>
      <c r="I139" s="4"/>
      <c r="K139" s="4"/>
      <c r="M139" s="4"/>
      <c r="P139" s="4"/>
      <c r="Q139" s="4"/>
      <c r="R139" s="4"/>
      <c r="S139" s="4"/>
      <c r="T139" s="4"/>
      <c r="U139" s="4"/>
      <c r="V139" s="4"/>
    </row>
    <row r="141" spans="1:22" s="29" customFormat="1" ht="17.25" x14ac:dyDescent="0.25">
      <c r="A141" s="167" t="s">
        <v>152</v>
      </c>
      <c r="D141" s="30"/>
      <c r="E141" s="30"/>
      <c r="F141" s="30"/>
    </row>
    <row r="142" spans="1:22" x14ac:dyDescent="0.25">
      <c r="B142" s="4"/>
      <c r="C142" s="6" t="s">
        <v>26</v>
      </c>
      <c r="D142" s="83"/>
      <c r="E142" s="83"/>
      <c r="F142" s="83"/>
    </row>
    <row r="143" spans="1:22" ht="34.5" x14ac:dyDescent="0.25">
      <c r="C143" s="17" t="s">
        <v>14</v>
      </c>
      <c r="D143" s="20" t="s">
        <v>21</v>
      </c>
      <c r="E143" s="20" t="s">
        <v>94</v>
      </c>
      <c r="F143" s="17" t="s">
        <v>13</v>
      </c>
      <c r="G143" s="17" t="s">
        <v>15</v>
      </c>
      <c r="H143" s="18" t="s">
        <v>1</v>
      </c>
      <c r="I143" s="19" t="s">
        <v>25</v>
      </c>
      <c r="J143" s="17" t="s">
        <v>2</v>
      </c>
      <c r="K143" s="20" t="s">
        <v>94</v>
      </c>
      <c r="L143" s="20" t="s">
        <v>22</v>
      </c>
      <c r="M143" s="19" t="s">
        <v>8</v>
      </c>
      <c r="N143" s="19" t="s">
        <v>16</v>
      </c>
      <c r="O143" s="19" t="s">
        <v>17</v>
      </c>
      <c r="P143" s="19" t="s">
        <v>18</v>
      </c>
      <c r="Q143" s="20" t="s">
        <v>10</v>
      </c>
      <c r="R143" s="20" t="s">
        <v>23</v>
      </c>
      <c r="S143" s="19" t="s">
        <v>9</v>
      </c>
      <c r="T143" s="19" t="s">
        <v>19</v>
      </c>
      <c r="U143" s="19" t="s">
        <v>20</v>
      </c>
      <c r="V143" s="19" t="s">
        <v>24</v>
      </c>
    </row>
    <row r="144" spans="1:22" x14ac:dyDescent="0.25">
      <c r="A144" s="6" t="s">
        <v>184</v>
      </c>
      <c r="C144" s="176" t="s">
        <v>57</v>
      </c>
      <c r="D144" s="56">
        <f>G144*E144</f>
        <v>4244</v>
      </c>
      <c r="E144" s="8">
        <v>212.2</v>
      </c>
      <c r="F144" s="8">
        <v>1</v>
      </c>
      <c r="G144" s="11">
        <v>20</v>
      </c>
      <c r="H144" s="7"/>
      <c r="I144" s="7"/>
      <c r="J144" s="25" t="s">
        <v>81</v>
      </c>
      <c r="K144" s="26">
        <v>120.58</v>
      </c>
      <c r="L144" s="46">
        <f>G145*K144</f>
        <v>2652.7599999999998</v>
      </c>
      <c r="M144" s="42" t="s">
        <v>27</v>
      </c>
      <c r="N144" s="45">
        <v>50600</v>
      </c>
      <c r="O144" s="1">
        <v>0.88300000000000001</v>
      </c>
      <c r="P144" s="11">
        <f>N144*O144</f>
        <v>44679.8</v>
      </c>
      <c r="Q144" s="8"/>
      <c r="R144" s="8"/>
      <c r="S144" s="7"/>
      <c r="T144" s="7"/>
      <c r="U144" s="7"/>
      <c r="V144" s="11">
        <f>T144*U144</f>
        <v>0</v>
      </c>
    </row>
    <row r="145" spans="1:22" x14ac:dyDescent="0.25">
      <c r="A145" s="6"/>
      <c r="C145" s="8" t="s">
        <v>59</v>
      </c>
      <c r="D145" s="8">
        <f>G145*E145</f>
        <v>4274.16</v>
      </c>
      <c r="E145" s="8">
        <v>194.28</v>
      </c>
      <c r="F145" s="8">
        <v>1.1000000000000001</v>
      </c>
      <c r="G145" s="11">
        <f>G144*1.1</f>
        <v>22</v>
      </c>
      <c r="H145" s="1"/>
      <c r="I145" s="1"/>
      <c r="J145" s="25"/>
      <c r="K145" s="26"/>
      <c r="L145" s="46">
        <f>G145*K145</f>
        <v>0</v>
      </c>
      <c r="M145" s="42"/>
      <c r="N145" s="2"/>
      <c r="O145" s="1"/>
      <c r="P145" s="11"/>
      <c r="Q145" s="8"/>
      <c r="R145" s="8"/>
      <c r="S145" s="7"/>
      <c r="T145" s="7"/>
      <c r="U145" s="7"/>
      <c r="V145" s="11">
        <f t="shared" ref="V145" si="10">T145*U145</f>
        <v>0</v>
      </c>
    </row>
    <row r="146" spans="1:22" x14ac:dyDescent="0.25">
      <c r="A146" s="6"/>
      <c r="C146" s="10" t="s">
        <v>4</v>
      </c>
      <c r="D146" s="11">
        <f>SUM(D144:D145)</f>
        <v>8518.16</v>
      </c>
      <c r="E146" s="11">
        <f>SUM(E144:E145)</f>
        <v>406.48</v>
      </c>
      <c r="F146" s="10"/>
      <c r="G146" s="165">
        <f>SUM(G144:G145)</f>
        <v>42</v>
      </c>
      <c r="I146" s="23">
        <f>SUM(I144:I145)</f>
        <v>0</v>
      </c>
      <c r="L146" s="47">
        <f>SUM(L144:L145)</f>
        <v>2652.7599999999998</v>
      </c>
      <c r="N146" s="23">
        <f>SUM(N144:N145)</f>
        <v>50600</v>
      </c>
      <c r="P146" s="23">
        <f>SUM(P144:P145)</f>
        <v>44679.8</v>
      </c>
      <c r="R146" s="23">
        <f>SUM(R144:R145)</f>
        <v>0</v>
      </c>
      <c r="V146" s="23">
        <f>SUM(V144:V145)</f>
        <v>0</v>
      </c>
    </row>
    <row r="147" spans="1:22" x14ac:dyDescent="0.25">
      <c r="A147" s="6"/>
      <c r="C147" s="4"/>
      <c r="D147" s="3"/>
      <c r="E147" s="3"/>
      <c r="F147" s="3"/>
      <c r="G147" s="4"/>
      <c r="H147" s="4"/>
      <c r="I147" s="4"/>
      <c r="M147" s="49"/>
      <c r="N147" s="4"/>
      <c r="O147" s="4"/>
      <c r="P147" s="4"/>
      <c r="Q147" s="4"/>
      <c r="R147" s="4"/>
      <c r="S147" s="4"/>
      <c r="T147" s="4"/>
      <c r="U147" s="4"/>
      <c r="V147" s="4"/>
    </row>
    <row r="148" spans="1:22" x14ac:dyDescent="0.25">
      <c r="A148" s="6"/>
      <c r="C148" s="4"/>
      <c r="D148" s="3"/>
      <c r="E148" s="3"/>
      <c r="F148" s="3"/>
      <c r="G148" s="4"/>
      <c r="H148" s="4"/>
      <c r="K148" s="162" t="s">
        <v>133</v>
      </c>
      <c r="L148" s="96">
        <f>(T150/G144)*100</f>
        <v>90</v>
      </c>
      <c r="M148" s="49"/>
      <c r="O148" s="4"/>
      <c r="P148" s="4"/>
      <c r="Q148" s="4"/>
      <c r="R148" s="4"/>
      <c r="S148" s="4"/>
    </row>
    <row r="149" spans="1:22" x14ac:dyDescent="0.25">
      <c r="A149" s="6"/>
      <c r="C149" s="4"/>
      <c r="D149" s="3"/>
      <c r="E149" s="3"/>
      <c r="F149" s="3"/>
      <c r="G149" s="4"/>
      <c r="H149" s="4"/>
      <c r="K149" s="159" t="s">
        <v>134</v>
      </c>
      <c r="L149" s="97">
        <f>(S150/(E146)*100)</f>
        <v>95.566817555599286</v>
      </c>
      <c r="M149" s="49"/>
      <c r="R149" s="5" t="s">
        <v>11</v>
      </c>
      <c r="S149" s="5" t="s">
        <v>12</v>
      </c>
      <c r="T149" s="5" t="s">
        <v>0</v>
      </c>
    </row>
    <row r="150" spans="1:22" x14ac:dyDescent="0.25">
      <c r="A150" s="6"/>
      <c r="C150" s="4"/>
      <c r="D150" s="3"/>
      <c r="E150" s="3"/>
      <c r="F150" s="3"/>
      <c r="G150" s="4"/>
      <c r="H150" s="4"/>
      <c r="K150" s="162" t="s">
        <v>135</v>
      </c>
      <c r="L150" s="96">
        <f>(R150/D146)*100</f>
        <v>82.086741737652261</v>
      </c>
      <c r="P150" s="4"/>
      <c r="Q150" s="5" t="s">
        <v>3</v>
      </c>
      <c r="R150" s="9">
        <f>T150*S150</f>
        <v>6992.28</v>
      </c>
      <c r="S150" s="9">
        <v>388.46</v>
      </c>
      <c r="T150" s="22">
        <f>G144*0.9</f>
        <v>18</v>
      </c>
    </row>
    <row r="151" spans="1:22" ht="17.25" x14ac:dyDescent="0.25">
      <c r="A151" s="6"/>
      <c r="C151" s="4"/>
      <c r="D151" s="3"/>
      <c r="E151" s="3"/>
      <c r="F151" s="3"/>
      <c r="G151" s="4"/>
      <c r="H151" s="4"/>
      <c r="K151" s="159" t="s">
        <v>136</v>
      </c>
      <c r="L151" s="13">
        <f>(D146+I146+L146+P146+R146+V146)/R150</f>
        <v>7.9874833387678992</v>
      </c>
      <c r="O151" s="4"/>
      <c r="P151" s="4"/>
      <c r="S151" s="83"/>
      <c r="T151" s="3"/>
    </row>
    <row r="152" spans="1:22" ht="17.25" x14ac:dyDescent="0.25">
      <c r="A152" s="6"/>
      <c r="C152" s="4"/>
      <c r="D152" s="3"/>
      <c r="E152" s="3"/>
      <c r="F152" s="3"/>
      <c r="G152" s="4"/>
      <c r="H152" s="4"/>
      <c r="I152" s="4"/>
      <c r="K152" s="163" t="s">
        <v>137</v>
      </c>
      <c r="L152" s="15">
        <f>(D146+I146+L146)/R150</f>
        <v>1.5976076472910123</v>
      </c>
      <c r="N152" s="163" t="s">
        <v>139</v>
      </c>
      <c r="O152" s="93">
        <f>G144/N146*1000</f>
        <v>0.39525691699604742</v>
      </c>
      <c r="P152" s="4"/>
      <c r="S152" s="4"/>
    </row>
    <row r="153" spans="1:22" ht="17.25" x14ac:dyDescent="0.25">
      <c r="A153" s="6"/>
      <c r="C153" s="4"/>
      <c r="D153" s="3"/>
      <c r="E153" s="3"/>
      <c r="F153" s="3"/>
      <c r="G153" s="4"/>
      <c r="H153" s="4"/>
      <c r="I153" s="4"/>
      <c r="K153" s="164" t="s">
        <v>138</v>
      </c>
      <c r="L153" s="16">
        <f>(P146+V146)/R150</f>
        <v>6.3898756914768864</v>
      </c>
      <c r="M153" s="4"/>
      <c r="N153" s="4"/>
      <c r="O153" s="4"/>
      <c r="P153" s="4"/>
      <c r="U153" s="4"/>
      <c r="V153" s="4"/>
    </row>
    <row r="154" spans="1:22" x14ac:dyDescent="0.25">
      <c r="A154" s="6"/>
      <c r="C154" s="6"/>
      <c r="D154"/>
      <c r="E154" s="3"/>
      <c r="F154" s="3"/>
      <c r="G154" s="4"/>
      <c r="H154" s="4"/>
      <c r="I154" s="4"/>
      <c r="K154" s="4"/>
      <c r="M154" s="4"/>
      <c r="P154" s="4"/>
      <c r="Q154" s="4"/>
      <c r="R154" s="4"/>
      <c r="S154" s="4"/>
      <c r="T154" s="4"/>
      <c r="U154" s="4"/>
      <c r="V154" s="4"/>
    </row>
    <row r="155" spans="1:22" x14ac:dyDescent="0.25">
      <c r="A155" s="6"/>
      <c r="B155" s="4"/>
      <c r="C155" s="6" t="s">
        <v>26</v>
      </c>
      <c r="D155" s="83"/>
      <c r="E155" s="83"/>
      <c r="F155" s="83"/>
    </row>
    <row r="156" spans="1:22" ht="34.5" x14ac:dyDescent="0.25">
      <c r="A156" s="6"/>
      <c r="C156" s="17" t="s">
        <v>14</v>
      </c>
      <c r="D156" s="20" t="s">
        <v>21</v>
      </c>
      <c r="E156" s="20" t="s">
        <v>94</v>
      </c>
      <c r="F156" s="17" t="s">
        <v>13</v>
      </c>
      <c r="G156" s="17" t="s">
        <v>15</v>
      </c>
      <c r="H156" s="18" t="s">
        <v>1</v>
      </c>
      <c r="I156" s="19" t="s">
        <v>25</v>
      </c>
      <c r="J156" s="17" t="s">
        <v>2</v>
      </c>
      <c r="K156" s="20" t="s">
        <v>94</v>
      </c>
      <c r="L156" s="20" t="s">
        <v>22</v>
      </c>
      <c r="M156" s="19" t="s">
        <v>8</v>
      </c>
      <c r="N156" s="19" t="s">
        <v>16</v>
      </c>
      <c r="O156" s="19" t="s">
        <v>17</v>
      </c>
      <c r="P156" s="19" t="s">
        <v>18</v>
      </c>
      <c r="Q156" s="20" t="s">
        <v>10</v>
      </c>
      <c r="R156" s="20" t="s">
        <v>23</v>
      </c>
      <c r="S156" s="19" t="s">
        <v>9</v>
      </c>
      <c r="T156" s="19" t="s">
        <v>19</v>
      </c>
      <c r="U156" s="19" t="s">
        <v>20</v>
      </c>
      <c r="V156" s="19" t="s">
        <v>24</v>
      </c>
    </row>
    <row r="157" spans="1:22" x14ac:dyDescent="0.25">
      <c r="A157" s="6" t="s">
        <v>197</v>
      </c>
      <c r="C157" s="172" t="s">
        <v>119</v>
      </c>
      <c r="D157" s="56">
        <f>G157*E157</f>
        <v>15494.6</v>
      </c>
      <c r="E157" s="8">
        <v>774.73</v>
      </c>
      <c r="F157" s="8">
        <v>1</v>
      </c>
      <c r="G157" s="11">
        <v>20</v>
      </c>
      <c r="H157" s="7"/>
      <c r="I157" s="7"/>
      <c r="J157" s="25" t="s">
        <v>81</v>
      </c>
      <c r="K157" s="26">
        <v>120.58</v>
      </c>
      <c r="L157" s="46">
        <f>G158*K157</f>
        <v>2652.7599999999998</v>
      </c>
      <c r="M157" s="42" t="s">
        <v>27</v>
      </c>
      <c r="N157" s="45">
        <v>50600</v>
      </c>
      <c r="O157" s="1">
        <v>0.88300000000000001</v>
      </c>
      <c r="P157" s="11">
        <f>N157*O157</f>
        <v>44679.8</v>
      </c>
      <c r="Q157" s="8"/>
      <c r="R157" s="8"/>
      <c r="S157" s="7"/>
      <c r="T157" s="7"/>
      <c r="U157" s="7"/>
      <c r="V157" s="11">
        <f>T157*U157</f>
        <v>0</v>
      </c>
    </row>
    <row r="158" spans="1:22" x14ac:dyDescent="0.25">
      <c r="A158" s="6"/>
      <c r="C158" s="69" t="s">
        <v>124</v>
      </c>
      <c r="D158" s="8">
        <f>G158*E158</f>
        <v>6894.14</v>
      </c>
      <c r="E158" s="8">
        <v>313.37</v>
      </c>
      <c r="F158" s="8">
        <v>1.1000000000000001</v>
      </c>
      <c r="G158" s="11">
        <f>G157*F158</f>
        <v>22</v>
      </c>
      <c r="H158" s="1"/>
      <c r="I158" s="1"/>
      <c r="J158" s="25"/>
      <c r="K158" s="26"/>
      <c r="L158" s="46">
        <f>G158*K158</f>
        <v>0</v>
      </c>
      <c r="M158" s="42"/>
      <c r="N158" s="2"/>
      <c r="O158" s="1"/>
      <c r="P158" s="11"/>
      <c r="Q158" s="8"/>
      <c r="R158" s="8"/>
      <c r="S158" s="7"/>
      <c r="T158" s="7"/>
      <c r="U158" s="7"/>
      <c r="V158" s="11">
        <f t="shared" ref="V158" si="11">T158*U158</f>
        <v>0</v>
      </c>
    </row>
    <row r="159" spans="1:22" x14ac:dyDescent="0.25">
      <c r="A159" s="6"/>
      <c r="C159" s="10" t="s">
        <v>4</v>
      </c>
      <c r="D159" s="11">
        <f>SUM(D157:D158)</f>
        <v>22388.74</v>
      </c>
      <c r="E159" s="11">
        <f>SUM(E157:E158)</f>
        <v>1088.0999999999999</v>
      </c>
      <c r="F159" s="10"/>
      <c r="G159" s="165">
        <f>SUM(G157:G158)</f>
        <v>42</v>
      </c>
      <c r="I159" s="23">
        <f>SUM(I157:I158)</f>
        <v>0</v>
      </c>
      <c r="L159" s="47">
        <f>SUM(L157:L158)</f>
        <v>2652.7599999999998</v>
      </c>
      <c r="N159" s="23">
        <f>SUM(N157:N158)</f>
        <v>50600</v>
      </c>
      <c r="P159" s="23">
        <f>SUM(P157:P158)</f>
        <v>44679.8</v>
      </c>
      <c r="R159" s="23">
        <f>SUM(R157:R158)</f>
        <v>0</v>
      </c>
      <c r="V159" s="23">
        <f>SUM(V157:V158)</f>
        <v>0</v>
      </c>
    </row>
    <row r="160" spans="1:22" x14ac:dyDescent="0.25">
      <c r="C160" s="4"/>
      <c r="D160" s="3"/>
      <c r="E160" s="3"/>
      <c r="F160" s="3"/>
      <c r="G160" s="4"/>
      <c r="H160" s="4"/>
      <c r="I160" s="4"/>
      <c r="M160" s="49"/>
      <c r="N160" s="4"/>
      <c r="O160" s="4"/>
      <c r="P160" s="4"/>
      <c r="Q160" s="4"/>
      <c r="R160" s="4"/>
      <c r="S160" s="4"/>
      <c r="T160" s="4"/>
      <c r="U160" s="4"/>
      <c r="V160" s="4"/>
    </row>
    <row r="161" spans="1:22" x14ac:dyDescent="0.25">
      <c r="C161" s="4"/>
      <c r="D161" s="3"/>
      <c r="E161" s="3"/>
      <c r="F161" s="3"/>
      <c r="G161" s="4"/>
      <c r="H161" s="4"/>
      <c r="K161" s="162" t="s">
        <v>133</v>
      </c>
      <c r="L161" s="96">
        <f>(T163/G157)*100</f>
        <v>90</v>
      </c>
      <c r="M161" s="49"/>
      <c r="O161" s="4"/>
      <c r="P161" s="4"/>
      <c r="Q161" s="4"/>
      <c r="R161" s="4"/>
      <c r="S161" s="4"/>
    </row>
    <row r="162" spans="1:22" x14ac:dyDescent="0.25">
      <c r="C162" s="4"/>
      <c r="D162" s="3"/>
      <c r="E162" s="3"/>
      <c r="F162" s="3"/>
      <c r="G162" s="4"/>
      <c r="H162" s="4"/>
      <c r="K162" s="159" t="s">
        <v>134</v>
      </c>
      <c r="L162" s="97">
        <f>(S163/(E159)*100)</f>
        <v>82.518150905247694</v>
      </c>
      <c r="M162" s="49"/>
      <c r="R162" s="5" t="s">
        <v>11</v>
      </c>
      <c r="S162" s="5" t="s">
        <v>12</v>
      </c>
      <c r="T162" s="5" t="s">
        <v>0</v>
      </c>
    </row>
    <row r="163" spans="1:22" x14ac:dyDescent="0.25">
      <c r="C163" s="4"/>
      <c r="D163" s="3"/>
      <c r="E163" s="3"/>
      <c r="F163" s="3"/>
      <c r="G163" s="4"/>
      <c r="H163" s="4"/>
      <c r="K163" s="162" t="s">
        <v>135</v>
      </c>
      <c r="L163" s="96">
        <f>(R163/D159)*100</f>
        <v>72.187358466800717</v>
      </c>
      <c r="P163" s="4"/>
      <c r="Q163" s="5" t="s">
        <v>3</v>
      </c>
      <c r="R163" s="9">
        <f>T163*S163</f>
        <v>16161.84</v>
      </c>
      <c r="S163" s="9">
        <v>897.88</v>
      </c>
      <c r="T163" s="22">
        <f>G157*0.9</f>
        <v>18</v>
      </c>
    </row>
    <row r="164" spans="1:22" ht="17.25" x14ac:dyDescent="0.25">
      <c r="C164" s="4"/>
      <c r="D164" s="3"/>
      <c r="E164" s="3"/>
      <c r="F164" s="3"/>
      <c r="G164" s="4"/>
      <c r="H164" s="4"/>
      <c r="K164" s="159" t="s">
        <v>136</v>
      </c>
      <c r="L164" s="13">
        <f>(D159+I159+L159+P159+R159+V159)/R163</f>
        <v>4.3139456893522024</v>
      </c>
      <c r="O164" s="4"/>
      <c r="P164" s="4"/>
      <c r="S164" s="83"/>
      <c r="T164" s="3"/>
    </row>
    <row r="165" spans="1:22" ht="17.25" x14ac:dyDescent="0.25">
      <c r="C165" s="4"/>
      <c r="D165" s="3"/>
      <c r="E165" s="3"/>
      <c r="F165" s="3"/>
      <c r="G165" s="4"/>
      <c r="H165" s="4"/>
      <c r="I165" s="4"/>
      <c r="K165" s="163" t="s">
        <v>137</v>
      </c>
      <c r="L165" s="15">
        <f>(D159+I159+L159)/R163</f>
        <v>1.5494213530142606</v>
      </c>
      <c r="N165" s="163" t="s">
        <v>139</v>
      </c>
      <c r="O165" s="93">
        <f>G157/N159*1000</f>
        <v>0.39525691699604742</v>
      </c>
      <c r="P165" s="4"/>
      <c r="S165" s="4"/>
    </row>
    <row r="166" spans="1:22" ht="17.25" x14ac:dyDescent="0.25">
      <c r="C166" s="4"/>
      <c r="D166" s="3"/>
      <c r="E166" s="3"/>
      <c r="F166" s="3"/>
      <c r="G166" s="4"/>
      <c r="H166" s="4"/>
      <c r="I166" s="4"/>
      <c r="K166" s="164" t="s">
        <v>138</v>
      </c>
      <c r="L166" s="16">
        <f>(P159+V159)/R163</f>
        <v>2.7645243363379417</v>
      </c>
      <c r="M166" s="4"/>
      <c r="N166" s="4"/>
      <c r="O166" s="4"/>
      <c r="P166" s="4"/>
      <c r="U166" s="4"/>
      <c r="V166" s="4"/>
    </row>
    <row r="167" spans="1:22" x14ac:dyDescent="0.25">
      <c r="C167" s="6"/>
      <c r="D167"/>
      <c r="E167" s="3"/>
      <c r="F167" s="3"/>
      <c r="G167" s="4"/>
      <c r="H167" s="4"/>
      <c r="I167" s="4"/>
      <c r="K167" s="4"/>
      <c r="M167" s="4"/>
      <c r="P167" s="4"/>
      <c r="Q167" s="4"/>
      <c r="R167" s="4"/>
      <c r="S167" s="4"/>
      <c r="T167" s="4"/>
      <c r="U167" s="4"/>
      <c r="V167" s="4"/>
    </row>
    <row r="168" spans="1:22" x14ac:dyDescent="0.25">
      <c r="C168" s="6"/>
      <c r="D168"/>
      <c r="E168" s="3"/>
      <c r="F168" s="3"/>
      <c r="G168" s="4"/>
      <c r="H168" s="4"/>
      <c r="I168" s="4"/>
      <c r="M168" s="4"/>
      <c r="N168" s="4"/>
      <c r="O168" s="4"/>
      <c r="P168" s="4"/>
      <c r="Q168" s="4"/>
      <c r="R168" s="4"/>
      <c r="S168" s="4"/>
      <c r="T168" s="4"/>
      <c r="U168" s="4"/>
      <c r="V168" s="4"/>
    </row>
    <row r="169" spans="1:22" s="29" customFormat="1" ht="17.25" x14ac:dyDescent="0.25">
      <c r="A169" s="184" t="s">
        <v>163</v>
      </c>
      <c r="D169" s="30"/>
      <c r="E169" s="30"/>
      <c r="F169" s="30"/>
    </row>
    <row r="170" spans="1:22" x14ac:dyDescent="0.25">
      <c r="B170" s="4"/>
      <c r="C170" s="6" t="s">
        <v>26</v>
      </c>
      <c r="D170" s="83"/>
      <c r="E170" s="83"/>
      <c r="F170" s="83"/>
    </row>
    <row r="171" spans="1:22" ht="34.5" x14ac:dyDescent="0.25">
      <c r="C171" s="17" t="s">
        <v>14</v>
      </c>
      <c r="D171" s="20" t="s">
        <v>21</v>
      </c>
      <c r="E171" s="20" t="s">
        <v>94</v>
      </c>
      <c r="F171" s="17" t="s">
        <v>13</v>
      </c>
      <c r="G171" s="17" t="s">
        <v>15</v>
      </c>
      <c r="H171" s="18" t="s">
        <v>1</v>
      </c>
      <c r="I171" s="19" t="s">
        <v>25</v>
      </c>
      <c r="J171" s="17" t="s">
        <v>2</v>
      </c>
      <c r="K171" s="20" t="s">
        <v>94</v>
      </c>
      <c r="L171" s="20" t="s">
        <v>22</v>
      </c>
      <c r="M171" s="19" t="s">
        <v>8</v>
      </c>
      <c r="N171" s="19" t="s">
        <v>16</v>
      </c>
      <c r="O171" s="19" t="s">
        <v>17</v>
      </c>
      <c r="P171" s="19" t="s">
        <v>18</v>
      </c>
      <c r="Q171" s="20" t="s">
        <v>10</v>
      </c>
      <c r="R171" s="20" t="s">
        <v>23</v>
      </c>
      <c r="S171" s="19" t="s">
        <v>9</v>
      </c>
      <c r="T171" s="19" t="s">
        <v>19</v>
      </c>
      <c r="U171" s="19" t="s">
        <v>20</v>
      </c>
      <c r="V171" s="19" t="s">
        <v>24</v>
      </c>
    </row>
    <row r="172" spans="1:22" x14ac:dyDescent="0.25">
      <c r="A172" s="6" t="s">
        <v>184</v>
      </c>
      <c r="C172" s="176" t="s">
        <v>57</v>
      </c>
      <c r="D172" s="56">
        <f>G172*E172</f>
        <v>4244</v>
      </c>
      <c r="E172" s="8">
        <v>212.2</v>
      </c>
      <c r="F172" s="8">
        <v>1</v>
      </c>
      <c r="G172" s="11">
        <v>20</v>
      </c>
      <c r="H172" s="7"/>
      <c r="I172" s="7"/>
      <c r="J172" s="25" t="s">
        <v>87</v>
      </c>
      <c r="K172" s="26">
        <v>136.58000000000001</v>
      </c>
      <c r="L172" s="46">
        <f>G173*K172</f>
        <v>3004.76</v>
      </c>
      <c r="M172" s="42" t="s">
        <v>27</v>
      </c>
      <c r="N172" s="45">
        <v>50600</v>
      </c>
      <c r="O172" s="1">
        <v>0.88300000000000001</v>
      </c>
      <c r="P172" s="11">
        <f>N172*O172</f>
        <v>44679.8</v>
      </c>
      <c r="Q172" s="8"/>
      <c r="R172" s="8"/>
      <c r="S172" s="7"/>
      <c r="T172" s="7"/>
      <c r="U172" s="7"/>
      <c r="V172" s="11">
        <f>T172*U172</f>
        <v>0</v>
      </c>
    </row>
    <row r="173" spans="1:22" x14ac:dyDescent="0.25">
      <c r="A173" s="6"/>
      <c r="C173" s="8" t="s">
        <v>59</v>
      </c>
      <c r="D173" s="8">
        <f>G173*E173</f>
        <v>4274.16</v>
      </c>
      <c r="E173" s="8">
        <v>194.28</v>
      </c>
      <c r="F173" s="8">
        <v>1.1000000000000001</v>
      </c>
      <c r="G173" s="11">
        <f>G172*1.1</f>
        <v>22</v>
      </c>
      <c r="H173" s="1"/>
      <c r="I173" s="1"/>
      <c r="J173" s="25"/>
      <c r="K173" s="26"/>
      <c r="L173" s="46">
        <f>G173*K173</f>
        <v>0</v>
      </c>
      <c r="M173" s="42"/>
      <c r="N173" s="2"/>
      <c r="O173" s="1"/>
      <c r="P173" s="11"/>
      <c r="Q173" s="8"/>
      <c r="R173" s="8"/>
      <c r="S173" s="7"/>
      <c r="T173" s="7"/>
      <c r="U173" s="7"/>
      <c r="V173" s="11">
        <f t="shared" ref="V173" si="12">T173*U173</f>
        <v>0</v>
      </c>
    </row>
    <row r="174" spans="1:22" x14ac:dyDescent="0.25">
      <c r="A174" s="6"/>
      <c r="C174" s="10" t="s">
        <v>4</v>
      </c>
      <c r="D174" s="11">
        <f>SUM(D172:D173)</f>
        <v>8518.16</v>
      </c>
      <c r="E174" s="11">
        <f>SUM(E172:E173)</f>
        <v>406.48</v>
      </c>
      <c r="F174" s="10"/>
      <c r="G174" s="165">
        <f>SUM(G172:G173)</f>
        <v>42</v>
      </c>
      <c r="I174" s="23">
        <f>SUM(I172:I173)</f>
        <v>0</v>
      </c>
      <c r="L174" s="47">
        <f>SUM(L172:L173)</f>
        <v>3004.76</v>
      </c>
      <c r="N174" s="23">
        <f>SUM(N172:N173)</f>
        <v>50600</v>
      </c>
      <c r="P174" s="23">
        <f>SUM(P172:P173)</f>
        <v>44679.8</v>
      </c>
      <c r="R174" s="23">
        <f>SUM(R172:R173)</f>
        <v>0</v>
      </c>
      <c r="V174" s="23">
        <f>SUM(V172:V173)</f>
        <v>0</v>
      </c>
    </row>
    <row r="175" spans="1:22" x14ac:dyDescent="0.25">
      <c r="A175" s="6"/>
      <c r="C175" s="4"/>
      <c r="D175" s="3"/>
      <c r="E175" s="3"/>
      <c r="F175" s="3"/>
      <c r="G175" s="4"/>
      <c r="H175" s="4"/>
      <c r="I175" s="4"/>
      <c r="M175" s="49"/>
      <c r="N175" s="4"/>
      <c r="O175" s="4"/>
      <c r="P175" s="4"/>
      <c r="Q175" s="4"/>
      <c r="R175" s="4"/>
      <c r="S175" s="4"/>
      <c r="T175" s="4"/>
      <c r="U175" s="4"/>
      <c r="V175" s="4"/>
    </row>
    <row r="176" spans="1:22" x14ac:dyDescent="0.25">
      <c r="A176" s="6"/>
      <c r="C176" s="4"/>
      <c r="D176" s="3"/>
      <c r="E176" s="3"/>
      <c r="F176" s="3"/>
      <c r="G176" s="4"/>
      <c r="H176" s="4"/>
      <c r="K176" s="162" t="s">
        <v>133</v>
      </c>
      <c r="L176" s="96">
        <f>(T178/G172)*100</f>
        <v>90</v>
      </c>
      <c r="M176" s="49"/>
      <c r="O176" s="4"/>
      <c r="P176" s="4"/>
      <c r="Q176" s="4"/>
      <c r="R176" s="4"/>
      <c r="S176" s="4"/>
    </row>
    <row r="177" spans="1:22" x14ac:dyDescent="0.25">
      <c r="A177" s="6"/>
      <c r="C177" s="4"/>
      <c r="D177" s="3"/>
      <c r="E177" s="3"/>
      <c r="F177" s="3"/>
      <c r="G177" s="4"/>
      <c r="H177" s="4"/>
      <c r="K177" s="159" t="s">
        <v>134</v>
      </c>
      <c r="L177" s="97">
        <f>(S178/(E174)*100)</f>
        <v>95.566817555599286</v>
      </c>
      <c r="M177" s="49"/>
      <c r="R177" s="5" t="s">
        <v>11</v>
      </c>
      <c r="S177" s="5" t="s">
        <v>12</v>
      </c>
      <c r="T177" s="5" t="s">
        <v>0</v>
      </c>
    </row>
    <row r="178" spans="1:22" x14ac:dyDescent="0.25">
      <c r="A178" s="6"/>
      <c r="C178" s="4"/>
      <c r="D178" s="3"/>
      <c r="E178" s="3"/>
      <c r="F178" s="3"/>
      <c r="G178" s="4"/>
      <c r="H178" s="4"/>
      <c r="K178" s="162" t="s">
        <v>135</v>
      </c>
      <c r="L178" s="96">
        <f>(R178/D174)*100</f>
        <v>82.086741737652261</v>
      </c>
      <c r="P178" s="4"/>
      <c r="Q178" s="5" t="s">
        <v>3</v>
      </c>
      <c r="R178" s="9">
        <f>T178*S178</f>
        <v>6992.28</v>
      </c>
      <c r="S178" s="9">
        <v>388.46</v>
      </c>
      <c r="T178" s="22">
        <f>G172*0.9</f>
        <v>18</v>
      </c>
    </row>
    <row r="179" spans="1:22" ht="17.25" x14ac:dyDescent="0.25">
      <c r="A179" s="6"/>
      <c r="C179" s="4"/>
      <c r="D179" s="3"/>
      <c r="E179" s="3"/>
      <c r="F179" s="3"/>
      <c r="G179" s="4"/>
      <c r="H179" s="4"/>
      <c r="K179" s="159" t="s">
        <v>136</v>
      </c>
      <c r="L179" s="13">
        <f>(D174+I174+L174+P174+R174+V174)/R178</f>
        <v>8.0378245722425312</v>
      </c>
      <c r="O179" s="4"/>
      <c r="P179" s="4"/>
      <c r="S179" s="83"/>
      <c r="T179" s="3"/>
    </row>
    <row r="180" spans="1:22" ht="17.25" x14ac:dyDescent="0.25">
      <c r="A180" s="6"/>
      <c r="C180" s="4"/>
      <c r="D180" s="3"/>
      <c r="E180" s="3"/>
      <c r="F180" s="3"/>
      <c r="G180" s="4"/>
      <c r="H180" s="4"/>
      <c r="I180" s="4"/>
      <c r="K180" s="163" t="s">
        <v>137</v>
      </c>
      <c r="L180" s="15">
        <f>(D174+I174+L174)/R178</f>
        <v>1.6479488807656444</v>
      </c>
      <c r="N180" s="163" t="s">
        <v>139</v>
      </c>
      <c r="O180" s="93">
        <f>G172/N174*1000</f>
        <v>0.39525691699604742</v>
      </c>
      <c r="P180" s="4"/>
      <c r="S180" s="4"/>
    </row>
    <row r="181" spans="1:22" ht="17.25" x14ac:dyDescent="0.25">
      <c r="A181" s="6"/>
      <c r="C181" s="4"/>
      <c r="D181" s="3"/>
      <c r="E181" s="3"/>
      <c r="F181" s="3"/>
      <c r="G181" s="4"/>
      <c r="H181" s="4"/>
      <c r="I181" s="4"/>
      <c r="K181" s="164" t="s">
        <v>138</v>
      </c>
      <c r="L181" s="16">
        <f>(P174+V174)/R178</f>
        <v>6.3898756914768864</v>
      </c>
      <c r="M181" s="4"/>
      <c r="N181" s="4"/>
      <c r="O181" s="4"/>
      <c r="P181" s="4"/>
      <c r="U181" s="4"/>
      <c r="V181" s="4"/>
    </row>
    <row r="182" spans="1:22" x14ac:dyDescent="0.25">
      <c r="A182" s="6"/>
      <c r="C182" s="6"/>
      <c r="D182"/>
      <c r="E182" s="3"/>
      <c r="F182" s="3"/>
      <c r="G182" s="4"/>
      <c r="H182" s="4"/>
      <c r="I182" s="4"/>
      <c r="K182" s="4"/>
      <c r="M182" s="4"/>
      <c r="P182" s="4"/>
      <c r="Q182" s="4"/>
      <c r="R182" s="4"/>
      <c r="S182" s="4"/>
      <c r="T182" s="4"/>
      <c r="U182" s="4"/>
      <c r="V182" s="4"/>
    </row>
    <row r="183" spans="1:22" x14ac:dyDescent="0.25">
      <c r="A183" s="6"/>
      <c r="B183" s="4"/>
      <c r="C183" s="6" t="s">
        <v>26</v>
      </c>
      <c r="D183" s="83"/>
      <c r="E183" s="83"/>
      <c r="F183" s="83"/>
    </row>
    <row r="184" spans="1:22" ht="34.5" x14ac:dyDescent="0.25">
      <c r="A184" s="6"/>
      <c r="C184" s="17" t="s">
        <v>14</v>
      </c>
      <c r="D184" s="20" t="s">
        <v>21</v>
      </c>
      <c r="E184" s="20" t="s">
        <v>94</v>
      </c>
      <c r="F184" s="17" t="s">
        <v>13</v>
      </c>
      <c r="G184" s="17" t="s">
        <v>15</v>
      </c>
      <c r="H184" s="18" t="s">
        <v>1</v>
      </c>
      <c r="I184" s="19" t="s">
        <v>25</v>
      </c>
      <c r="J184" s="17" t="s">
        <v>2</v>
      </c>
      <c r="K184" s="20" t="s">
        <v>94</v>
      </c>
      <c r="L184" s="20" t="s">
        <v>22</v>
      </c>
      <c r="M184" s="19" t="s">
        <v>8</v>
      </c>
      <c r="N184" s="19" t="s">
        <v>16</v>
      </c>
      <c r="O184" s="19" t="s">
        <v>17</v>
      </c>
      <c r="P184" s="19" t="s">
        <v>18</v>
      </c>
      <c r="Q184" s="20" t="s">
        <v>10</v>
      </c>
      <c r="R184" s="20" t="s">
        <v>23</v>
      </c>
      <c r="S184" s="19" t="s">
        <v>9</v>
      </c>
      <c r="T184" s="19" t="s">
        <v>19</v>
      </c>
      <c r="U184" s="19" t="s">
        <v>20</v>
      </c>
      <c r="V184" s="19" t="s">
        <v>24</v>
      </c>
    </row>
    <row r="185" spans="1:22" x14ac:dyDescent="0.25">
      <c r="A185" s="6" t="s">
        <v>197</v>
      </c>
      <c r="C185" s="172" t="s">
        <v>119</v>
      </c>
      <c r="D185" s="56">
        <f>G185*E185</f>
        <v>15494.6</v>
      </c>
      <c r="E185" s="8">
        <v>774.73</v>
      </c>
      <c r="F185" s="8">
        <v>1</v>
      </c>
      <c r="G185" s="11">
        <v>20</v>
      </c>
      <c r="H185" s="7"/>
      <c r="I185" s="7"/>
      <c r="J185" s="25" t="s">
        <v>87</v>
      </c>
      <c r="K185" s="26">
        <v>136.58000000000001</v>
      </c>
      <c r="L185" s="46">
        <f>G186*K185</f>
        <v>3004.76</v>
      </c>
      <c r="M185" s="42" t="s">
        <v>27</v>
      </c>
      <c r="N185" s="45">
        <v>50600</v>
      </c>
      <c r="O185" s="1">
        <v>0.88300000000000001</v>
      </c>
      <c r="P185" s="11">
        <f>N185*O185</f>
        <v>44679.8</v>
      </c>
      <c r="Q185" s="8"/>
      <c r="R185" s="8"/>
      <c r="S185" s="7"/>
      <c r="T185" s="7"/>
      <c r="U185" s="7"/>
      <c r="V185" s="11">
        <f>T185*U185</f>
        <v>0</v>
      </c>
    </row>
    <row r="186" spans="1:22" x14ac:dyDescent="0.25">
      <c r="A186" s="6"/>
      <c r="C186" s="69" t="s">
        <v>124</v>
      </c>
      <c r="D186" s="8">
        <f>G186*E186</f>
        <v>6894.14</v>
      </c>
      <c r="E186" s="8">
        <v>313.37</v>
      </c>
      <c r="F186" s="8">
        <v>1.1000000000000001</v>
      </c>
      <c r="G186" s="11">
        <f>G185*F186</f>
        <v>22</v>
      </c>
      <c r="H186" s="1"/>
      <c r="I186" s="1"/>
      <c r="J186" s="25"/>
      <c r="K186" s="26"/>
      <c r="L186" s="46"/>
      <c r="M186" s="42"/>
      <c r="N186" s="2"/>
      <c r="O186" s="1"/>
      <c r="P186" s="11"/>
      <c r="Q186" s="8"/>
      <c r="R186" s="8"/>
      <c r="S186" s="7"/>
      <c r="T186" s="7"/>
      <c r="U186" s="7"/>
      <c r="V186" s="11">
        <f t="shared" ref="V186" si="13">T186*U186</f>
        <v>0</v>
      </c>
    </row>
    <row r="187" spans="1:22" x14ac:dyDescent="0.25">
      <c r="A187" s="6"/>
      <c r="C187" s="10" t="s">
        <v>4</v>
      </c>
      <c r="D187" s="11">
        <f>SUM(D185:D186)</f>
        <v>22388.74</v>
      </c>
      <c r="E187" s="11">
        <f>SUM(E185:E186)</f>
        <v>1088.0999999999999</v>
      </c>
      <c r="F187" s="10"/>
      <c r="G187" s="165">
        <f>SUM(G185:G186)</f>
        <v>42</v>
      </c>
      <c r="I187" s="23">
        <f>SUM(I185:I186)</f>
        <v>0</v>
      </c>
      <c r="L187" s="47">
        <f>SUM(L185:L186)</f>
        <v>3004.76</v>
      </c>
      <c r="N187" s="89">
        <f>SUM(N185:N186)</f>
        <v>50600</v>
      </c>
      <c r="P187" s="23">
        <f>SUM(P185:P186)</f>
        <v>44679.8</v>
      </c>
      <c r="R187" s="23">
        <f>SUM(R185:R186)</f>
        <v>0</v>
      </c>
      <c r="V187" s="23">
        <f>SUM(V185:V186)</f>
        <v>0</v>
      </c>
    </row>
    <row r="188" spans="1:22" x14ac:dyDescent="0.25">
      <c r="C188" s="4"/>
      <c r="D188" s="3"/>
      <c r="E188" s="3"/>
      <c r="F188" s="3"/>
      <c r="G188" s="4"/>
      <c r="H188" s="4"/>
      <c r="I188" s="4"/>
      <c r="M188" s="49"/>
      <c r="N188" s="4"/>
      <c r="O188" s="4"/>
      <c r="P188" s="4"/>
      <c r="Q188" s="4"/>
      <c r="R188" s="4"/>
      <c r="S188" s="4"/>
      <c r="T188" s="4"/>
      <c r="U188" s="4"/>
      <c r="V188" s="4"/>
    </row>
    <row r="189" spans="1:22" x14ac:dyDescent="0.25">
      <c r="C189" s="4"/>
      <c r="D189" s="3"/>
      <c r="E189" s="3"/>
      <c r="F189" s="3"/>
      <c r="G189" s="4"/>
      <c r="H189" s="4"/>
      <c r="K189" s="162" t="s">
        <v>133</v>
      </c>
      <c r="L189" s="96">
        <f>(T191/G185)*100</f>
        <v>90</v>
      </c>
      <c r="M189" s="49"/>
      <c r="O189" s="4"/>
      <c r="P189" s="4"/>
      <c r="Q189" s="4"/>
      <c r="R189" s="4"/>
      <c r="S189" s="4"/>
    </row>
    <row r="190" spans="1:22" x14ac:dyDescent="0.25">
      <c r="C190" s="4"/>
      <c r="D190" s="3"/>
      <c r="E190" s="3"/>
      <c r="F190" s="3"/>
      <c r="G190" s="4"/>
      <c r="H190" s="4"/>
      <c r="K190" s="159" t="s">
        <v>134</v>
      </c>
      <c r="L190" s="97">
        <f>(S191/(E187)*100)</f>
        <v>82.518150905247694</v>
      </c>
      <c r="M190" s="49"/>
      <c r="R190" s="5" t="s">
        <v>11</v>
      </c>
      <c r="S190" s="5" t="s">
        <v>12</v>
      </c>
      <c r="T190" s="5" t="s">
        <v>0</v>
      </c>
    </row>
    <row r="191" spans="1:22" x14ac:dyDescent="0.25">
      <c r="C191" s="4"/>
      <c r="D191" s="3"/>
      <c r="E191" s="3"/>
      <c r="F191" s="3"/>
      <c r="G191" s="4"/>
      <c r="H191" s="4"/>
      <c r="K191" s="162" t="s">
        <v>135</v>
      </c>
      <c r="L191" s="96">
        <f>(R191/D187)*100</f>
        <v>72.187358466800717</v>
      </c>
      <c r="P191" s="4"/>
      <c r="Q191" s="5" t="s">
        <v>3</v>
      </c>
      <c r="R191" s="9">
        <f>T191*S191</f>
        <v>16161.84</v>
      </c>
      <c r="S191" s="9">
        <v>897.88</v>
      </c>
      <c r="T191" s="22">
        <f>G185*0.9</f>
        <v>18</v>
      </c>
    </row>
    <row r="192" spans="1:22" ht="17.25" x14ac:dyDescent="0.25">
      <c r="C192" s="4"/>
      <c r="D192" s="3"/>
      <c r="E192" s="3"/>
      <c r="F192" s="3"/>
      <c r="G192" s="4"/>
      <c r="H192" s="4"/>
      <c r="K192" s="159" t="s">
        <v>136</v>
      </c>
      <c r="L192" s="13">
        <f>(D187+I187+L187+P187+R187+V187)/R191</f>
        <v>4.3357253877033806</v>
      </c>
      <c r="O192" s="4"/>
      <c r="P192" s="4"/>
      <c r="S192" s="83"/>
      <c r="T192" s="3"/>
    </row>
    <row r="193" spans="1:22" ht="17.25" x14ac:dyDescent="0.25">
      <c r="C193" s="4"/>
      <c r="D193" s="3"/>
      <c r="E193" s="3"/>
      <c r="F193" s="3"/>
      <c r="G193" s="4"/>
      <c r="H193" s="4"/>
      <c r="I193" s="4"/>
      <c r="K193" s="163" t="s">
        <v>137</v>
      </c>
      <c r="L193" s="15">
        <f>(D187+I187+L187)/R191</f>
        <v>1.5712010513654386</v>
      </c>
      <c r="N193" s="163" t="s">
        <v>139</v>
      </c>
      <c r="O193" s="93">
        <f>G185/N187*1000</f>
        <v>0.39525691699604742</v>
      </c>
      <c r="P193" s="4"/>
      <c r="S193" s="4"/>
    </row>
    <row r="194" spans="1:22" ht="17.25" x14ac:dyDescent="0.25">
      <c r="C194" s="4"/>
      <c r="D194" s="3"/>
      <c r="E194" s="3"/>
      <c r="F194" s="3"/>
      <c r="G194" s="4"/>
      <c r="H194" s="4"/>
      <c r="I194" s="4"/>
      <c r="K194" s="164" t="s">
        <v>138</v>
      </c>
      <c r="L194" s="16">
        <f>(P187+V187)/R191</f>
        <v>2.7645243363379417</v>
      </c>
      <c r="M194" s="4"/>
      <c r="N194" s="4"/>
      <c r="O194" s="4"/>
      <c r="P194" s="4"/>
      <c r="U194" s="4"/>
      <c r="V194" s="4"/>
    </row>
    <row r="195" spans="1:22" x14ac:dyDescent="0.25">
      <c r="C195" s="6"/>
      <c r="D195"/>
      <c r="E195" s="3"/>
      <c r="F195" s="3"/>
      <c r="G195" s="4"/>
      <c r="H195" s="4"/>
      <c r="I195" s="4"/>
      <c r="K195" s="4"/>
      <c r="M195" s="4"/>
      <c r="P195" s="4"/>
      <c r="Q195" s="4"/>
      <c r="R195" s="4"/>
      <c r="S195" s="4"/>
      <c r="T195" s="4"/>
      <c r="U195" s="4"/>
      <c r="V195" s="4"/>
    </row>
    <row r="197" spans="1:22" s="29" customFormat="1" ht="18" x14ac:dyDescent="0.3">
      <c r="A197" s="184" t="s">
        <v>153</v>
      </c>
      <c r="D197" s="30"/>
      <c r="E197" s="30"/>
      <c r="F197" s="30"/>
    </row>
    <row r="198" spans="1:22" x14ac:dyDescent="0.25">
      <c r="B198" s="4"/>
      <c r="C198" s="6" t="s">
        <v>26</v>
      </c>
      <c r="D198" s="83"/>
      <c r="E198" s="83"/>
      <c r="F198" s="83"/>
    </row>
    <row r="199" spans="1:22" ht="34.5" x14ac:dyDescent="0.25">
      <c r="C199" s="17" t="s">
        <v>14</v>
      </c>
      <c r="D199" s="20" t="s">
        <v>21</v>
      </c>
      <c r="E199" s="20" t="s">
        <v>94</v>
      </c>
      <c r="F199" s="17" t="s">
        <v>13</v>
      </c>
      <c r="G199" s="17" t="s">
        <v>15</v>
      </c>
      <c r="H199" s="18" t="s">
        <v>1</v>
      </c>
      <c r="I199" s="19" t="s">
        <v>25</v>
      </c>
      <c r="J199" s="17" t="s">
        <v>2</v>
      </c>
      <c r="K199" s="20" t="s">
        <v>94</v>
      </c>
      <c r="L199" s="20" t="s">
        <v>22</v>
      </c>
      <c r="M199" s="19" t="s">
        <v>8</v>
      </c>
      <c r="N199" s="19" t="s">
        <v>16</v>
      </c>
      <c r="O199" s="19" t="s">
        <v>17</v>
      </c>
      <c r="P199" s="19" t="s">
        <v>18</v>
      </c>
      <c r="Q199" s="20" t="s">
        <v>10</v>
      </c>
      <c r="R199" s="20" t="s">
        <v>23</v>
      </c>
      <c r="S199" s="19" t="s">
        <v>9</v>
      </c>
      <c r="T199" s="19" t="s">
        <v>19</v>
      </c>
      <c r="U199" s="19" t="s">
        <v>20</v>
      </c>
      <c r="V199" s="19" t="s">
        <v>24</v>
      </c>
    </row>
    <row r="200" spans="1:22" x14ac:dyDescent="0.25">
      <c r="A200" s="6" t="s">
        <v>184</v>
      </c>
      <c r="C200" s="176" t="s">
        <v>57</v>
      </c>
      <c r="D200" s="56">
        <f>G200*E200</f>
        <v>4244</v>
      </c>
      <c r="E200" s="8">
        <v>212.2</v>
      </c>
      <c r="F200" s="8">
        <v>1</v>
      </c>
      <c r="G200" s="11">
        <v>20</v>
      </c>
      <c r="H200" s="7"/>
      <c r="I200" s="7"/>
      <c r="J200" s="25" t="s">
        <v>91</v>
      </c>
      <c r="K200" s="26">
        <v>318.18</v>
      </c>
      <c r="L200" s="46">
        <f>G201*K200</f>
        <v>6999.96</v>
      </c>
      <c r="M200" s="42" t="s">
        <v>27</v>
      </c>
      <c r="N200" s="45">
        <v>50600</v>
      </c>
      <c r="O200" s="1">
        <v>0.88300000000000001</v>
      </c>
      <c r="P200" s="11">
        <f>N200*O200</f>
        <v>44679.8</v>
      </c>
      <c r="Q200" s="8"/>
      <c r="R200" s="8"/>
      <c r="S200" s="7"/>
      <c r="T200" s="7"/>
      <c r="U200" s="7"/>
      <c r="V200" s="11">
        <f>T200*U200</f>
        <v>0</v>
      </c>
    </row>
    <row r="201" spans="1:22" x14ac:dyDescent="0.25">
      <c r="A201" s="6"/>
      <c r="C201" s="8" t="s">
        <v>59</v>
      </c>
      <c r="D201" s="8">
        <f>G201*E201</f>
        <v>4274.16</v>
      </c>
      <c r="E201" s="8">
        <v>194.28</v>
      </c>
      <c r="F201" s="8">
        <v>1.1000000000000001</v>
      </c>
      <c r="G201" s="11">
        <f>G200*1.1</f>
        <v>22</v>
      </c>
      <c r="H201" s="1"/>
      <c r="I201" s="1"/>
      <c r="J201" s="25"/>
      <c r="K201" s="26"/>
      <c r="L201" s="46"/>
      <c r="M201" s="42"/>
      <c r="N201" s="2"/>
      <c r="O201" s="1"/>
      <c r="P201" s="11"/>
      <c r="Q201" s="8"/>
      <c r="R201" s="8"/>
      <c r="S201" s="7"/>
      <c r="T201" s="7"/>
      <c r="U201" s="7"/>
      <c r="V201" s="11">
        <f t="shared" ref="V201" si="14">T201*U201</f>
        <v>0</v>
      </c>
    </row>
    <row r="202" spans="1:22" x14ac:dyDescent="0.25">
      <c r="A202" s="6"/>
      <c r="C202" s="10" t="s">
        <v>4</v>
      </c>
      <c r="D202" s="11">
        <f>SUM(D200:D201)</f>
        <v>8518.16</v>
      </c>
      <c r="E202" s="11">
        <f>SUM(E200:E201)</f>
        <v>406.48</v>
      </c>
      <c r="F202" s="10"/>
      <c r="G202" s="165">
        <f>SUM(G200:G201)</f>
        <v>42</v>
      </c>
      <c r="I202" s="23">
        <f>SUM(I200:I201)</f>
        <v>0</v>
      </c>
      <c r="L202" s="47">
        <f>SUM(L200:L201)</f>
        <v>6999.96</v>
      </c>
      <c r="N202" s="89">
        <f>SUM(N200:N201)</f>
        <v>50600</v>
      </c>
      <c r="P202" s="23">
        <f>SUM(P200:P201)</f>
        <v>44679.8</v>
      </c>
      <c r="R202" s="23">
        <f>SUM(R200:R201)</f>
        <v>0</v>
      </c>
      <c r="V202" s="23">
        <f>SUM(V200:V201)</f>
        <v>0</v>
      </c>
    </row>
    <row r="203" spans="1:22" x14ac:dyDescent="0.25">
      <c r="A203" s="6"/>
      <c r="C203" s="4"/>
      <c r="D203" s="3"/>
      <c r="E203" s="3"/>
      <c r="F203" s="3"/>
      <c r="G203" s="4"/>
      <c r="H203" s="4"/>
      <c r="I203" s="4"/>
      <c r="M203" s="49"/>
      <c r="N203" s="4"/>
      <c r="O203" s="4"/>
      <c r="P203" s="4"/>
      <c r="Q203" s="4"/>
      <c r="R203" s="4"/>
      <c r="S203" s="4"/>
      <c r="T203" s="4"/>
      <c r="U203" s="4"/>
      <c r="V203" s="4"/>
    </row>
    <row r="204" spans="1:22" x14ac:dyDescent="0.25">
      <c r="A204" s="6"/>
      <c r="C204" s="4"/>
      <c r="D204" s="3"/>
      <c r="E204" s="3"/>
      <c r="F204" s="3"/>
      <c r="G204" s="4"/>
      <c r="H204" s="4"/>
      <c r="K204" s="162" t="s">
        <v>133</v>
      </c>
      <c r="L204" s="96">
        <f>(T206/G200)*100</f>
        <v>90</v>
      </c>
      <c r="M204" s="49"/>
      <c r="O204" s="4"/>
      <c r="P204" s="4"/>
      <c r="Q204" s="4"/>
      <c r="R204" s="4"/>
      <c r="S204" s="4"/>
    </row>
    <row r="205" spans="1:22" x14ac:dyDescent="0.25">
      <c r="A205" s="6"/>
      <c r="C205" s="4"/>
      <c r="D205" s="3"/>
      <c r="E205" s="3"/>
      <c r="F205" s="3"/>
      <c r="G205" s="4"/>
      <c r="H205" s="4"/>
      <c r="K205" s="159" t="s">
        <v>134</v>
      </c>
      <c r="L205" s="97">
        <f>(S206/(E202)*100)</f>
        <v>95.566817555599286</v>
      </c>
      <c r="M205" s="49"/>
      <c r="R205" s="5" t="s">
        <v>11</v>
      </c>
      <c r="S205" s="5" t="s">
        <v>12</v>
      </c>
      <c r="T205" s="5" t="s">
        <v>0</v>
      </c>
    </row>
    <row r="206" spans="1:22" x14ac:dyDescent="0.25">
      <c r="A206" s="6"/>
      <c r="C206" s="4"/>
      <c r="D206" s="3"/>
      <c r="E206" s="3"/>
      <c r="F206" s="3"/>
      <c r="G206" s="4"/>
      <c r="H206" s="4"/>
      <c r="K206" s="162" t="s">
        <v>135</v>
      </c>
      <c r="L206" s="96">
        <f>(R206/D202)*100</f>
        <v>82.086741737652261</v>
      </c>
      <c r="P206" s="4"/>
      <c r="Q206" s="5" t="s">
        <v>3</v>
      </c>
      <c r="R206" s="9">
        <f>T206*S206</f>
        <v>6992.28</v>
      </c>
      <c r="S206" s="9">
        <v>388.46</v>
      </c>
      <c r="T206" s="22">
        <f>G200*0.9</f>
        <v>18</v>
      </c>
    </row>
    <row r="207" spans="1:22" ht="17.25" x14ac:dyDescent="0.25">
      <c r="A207" s="6"/>
      <c r="C207" s="4"/>
      <c r="D207" s="3"/>
      <c r="E207" s="3"/>
      <c r="F207" s="3"/>
      <c r="G207" s="4"/>
      <c r="H207" s="4"/>
      <c r="K207" s="159" t="s">
        <v>136</v>
      </c>
      <c r="L207" s="13">
        <f>(D202+I202+L202+P202+R202+V202)/R206</f>
        <v>8.6091975721796032</v>
      </c>
      <c r="O207" s="4"/>
      <c r="P207" s="4"/>
      <c r="S207" s="83"/>
      <c r="T207" s="3"/>
    </row>
    <row r="208" spans="1:22" ht="17.25" x14ac:dyDescent="0.25">
      <c r="A208" s="6"/>
      <c r="C208" s="4"/>
      <c r="D208" s="3"/>
      <c r="E208" s="3"/>
      <c r="F208" s="3"/>
      <c r="G208" s="4"/>
      <c r="H208" s="4"/>
      <c r="I208" s="4"/>
      <c r="K208" s="163" t="s">
        <v>137</v>
      </c>
      <c r="L208" s="15">
        <f>(D202+I202+L202)/R206</f>
        <v>2.2193218807027177</v>
      </c>
      <c r="N208" s="163" t="s">
        <v>139</v>
      </c>
      <c r="O208" s="93">
        <f>G200/N202*1000</f>
        <v>0.39525691699604742</v>
      </c>
      <c r="P208" s="4"/>
      <c r="S208" s="4"/>
    </row>
    <row r="209" spans="1:22" ht="17.25" x14ac:dyDescent="0.25">
      <c r="A209" s="6"/>
      <c r="C209" s="4"/>
      <c r="D209" s="3"/>
      <c r="E209" s="3"/>
      <c r="F209" s="3"/>
      <c r="G209" s="4"/>
      <c r="H209" s="4"/>
      <c r="I209" s="4"/>
      <c r="K209" s="164" t="s">
        <v>138</v>
      </c>
      <c r="L209" s="16">
        <f>(P202+V202)/R206</f>
        <v>6.3898756914768864</v>
      </c>
      <c r="M209" s="4"/>
      <c r="N209" s="4"/>
      <c r="O209" s="4"/>
      <c r="P209" s="4"/>
      <c r="U209" s="4"/>
      <c r="V209" s="4"/>
    </row>
    <row r="210" spans="1:22" x14ac:dyDescent="0.25">
      <c r="A210" s="6"/>
      <c r="C210" s="6"/>
      <c r="D210"/>
      <c r="E210" s="3"/>
      <c r="F210" s="3"/>
      <c r="G210" s="4"/>
      <c r="H210" s="4"/>
      <c r="I210" s="4"/>
      <c r="K210" s="4"/>
      <c r="M210" s="4"/>
      <c r="P210" s="4"/>
      <c r="Q210" s="4"/>
      <c r="R210" s="4"/>
      <c r="S210" s="4"/>
      <c r="T210" s="4"/>
      <c r="U210" s="4"/>
      <c r="V210" s="4"/>
    </row>
    <row r="211" spans="1:22" x14ac:dyDescent="0.25">
      <c r="A211" s="6"/>
      <c r="B211" s="4"/>
      <c r="C211" s="6" t="s">
        <v>26</v>
      </c>
      <c r="D211" s="83"/>
      <c r="E211" s="83"/>
      <c r="F211" s="83"/>
    </row>
    <row r="212" spans="1:22" ht="34.5" x14ac:dyDescent="0.25">
      <c r="A212" s="6"/>
      <c r="C212" s="17" t="s">
        <v>14</v>
      </c>
      <c r="D212" s="20" t="s">
        <v>21</v>
      </c>
      <c r="E212" s="20" t="s">
        <v>94</v>
      </c>
      <c r="F212" s="17" t="s">
        <v>13</v>
      </c>
      <c r="G212" s="17" t="s">
        <v>15</v>
      </c>
      <c r="H212" s="18" t="s">
        <v>1</v>
      </c>
      <c r="I212" s="19" t="s">
        <v>25</v>
      </c>
      <c r="J212" s="17" t="s">
        <v>2</v>
      </c>
      <c r="K212" s="20" t="s">
        <v>94</v>
      </c>
      <c r="L212" s="20" t="s">
        <v>22</v>
      </c>
      <c r="M212" s="19" t="s">
        <v>8</v>
      </c>
      <c r="N212" s="19" t="s">
        <v>16</v>
      </c>
      <c r="O212" s="19" t="s">
        <v>17</v>
      </c>
      <c r="P212" s="19" t="s">
        <v>18</v>
      </c>
      <c r="Q212" s="20" t="s">
        <v>10</v>
      </c>
      <c r="R212" s="20" t="s">
        <v>23</v>
      </c>
      <c r="S212" s="19" t="s">
        <v>9</v>
      </c>
      <c r="T212" s="19" t="s">
        <v>19</v>
      </c>
      <c r="U212" s="19" t="s">
        <v>20</v>
      </c>
      <c r="V212" s="19" t="s">
        <v>24</v>
      </c>
    </row>
    <row r="213" spans="1:22" x14ac:dyDescent="0.25">
      <c r="A213" s="6" t="s">
        <v>197</v>
      </c>
      <c r="C213" s="172" t="s">
        <v>119</v>
      </c>
      <c r="D213" s="56">
        <f>G213*E213</f>
        <v>15494.6</v>
      </c>
      <c r="E213" s="8">
        <v>774.73</v>
      </c>
      <c r="F213" s="8">
        <v>1</v>
      </c>
      <c r="G213" s="11">
        <v>20</v>
      </c>
      <c r="H213" s="7"/>
      <c r="I213" s="7"/>
      <c r="J213" s="25" t="s">
        <v>91</v>
      </c>
      <c r="K213" s="26">
        <v>318.18</v>
      </c>
      <c r="L213" s="46">
        <f>G214*K213</f>
        <v>6999.96</v>
      </c>
      <c r="M213" s="42" t="s">
        <v>27</v>
      </c>
      <c r="N213" s="45">
        <v>50600</v>
      </c>
      <c r="O213" s="1">
        <v>0.88300000000000001</v>
      </c>
      <c r="P213" s="11">
        <f>N213*O213</f>
        <v>44679.8</v>
      </c>
      <c r="Q213" s="8"/>
      <c r="R213" s="8"/>
      <c r="S213" s="7"/>
      <c r="T213" s="7"/>
      <c r="U213" s="7"/>
      <c r="V213" s="11">
        <f>T213*U213</f>
        <v>0</v>
      </c>
    </row>
    <row r="214" spans="1:22" x14ac:dyDescent="0.25">
      <c r="A214" s="6"/>
      <c r="C214" s="69" t="s">
        <v>124</v>
      </c>
      <c r="D214" s="8">
        <f>G214*E214</f>
        <v>6894.14</v>
      </c>
      <c r="E214" s="8">
        <v>313.37</v>
      </c>
      <c r="F214" s="8">
        <v>1.1000000000000001</v>
      </c>
      <c r="G214" s="11">
        <f>G213*F214</f>
        <v>22</v>
      </c>
      <c r="H214" s="1"/>
      <c r="I214" s="1"/>
      <c r="J214" s="25"/>
      <c r="K214" s="26"/>
      <c r="L214" s="46"/>
      <c r="M214" s="42"/>
      <c r="N214" s="2"/>
      <c r="O214" s="1"/>
      <c r="P214" s="11"/>
      <c r="Q214" s="8"/>
      <c r="R214" s="8"/>
      <c r="S214" s="7"/>
      <c r="T214" s="7"/>
      <c r="U214" s="7"/>
      <c r="V214" s="11">
        <f t="shared" ref="V214" si="15">T214*U214</f>
        <v>0</v>
      </c>
    </row>
    <row r="215" spans="1:22" x14ac:dyDescent="0.25">
      <c r="A215" s="6"/>
      <c r="C215" s="10" t="s">
        <v>4</v>
      </c>
      <c r="D215" s="11">
        <f>SUM(D213:D214)</f>
        <v>22388.74</v>
      </c>
      <c r="E215" s="11">
        <f>SUM(E213:E214)</f>
        <v>1088.0999999999999</v>
      </c>
      <c r="F215" s="10"/>
      <c r="G215" s="165">
        <f>SUM(G213:G214)</f>
        <v>42</v>
      </c>
      <c r="I215" s="23">
        <f>SUM(I213:I214)</f>
        <v>0</v>
      </c>
      <c r="L215" s="47">
        <f>SUM(L213:L214)</f>
        <v>6999.96</v>
      </c>
      <c r="N215" s="89">
        <f>SUM(N213:N214)</f>
        <v>50600</v>
      </c>
      <c r="P215" s="23">
        <f>SUM(P213:P214)</f>
        <v>44679.8</v>
      </c>
      <c r="R215" s="23">
        <f>SUM(R213:R214)</f>
        <v>0</v>
      </c>
      <c r="V215" s="23">
        <f>SUM(V213:V214)</f>
        <v>0</v>
      </c>
    </row>
    <row r="216" spans="1:22" x14ac:dyDescent="0.25">
      <c r="C216" s="4"/>
      <c r="D216" s="3"/>
      <c r="E216" s="3"/>
      <c r="F216" s="3"/>
      <c r="G216" s="4"/>
      <c r="H216" s="4"/>
      <c r="I216" s="4"/>
      <c r="M216" s="49"/>
      <c r="N216" s="4"/>
      <c r="O216" s="4"/>
      <c r="P216" s="4"/>
      <c r="Q216" s="4"/>
      <c r="R216" s="4"/>
      <c r="S216" s="4"/>
      <c r="T216" s="4"/>
      <c r="U216" s="4"/>
      <c r="V216" s="4"/>
    </row>
    <row r="217" spans="1:22" x14ac:dyDescent="0.25">
      <c r="C217" s="4"/>
      <c r="D217" s="3"/>
      <c r="E217" s="3"/>
      <c r="F217" s="3"/>
      <c r="G217" s="4"/>
      <c r="H217" s="4"/>
      <c r="K217" s="162" t="s">
        <v>133</v>
      </c>
      <c r="L217" s="96">
        <f>(T219/G213)*100</f>
        <v>90</v>
      </c>
      <c r="M217" s="49"/>
      <c r="O217" s="4"/>
      <c r="P217" s="4"/>
      <c r="Q217" s="4"/>
      <c r="R217" s="4"/>
      <c r="S217" s="4"/>
    </row>
    <row r="218" spans="1:22" x14ac:dyDescent="0.25">
      <c r="C218" s="4"/>
      <c r="D218" s="3"/>
      <c r="E218" s="3"/>
      <c r="F218" s="3"/>
      <c r="G218" s="4"/>
      <c r="H218" s="4"/>
      <c r="K218" s="159" t="s">
        <v>134</v>
      </c>
      <c r="L218" s="97">
        <f>(S219/(E215)*100)</f>
        <v>82.518150905247694</v>
      </c>
      <c r="M218" s="49"/>
      <c r="R218" s="5" t="s">
        <v>11</v>
      </c>
      <c r="S218" s="5" t="s">
        <v>12</v>
      </c>
      <c r="T218" s="5" t="s">
        <v>0</v>
      </c>
    </row>
    <row r="219" spans="1:22" x14ac:dyDescent="0.25">
      <c r="C219" s="4"/>
      <c r="D219" s="3"/>
      <c r="E219" s="3"/>
      <c r="F219" s="3"/>
      <c r="G219" s="4"/>
      <c r="H219" s="4"/>
      <c r="K219" s="162" t="s">
        <v>135</v>
      </c>
      <c r="L219" s="96">
        <f>(R219/D215)*100</f>
        <v>72.187358466800717</v>
      </c>
      <c r="P219" s="4"/>
      <c r="Q219" s="5" t="s">
        <v>3</v>
      </c>
      <c r="R219" s="9">
        <f>T219*S219</f>
        <v>16161.84</v>
      </c>
      <c r="S219" s="9">
        <v>897.88</v>
      </c>
      <c r="T219" s="22">
        <f>G213*0.9</f>
        <v>18</v>
      </c>
    </row>
    <row r="220" spans="1:22" ht="17.25" x14ac:dyDescent="0.25">
      <c r="C220" s="4"/>
      <c r="D220" s="3"/>
      <c r="E220" s="3"/>
      <c r="F220" s="3"/>
      <c r="G220" s="4"/>
      <c r="H220" s="4"/>
      <c r="K220" s="159" t="s">
        <v>136</v>
      </c>
      <c r="L220" s="13">
        <f>(D215+I215+L215+P215+R215+V215)/R219</f>
        <v>4.5829249639892486</v>
      </c>
      <c r="O220" s="4"/>
      <c r="P220" s="4"/>
      <c r="S220" s="83"/>
      <c r="T220" s="3"/>
    </row>
    <row r="221" spans="1:22" ht="17.25" x14ac:dyDescent="0.25">
      <c r="C221" s="4"/>
      <c r="D221" s="3"/>
      <c r="E221" s="3"/>
      <c r="F221" s="3"/>
      <c r="G221" s="4"/>
      <c r="H221" s="4"/>
      <c r="I221" s="4"/>
      <c r="K221" s="163" t="s">
        <v>137</v>
      </c>
      <c r="L221" s="15">
        <f>(D215+I215+L215)/R219</f>
        <v>1.8184006276513072</v>
      </c>
      <c r="N221" s="163" t="s">
        <v>139</v>
      </c>
      <c r="O221" s="93">
        <f>G213/N215*1000</f>
        <v>0.39525691699604742</v>
      </c>
      <c r="P221" s="4"/>
      <c r="S221" s="4"/>
    </row>
    <row r="222" spans="1:22" ht="17.25" x14ac:dyDescent="0.25">
      <c r="C222" s="4"/>
      <c r="D222" s="3"/>
      <c r="E222" s="3"/>
      <c r="F222" s="3"/>
      <c r="G222" s="4"/>
      <c r="H222" s="4"/>
      <c r="I222" s="4"/>
      <c r="K222" s="164" t="s">
        <v>138</v>
      </c>
      <c r="L222" s="16">
        <f>(P215+V215)/R219</f>
        <v>2.7645243363379417</v>
      </c>
      <c r="M222" s="4"/>
      <c r="N222" s="4"/>
      <c r="O222" s="4"/>
      <c r="P222" s="4"/>
      <c r="U222" s="4"/>
      <c r="V222" s="4"/>
    </row>
    <row r="223" spans="1:22" x14ac:dyDescent="0.25">
      <c r="C223" s="6"/>
      <c r="D223"/>
      <c r="E223" s="3"/>
      <c r="F223" s="3"/>
      <c r="G223" s="4"/>
      <c r="H223" s="4"/>
      <c r="I223" s="4"/>
      <c r="K223" s="4"/>
      <c r="M223" s="4"/>
      <c r="P223" s="4"/>
      <c r="Q223" s="4"/>
      <c r="R223" s="4"/>
      <c r="S223" s="4"/>
      <c r="T223" s="4"/>
      <c r="U223" s="4"/>
      <c r="V223" s="4"/>
    </row>
    <row r="225" spans="1:22" x14ac:dyDescent="0.25">
      <c r="M225" s="77"/>
      <c r="N225" s="77"/>
      <c r="U225" s="54"/>
      <c r="V225" s="54"/>
    </row>
    <row r="226" spans="1:22" s="180" customFormat="1" ht="18" x14ac:dyDescent="0.3">
      <c r="A226" s="184" t="s">
        <v>157</v>
      </c>
      <c r="D226" s="169"/>
      <c r="E226" s="169"/>
      <c r="F226" s="169"/>
    </row>
    <row r="227" spans="1:22" x14ac:dyDescent="0.25">
      <c r="B227" s="4"/>
      <c r="C227" s="6" t="s">
        <v>26</v>
      </c>
      <c r="D227" s="98"/>
      <c r="E227" s="98"/>
      <c r="F227" s="98"/>
    </row>
    <row r="228" spans="1:22" ht="34.5" x14ac:dyDescent="0.25">
      <c r="C228" s="17" t="s">
        <v>14</v>
      </c>
      <c r="D228" s="20" t="s">
        <v>21</v>
      </c>
      <c r="E228" s="20" t="s">
        <v>94</v>
      </c>
      <c r="F228" s="17" t="s">
        <v>13</v>
      </c>
      <c r="G228" s="17" t="s">
        <v>15</v>
      </c>
      <c r="H228" s="18" t="s">
        <v>1</v>
      </c>
      <c r="I228" s="19" t="s">
        <v>25</v>
      </c>
      <c r="J228" s="17" t="s">
        <v>2</v>
      </c>
      <c r="K228" s="20" t="s">
        <v>94</v>
      </c>
      <c r="L228" s="20" t="s">
        <v>22</v>
      </c>
      <c r="M228" s="19" t="s">
        <v>8</v>
      </c>
      <c r="N228" s="19" t="s">
        <v>16</v>
      </c>
      <c r="O228" s="19" t="s">
        <v>17</v>
      </c>
      <c r="P228" s="19" t="s">
        <v>18</v>
      </c>
      <c r="Q228" s="20" t="s">
        <v>10</v>
      </c>
      <c r="R228" s="20" t="s">
        <v>23</v>
      </c>
      <c r="S228" s="19" t="s">
        <v>9</v>
      </c>
      <c r="T228" s="19" t="s">
        <v>19</v>
      </c>
      <c r="U228" s="19" t="s">
        <v>20</v>
      </c>
      <c r="V228" s="19" t="s">
        <v>24</v>
      </c>
    </row>
    <row r="229" spans="1:22" ht="15" customHeight="1" x14ac:dyDescent="0.25">
      <c r="A229" s="6" t="s">
        <v>184</v>
      </c>
      <c r="C229" s="176" t="s">
        <v>57</v>
      </c>
      <c r="D229" s="56">
        <f>G229*E229</f>
        <v>4244</v>
      </c>
      <c r="E229" s="8">
        <v>212.2</v>
      </c>
      <c r="F229" s="8">
        <v>1</v>
      </c>
      <c r="G229" s="11">
        <v>20</v>
      </c>
      <c r="H229" s="7"/>
      <c r="I229" s="7"/>
      <c r="J229" s="8" t="s">
        <v>37</v>
      </c>
      <c r="K229" s="8">
        <v>118.96</v>
      </c>
      <c r="L229" s="46">
        <f>G230*K229</f>
        <v>2617.12</v>
      </c>
      <c r="M229" s="42" t="s">
        <v>27</v>
      </c>
      <c r="N229" s="45">
        <v>50600</v>
      </c>
      <c r="O229" s="1">
        <v>0.88300000000000001</v>
      </c>
      <c r="P229" s="11">
        <f>N229*O229</f>
        <v>44679.8</v>
      </c>
      <c r="Q229" s="8"/>
      <c r="R229" s="8"/>
      <c r="S229" s="7"/>
      <c r="T229" s="7"/>
      <c r="U229" s="7"/>
      <c r="V229" s="11">
        <f>T229*U229</f>
        <v>0</v>
      </c>
    </row>
    <row r="230" spans="1:22" x14ac:dyDescent="0.25">
      <c r="C230" s="8" t="s">
        <v>59</v>
      </c>
      <c r="D230" s="8">
        <f>G230*E230</f>
        <v>4274.16</v>
      </c>
      <c r="E230" s="8">
        <v>194.28</v>
      </c>
      <c r="F230" s="8">
        <v>1.1000000000000001</v>
      </c>
      <c r="G230" s="11">
        <f>G229*1.1</f>
        <v>22</v>
      </c>
      <c r="H230" s="1"/>
      <c r="I230" s="1"/>
      <c r="J230" s="25"/>
      <c r="K230" s="26"/>
      <c r="L230" s="46"/>
      <c r="M230" s="42"/>
      <c r="N230" s="2"/>
      <c r="O230" s="1"/>
      <c r="P230" s="11"/>
      <c r="Q230" s="8"/>
      <c r="R230" s="8"/>
      <c r="S230" s="7"/>
      <c r="T230" s="7"/>
      <c r="U230" s="7"/>
      <c r="V230" s="11">
        <f>T230*U230</f>
        <v>0</v>
      </c>
    </row>
    <row r="231" spans="1:22" x14ac:dyDescent="0.25">
      <c r="C231" s="10" t="s">
        <v>4</v>
      </c>
      <c r="D231" s="11">
        <f>SUM(D229:D230)</f>
        <v>8518.16</v>
      </c>
      <c r="E231" s="11">
        <f>SUM(E229:E230)</f>
        <v>406.48</v>
      </c>
      <c r="F231" s="10"/>
      <c r="G231" s="165">
        <f>SUM(G229:G230)</f>
        <v>42</v>
      </c>
      <c r="I231" s="23">
        <f>SUM(I229:I230)</f>
        <v>0</v>
      </c>
      <c r="L231" s="47">
        <f>SUM(L229:L230)</f>
        <v>2617.12</v>
      </c>
      <c r="N231" s="89">
        <f>SUM(N229:N230)</f>
        <v>50600</v>
      </c>
      <c r="P231" s="23">
        <f>SUM(P229:P230)</f>
        <v>44679.8</v>
      </c>
      <c r="R231" s="23">
        <f>SUM(R229:R230)</f>
        <v>0</v>
      </c>
      <c r="V231" s="23">
        <f>SUM(V229:V230)</f>
        <v>0</v>
      </c>
    </row>
    <row r="232" spans="1:22" ht="15" customHeight="1" x14ac:dyDescent="0.25">
      <c r="C232" s="4"/>
      <c r="D232" s="3"/>
      <c r="E232" s="3"/>
      <c r="F232" s="3"/>
      <c r="G232" s="4"/>
      <c r="H232" s="4"/>
      <c r="I232" s="4"/>
      <c r="M232" s="49"/>
      <c r="N232" s="4"/>
      <c r="O232" s="4"/>
      <c r="P232" s="4"/>
      <c r="Q232" s="4"/>
      <c r="R232" s="4"/>
      <c r="S232" s="4"/>
      <c r="T232" s="4"/>
      <c r="U232" s="4"/>
      <c r="V232" s="4"/>
    </row>
    <row r="233" spans="1:22" x14ac:dyDescent="0.25">
      <c r="C233" s="4"/>
      <c r="D233" s="3"/>
      <c r="E233" s="3"/>
      <c r="F233" s="3"/>
      <c r="G233" s="4"/>
      <c r="H233" s="4"/>
      <c r="K233" s="162" t="s">
        <v>133</v>
      </c>
      <c r="L233" s="96">
        <f>(T235/G229)*100</f>
        <v>89</v>
      </c>
      <c r="M233" s="49"/>
      <c r="O233" s="4"/>
      <c r="P233" s="4"/>
      <c r="Q233" s="4"/>
      <c r="R233" s="4"/>
      <c r="S233" s="4"/>
    </row>
    <row r="234" spans="1:22" x14ac:dyDescent="0.25">
      <c r="C234" s="4"/>
      <c r="D234" s="3"/>
      <c r="E234" s="3"/>
      <c r="F234" s="3"/>
      <c r="G234" s="4"/>
      <c r="H234" s="4"/>
      <c r="K234" s="159" t="s">
        <v>134</v>
      </c>
      <c r="L234" s="97">
        <f>(S235/(E231)*100)</f>
        <v>95.566817555599286</v>
      </c>
      <c r="M234" s="49"/>
      <c r="R234" s="5" t="s">
        <v>11</v>
      </c>
      <c r="S234" s="5" t="s">
        <v>12</v>
      </c>
      <c r="T234" s="5" t="s">
        <v>0</v>
      </c>
    </row>
    <row r="235" spans="1:22" ht="15" customHeight="1" x14ac:dyDescent="0.25">
      <c r="C235" s="4"/>
      <c r="D235" s="3"/>
      <c r="E235" s="3"/>
      <c r="F235" s="3"/>
      <c r="G235" s="4"/>
      <c r="H235" s="4"/>
      <c r="K235" s="162" t="s">
        <v>135</v>
      </c>
      <c r="L235" s="96">
        <f>(R235/D231)*100</f>
        <v>81.174666829456115</v>
      </c>
      <c r="P235" s="4"/>
      <c r="Q235" s="5" t="s">
        <v>3</v>
      </c>
      <c r="R235" s="9">
        <f>T235*S235</f>
        <v>6914.5879999999997</v>
      </c>
      <c r="S235" s="9">
        <v>388.46</v>
      </c>
      <c r="T235" s="22">
        <f>G229*0.89</f>
        <v>17.8</v>
      </c>
    </row>
    <row r="236" spans="1:22" ht="17.25" x14ac:dyDescent="0.25">
      <c r="C236" s="4"/>
      <c r="D236" s="3"/>
      <c r="E236" s="3"/>
      <c r="F236" s="3"/>
      <c r="G236" s="4"/>
      <c r="H236" s="4"/>
      <c r="K236" s="159" t="s">
        <v>136</v>
      </c>
      <c r="L236" s="13">
        <f>(D231+I231+L231+P231+R231+V231)/R235</f>
        <v>8.0720760224614985</v>
      </c>
      <c r="O236" s="4"/>
      <c r="P236" s="4"/>
      <c r="S236" s="98"/>
      <c r="T236" s="3"/>
    </row>
    <row r="237" spans="1:22" ht="17.25" x14ac:dyDescent="0.25">
      <c r="C237" s="4"/>
      <c r="D237" s="3"/>
      <c r="E237" s="3"/>
      <c r="F237" s="3"/>
      <c r="G237" s="4"/>
      <c r="H237" s="4"/>
      <c r="I237" s="4"/>
      <c r="K237" s="163" t="s">
        <v>137</v>
      </c>
      <c r="L237" s="15">
        <f>(D231+I231+L231)/R235</f>
        <v>1.6104039749006014</v>
      </c>
      <c r="N237" s="163" t="s">
        <v>139</v>
      </c>
      <c r="O237" s="93">
        <f>G229/N231*1000</f>
        <v>0.39525691699604742</v>
      </c>
      <c r="P237" s="4"/>
      <c r="S237" s="4"/>
    </row>
    <row r="238" spans="1:22" ht="17.25" x14ac:dyDescent="0.25">
      <c r="C238" s="4"/>
      <c r="D238" s="3"/>
      <c r="E238" s="3"/>
      <c r="F238" s="3"/>
      <c r="G238" s="4"/>
      <c r="H238" s="4"/>
      <c r="I238" s="4"/>
      <c r="K238" s="164" t="s">
        <v>138</v>
      </c>
      <c r="L238" s="16">
        <f>(P231+V231)/R235</f>
        <v>6.4616720475608966</v>
      </c>
      <c r="M238" s="4"/>
      <c r="N238" s="4"/>
      <c r="O238" s="4"/>
      <c r="P238" s="4"/>
      <c r="U238" s="4"/>
      <c r="V238" s="4"/>
    </row>
    <row r="239" spans="1:22" x14ac:dyDescent="0.25">
      <c r="C239" s="6"/>
      <c r="D239"/>
      <c r="E239" s="3"/>
      <c r="F239" s="3"/>
      <c r="G239" s="4"/>
      <c r="H239" s="4"/>
      <c r="I239" s="4"/>
      <c r="K239" s="4"/>
      <c r="M239" s="4"/>
      <c r="P239" s="4"/>
      <c r="Q239" s="4"/>
      <c r="R239" s="4"/>
      <c r="S239" s="4"/>
      <c r="T239" s="4"/>
      <c r="U239" s="4"/>
      <c r="V239" s="4"/>
    </row>
    <row r="240" spans="1:22" x14ac:dyDescent="0.25">
      <c r="B240" s="4"/>
      <c r="C240" s="6" t="s">
        <v>26</v>
      </c>
      <c r="D240" s="98"/>
      <c r="E240" s="98"/>
      <c r="F240" s="98"/>
    </row>
    <row r="241" spans="1:22" ht="15" customHeight="1" x14ac:dyDescent="0.25">
      <c r="C241" s="17" t="s">
        <v>14</v>
      </c>
      <c r="D241" s="20" t="s">
        <v>21</v>
      </c>
      <c r="E241" s="20" t="s">
        <v>94</v>
      </c>
      <c r="F241" s="17" t="s">
        <v>13</v>
      </c>
      <c r="G241" s="17" t="s">
        <v>15</v>
      </c>
      <c r="H241" s="18" t="s">
        <v>1</v>
      </c>
      <c r="I241" s="19" t="s">
        <v>25</v>
      </c>
      <c r="J241" s="17" t="s">
        <v>2</v>
      </c>
      <c r="K241" s="20" t="s">
        <v>94</v>
      </c>
      <c r="L241" s="20" t="s">
        <v>22</v>
      </c>
      <c r="M241" s="19" t="s">
        <v>8</v>
      </c>
      <c r="N241" s="19" t="s">
        <v>16</v>
      </c>
      <c r="O241" s="19" t="s">
        <v>17</v>
      </c>
      <c r="P241" s="19" t="s">
        <v>18</v>
      </c>
      <c r="Q241" s="20" t="s">
        <v>10</v>
      </c>
      <c r="R241" s="20" t="s">
        <v>23</v>
      </c>
      <c r="S241" s="19" t="s">
        <v>9</v>
      </c>
      <c r="T241" s="19" t="s">
        <v>19</v>
      </c>
      <c r="U241" s="19" t="s">
        <v>20</v>
      </c>
      <c r="V241" s="19" t="s">
        <v>24</v>
      </c>
    </row>
    <row r="242" spans="1:22" x14ac:dyDescent="0.25">
      <c r="A242" s="6" t="s">
        <v>197</v>
      </c>
      <c r="C242" s="172">
        <v>20</v>
      </c>
      <c r="D242" s="56">
        <f>G242*E242</f>
        <v>15494.6</v>
      </c>
      <c r="E242" s="8">
        <v>774.73</v>
      </c>
      <c r="F242" s="8">
        <v>1</v>
      </c>
      <c r="G242" s="11">
        <v>20</v>
      </c>
      <c r="H242" s="7"/>
      <c r="I242" s="7"/>
      <c r="J242" s="8" t="s">
        <v>37</v>
      </c>
      <c r="K242" s="8">
        <v>118.96</v>
      </c>
      <c r="L242" s="46">
        <f>G243*K242</f>
        <v>2617.12</v>
      </c>
      <c r="M242" s="42" t="s">
        <v>27</v>
      </c>
      <c r="N242" s="45">
        <v>50600</v>
      </c>
      <c r="O242" s="1">
        <v>0.88300000000000001</v>
      </c>
      <c r="P242" s="11">
        <f>N242*O242</f>
        <v>44679.8</v>
      </c>
      <c r="Q242" s="8"/>
      <c r="R242" s="8"/>
      <c r="S242" s="7"/>
      <c r="T242" s="7"/>
      <c r="U242" s="7"/>
      <c r="V242" s="11">
        <f>T242*U242</f>
        <v>0</v>
      </c>
    </row>
    <row r="243" spans="1:22" x14ac:dyDescent="0.25">
      <c r="C243" s="69">
        <v>2</v>
      </c>
      <c r="D243" s="8">
        <f>G243*E243</f>
        <v>6894.14</v>
      </c>
      <c r="E243" s="8">
        <v>313.37</v>
      </c>
      <c r="F243" s="8">
        <v>1.1000000000000001</v>
      </c>
      <c r="G243" s="11">
        <f>G242*F243</f>
        <v>22</v>
      </c>
      <c r="H243" s="1"/>
      <c r="I243" s="1"/>
      <c r="J243" s="25"/>
      <c r="K243" s="26"/>
      <c r="L243" s="46"/>
      <c r="M243" s="42"/>
      <c r="N243" s="2"/>
      <c r="O243" s="1"/>
      <c r="P243" s="11"/>
      <c r="Q243" s="8"/>
      <c r="R243" s="8"/>
      <c r="S243" s="7"/>
      <c r="T243" s="7"/>
      <c r="U243" s="7"/>
      <c r="V243" s="11">
        <f>T243*U243</f>
        <v>0</v>
      </c>
    </row>
    <row r="244" spans="1:22" x14ac:dyDescent="0.25">
      <c r="C244" s="10" t="s">
        <v>4</v>
      </c>
      <c r="D244" s="11">
        <f>SUM(D242:D243)</f>
        <v>22388.74</v>
      </c>
      <c r="E244" s="11">
        <f>SUM(E242:E243)</f>
        <v>1088.0999999999999</v>
      </c>
      <c r="F244" s="10"/>
      <c r="G244" s="165">
        <f>SUM(G242:G243)</f>
        <v>42</v>
      </c>
      <c r="I244" s="23">
        <f>SUM(I242:I243)</f>
        <v>0</v>
      </c>
      <c r="L244" s="47">
        <f>SUM(L242:L243)</f>
        <v>2617.12</v>
      </c>
      <c r="N244" s="89">
        <f>SUM(N242:N243)</f>
        <v>50600</v>
      </c>
      <c r="P244" s="23">
        <f>SUM(P242:P243)</f>
        <v>44679.8</v>
      </c>
      <c r="R244" s="23">
        <f>SUM(R242:R243)</f>
        <v>0</v>
      </c>
      <c r="V244" s="23">
        <f>SUM(V242:V243)</f>
        <v>0</v>
      </c>
    </row>
    <row r="245" spans="1:22" x14ac:dyDescent="0.25">
      <c r="C245" s="4"/>
      <c r="D245" s="3"/>
      <c r="E245" s="3"/>
      <c r="F245" s="3"/>
      <c r="G245" s="4"/>
      <c r="H245" s="4"/>
      <c r="I245" s="4"/>
      <c r="M245" s="49"/>
      <c r="N245" s="4"/>
      <c r="O245" s="4"/>
      <c r="P245" s="4"/>
      <c r="Q245" s="4"/>
      <c r="R245" s="4"/>
      <c r="S245" s="4"/>
      <c r="T245" s="4"/>
      <c r="U245" s="4"/>
      <c r="V245" s="4"/>
    </row>
    <row r="246" spans="1:22" x14ac:dyDescent="0.25">
      <c r="C246" s="4"/>
      <c r="D246" s="3"/>
      <c r="E246" s="3"/>
      <c r="F246" s="3"/>
      <c r="G246" s="4"/>
      <c r="H246" s="4"/>
      <c r="K246" s="162" t="s">
        <v>133</v>
      </c>
      <c r="L246" s="96">
        <f>(T248/G242)*100</f>
        <v>84.000000000000014</v>
      </c>
      <c r="M246" s="49"/>
      <c r="O246" s="4"/>
      <c r="P246" s="4"/>
      <c r="Q246" s="4"/>
      <c r="R246" s="4"/>
      <c r="S246" s="4"/>
    </row>
    <row r="247" spans="1:22" ht="15" customHeight="1" x14ac:dyDescent="0.25">
      <c r="C247" s="4"/>
      <c r="D247" s="3"/>
      <c r="E247" s="3"/>
      <c r="F247" s="3"/>
      <c r="G247" s="4"/>
      <c r="H247" s="4"/>
      <c r="K247" s="159" t="s">
        <v>134</v>
      </c>
      <c r="L247" s="97">
        <f>(S248/(E244)*100)</f>
        <v>82.518150905247694</v>
      </c>
      <c r="M247" s="49"/>
      <c r="R247" s="5" t="s">
        <v>11</v>
      </c>
      <c r="S247" s="5" t="s">
        <v>12</v>
      </c>
      <c r="T247" s="5" t="s">
        <v>0</v>
      </c>
    </row>
    <row r="248" spans="1:22" x14ac:dyDescent="0.25">
      <c r="C248" s="4"/>
      <c r="D248" s="3"/>
      <c r="E248" s="3"/>
      <c r="F248" s="3"/>
      <c r="G248" s="4"/>
      <c r="H248" s="4"/>
      <c r="K248" s="162" t="s">
        <v>135</v>
      </c>
      <c r="L248" s="96">
        <f>(R248/D244)*100</f>
        <v>67.374867902347333</v>
      </c>
      <c r="P248" s="4"/>
      <c r="Q248" s="5" t="s">
        <v>3</v>
      </c>
      <c r="R248" s="9">
        <f>T248*S248</f>
        <v>15084.384</v>
      </c>
      <c r="S248" s="9">
        <v>897.88</v>
      </c>
      <c r="T248" s="22">
        <f>G242*0.84</f>
        <v>16.8</v>
      </c>
    </row>
    <row r="249" spans="1:22" ht="17.25" x14ac:dyDescent="0.25">
      <c r="C249" s="4"/>
      <c r="D249" s="3"/>
      <c r="E249" s="3"/>
      <c r="F249" s="3"/>
      <c r="G249" s="4"/>
      <c r="H249" s="4"/>
      <c r="K249" s="159" t="s">
        <v>136</v>
      </c>
      <c r="L249" s="13">
        <f>(D244+I244+L244+P244+R244+V244)/R248</f>
        <v>4.6197219588151563</v>
      </c>
      <c r="O249" s="4"/>
      <c r="P249" s="4"/>
      <c r="S249" s="98"/>
      <c r="T249" s="3"/>
    </row>
    <row r="250" spans="1:22" ht="17.25" x14ac:dyDescent="0.25">
      <c r="C250" s="4"/>
      <c r="D250" s="3"/>
      <c r="E250" s="3"/>
      <c r="F250" s="3"/>
      <c r="G250" s="4"/>
      <c r="H250" s="4"/>
      <c r="I250" s="4"/>
      <c r="K250" s="163" t="s">
        <v>137</v>
      </c>
      <c r="L250" s="15">
        <f>(D244+I244+L244)/R248</f>
        <v>1.6577315984530758</v>
      </c>
      <c r="N250" s="163" t="s">
        <v>139</v>
      </c>
      <c r="O250" s="93">
        <f>G242/N244*1000</f>
        <v>0.39525691699604742</v>
      </c>
      <c r="P250" s="4"/>
      <c r="S250" s="4"/>
    </row>
    <row r="251" spans="1:22" ht="17.25" x14ac:dyDescent="0.25">
      <c r="C251" s="4"/>
      <c r="D251" s="3"/>
      <c r="E251" s="3"/>
      <c r="F251" s="3"/>
      <c r="G251" s="4"/>
      <c r="H251" s="4"/>
      <c r="I251" s="4"/>
      <c r="K251" s="164" t="s">
        <v>138</v>
      </c>
      <c r="L251" s="16">
        <f>(P244+V244)/R248</f>
        <v>2.9619903603620807</v>
      </c>
      <c r="M251" s="4"/>
      <c r="N251" s="4"/>
      <c r="O251" s="4"/>
      <c r="P251" s="4"/>
      <c r="U251" s="4"/>
      <c r="V251" s="4"/>
    </row>
    <row r="252" spans="1:22" x14ac:dyDescent="0.25">
      <c r="C252" s="6"/>
      <c r="D252"/>
      <c r="E252" s="3"/>
      <c r="F252" s="3"/>
      <c r="G252" s="4"/>
      <c r="H252" s="4"/>
      <c r="I252" s="4"/>
      <c r="K252" s="4"/>
      <c r="M252" s="4"/>
      <c r="P252" s="4"/>
      <c r="Q252" s="4"/>
      <c r="R252" s="4"/>
      <c r="S252" s="4"/>
      <c r="T252" s="4"/>
      <c r="U252" s="4"/>
      <c r="V252" s="4"/>
    </row>
    <row r="253" spans="1:22" s="180" customFormat="1" ht="16.5" x14ac:dyDescent="0.3">
      <c r="A253" s="184" t="s">
        <v>156</v>
      </c>
      <c r="D253" s="169"/>
      <c r="E253" s="169"/>
      <c r="F253" s="169"/>
    </row>
    <row r="254" spans="1:22" x14ac:dyDescent="0.25">
      <c r="B254" s="4"/>
      <c r="C254" s="6" t="s">
        <v>26</v>
      </c>
      <c r="D254" s="98"/>
      <c r="E254" s="98"/>
      <c r="F254" s="98"/>
    </row>
    <row r="255" spans="1:22" ht="34.5" x14ac:dyDescent="0.25">
      <c r="C255" s="17" t="s">
        <v>14</v>
      </c>
      <c r="D255" s="20" t="s">
        <v>21</v>
      </c>
      <c r="E255" s="20" t="s">
        <v>94</v>
      </c>
      <c r="F255" s="17" t="s">
        <v>13</v>
      </c>
      <c r="G255" s="17" t="s">
        <v>15</v>
      </c>
      <c r="H255" s="18" t="s">
        <v>1</v>
      </c>
      <c r="I255" s="19" t="s">
        <v>25</v>
      </c>
      <c r="J255" s="17" t="s">
        <v>2</v>
      </c>
      <c r="K255" s="20" t="s">
        <v>94</v>
      </c>
      <c r="L255" s="20" t="s">
        <v>22</v>
      </c>
      <c r="M255" s="19" t="s">
        <v>8</v>
      </c>
      <c r="N255" s="19" t="s">
        <v>16</v>
      </c>
      <c r="O255" s="19" t="s">
        <v>17</v>
      </c>
      <c r="P255" s="19" t="s">
        <v>18</v>
      </c>
      <c r="Q255" s="20" t="s">
        <v>10</v>
      </c>
      <c r="R255" s="20" t="s">
        <v>23</v>
      </c>
      <c r="S255" s="19" t="s">
        <v>9</v>
      </c>
      <c r="T255" s="19" t="s">
        <v>19</v>
      </c>
      <c r="U255" s="19" t="s">
        <v>20</v>
      </c>
      <c r="V255" s="19" t="s">
        <v>24</v>
      </c>
    </row>
    <row r="256" spans="1:22" x14ac:dyDescent="0.25">
      <c r="A256" s="6" t="s">
        <v>184</v>
      </c>
      <c r="C256" s="176" t="s">
        <v>57</v>
      </c>
      <c r="D256" s="56">
        <f>G256*E256</f>
        <v>4244</v>
      </c>
      <c r="E256" s="8">
        <v>212.2</v>
      </c>
      <c r="F256" s="8">
        <v>1</v>
      </c>
      <c r="G256" s="11">
        <v>20</v>
      </c>
      <c r="H256" s="7"/>
      <c r="I256" s="7"/>
      <c r="J256" s="8" t="s">
        <v>48</v>
      </c>
      <c r="K256" s="8">
        <v>126.92</v>
      </c>
      <c r="L256" s="46">
        <f>G257*K256</f>
        <v>2792.2400000000002</v>
      </c>
      <c r="M256" s="42" t="s">
        <v>27</v>
      </c>
      <c r="N256" s="45">
        <v>50600</v>
      </c>
      <c r="O256" s="1">
        <v>0.88300000000000001</v>
      </c>
      <c r="P256" s="11">
        <f>N256*O256</f>
        <v>44679.8</v>
      </c>
      <c r="Q256" s="8"/>
      <c r="R256" s="8"/>
      <c r="S256" s="7"/>
      <c r="T256" s="7"/>
      <c r="U256" s="7"/>
      <c r="V256" s="11">
        <f>T256*U256</f>
        <v>0</v>
      </c>
    </row>
    <row r="257" spans="1:22" x14ac:dyDescent="0.25">
      <c r="C257" s="8" t="s">
        <v>59</v>
      </c>
      <c r="D257" s="8">
        <f>G257*E257</f>
        <v>4274.16</v>
      </c>
      <c r="E257" s="8">
        <v>194.28</v>
      </c>
      <c r="F257" s="8">
        <v>1.1000000000000001</v>
      </c>
      <c r="G257" s="11">
        <f>G256*1.1</f>
        <v>22</v>
      </c>
      <c r="H257" s="1"/>
      <c r="I257" s="1"/>
      <c r="J257" s="25"/>
      <c r="K257" s="26"/>
      <c r="L257" s="46"/>
      <c r="M257" s="42"/>
      <c r="N257" s="2"/>
      <c r="O257" s="1"/>
      <c r="P257" s="11"/>
      <c r="Q257" s="8"/>
      <c r="R257" s="8"/>
      <c r="S257" s="7"/>
      <c r="T257" s="7"/>
      <c r="U257" s="7"/>
      <c r="V257" s="11">
        <f>T257*U257</f>
        <v>0</v>
      </c>
    </row>
    <row r="258" spans="1:22" x14ac:dyDescent="0.25">
      <c r="C258" s="10" t="s">
        <v>4</v>
      </c>
      <c r="D258" s="11">
        <f>SUM(D256:D257)</f>
        <v>8518.16</v>
      </c>
      <c r="E258" s="11">
        <f>SUM(E256:E257)</f>
        <v>406.48</v>
      </c>
      <c r="F258" s="10"/>
      <c r="G258" s="165">
        <f>SUM(G256:G257)</f>
        <v>42</v>
      </c>
      <c r="I258" s="23">
        <f>SUM(I256:I257)</f>
        <v>0</v>
      </c>
      <c r="L258" s="47">
        <f>SUM(L256:L257)</f>
        <v>2792.2400000000002</v>
      </c>
      <c r="N258" s="89">
        <f>SUM(N256:N257)</f>
        <v>50600</v>
      </c>
      <c r="P258" s="23">
        <f>SUM(P256:P257)</f>
        <v>44679.8</v>
      </c>
      <c r="R258" s="23">
        <f>SUM(R256:R257)</f>
        <v>0</v>
      </c>
      <c r="V258" s="23">
        <f>SUM(V256:V257)</f>
        <v>0</v>
      </c>
    </row>
    <row r="259" spans="1:22" x14ac:dyDescent="0.25">
      <c r="C259" s="4"/>
      <c r="D259" s="3"/>
      <c r="E259" s="3"/>
      <c r="F259" s="3"/>
      <c r="G259" s="4"/>
      <c r="H259" s="4"/>
      <c r="I259" s="4"/>
      <c r="M259" s="49"/>
      <c r="N259" s="4"/>
      <c r="O259" s="4"/>
      <c r="P259" s="4"/>
      <c r="Q259" s="4"/>
      <c r="R259" s="4"/>
      <c r="S259" s="4"/>
      <c r="T259" s="4"/>
      <c r="U259" s="4"/>
      <c r="V259" s="4"/>
    </row>
    <row r="260" spans="1:22" x14ac:dyDescent="0.25">
      <c r="C260" s="4"/>
      <c r="D260" s="3"/>
      <c r="E260" s="3"/>
      <c r="F260" s="3"/>
      <c r="G260" s="4"/>
      <c r="H260" s="4"/>
      <c r="K260" s="162" t="s">
        <v>133</v>
      </c>
      <c r="L260" s="96">
        <f>(T262/G256)*100</f>
        <v>89</v>
      </c>
      <c r="M260" s="49"/>
      <c r="O260" s="4"/>
      <c r="P260" s="4"/>
      <c r="Q260" s="4"/>
      <c r="R260" s="4"/>
      <c r="S260" s="4"/>
    </row>
    <row r="261" spans="1:22" x14ac:dyDescent="0.25">
      <c r="C261" s="4"/>
      <c r="D261" s="3"/>
      <c r="E261" s="3"/>
      <c r="F261" s="3"/>
      <c r="G261" s="4"/>
      <c r="H261" s="4"/>
      <c r="K261" s="159" t="s">
        <v>134</v>
      </c>
      <c r="L261" s="97">
        <f>(S262/(E258)*100)</f>
        <v>95.566817555599286</v>
      </c>
      <c r="M261" s="49"/>
      <c r="R261" s="5" t="s">
        <v>11</v>
      </c>
      <c r="S261" s="5" t="s">
        <v>12</v>
      </c>
      <c r="T261" s="5" t="s">
        <v>0</v>
      </c>
    </row>
    <row r="262" spans="1:22" x14ac:dyDescent="0.25">
      <c r="C262" s="4"/>
      <c r="D262" s="3"/>
      <c r="E262" s="3"/>
      <c r="F262" s="3"/>
      <c r="G262" s="4"/>
      <c r="H262" s="4"/>
      <c r="K262" s="162" t="s">
        <v>135</v>
      </c>
      <c r="L262" s="96">
        <f>(R262/D258)*100</f>
        <v>81.174666829456115</v>
      </c>
      <c r="P262" s="4"/>
      <c r="Q262" s="5" t="s">
        <v>3</v>
      </c>
      <c r="R262" s="9">
        <f>T262*S262</f>
        <v>6914.5879999999997</v>
      </c>
      <c r="S262" s="9">
        <v>388.46</v>
      </c>
      <c r="T262" s="22">
        <f>G256*0.89</f>
        <v>17.8</v>
      </c>
    </row>
    <row r="263" spans="1:22" ht="17.25" x14ac:dyDescent="0.25">
      <c r="C263" s="4"/>
      <c r="D263" s="3"/>
      <c r="E263" s="3"/>
      <c r="F263" s="3"/>
      <c r="G263" s="4"/>
      <c r="H263" s="4"/>
      <c r="K263" s="159" t="s">
        <v>136</v>
      </c>
      <c r="L263" s="13">
        <f>(D258+I258+L258+P258+R258+V258)/R262</f>
        <v>8.0974021879539322</v>
      </c>
      <c r="O263" s="4"/>
      <c r="P263" s="4"/>
      <c r="S263" s="98"/>
      <c r="T263" s="3"/>
    </row>
    <row r="264" spans="1:22" ht="17.25" x14ac:dyDescent="0.25">
      <c r="C264" s="4"/>
      <c r="D264" s="3"/>
      <c r="E264" s="3"/>
      <c r="F264" s="3"/>
      <c r="G264" s="4"/>
      <c r="H264" s="4"/>
      <c r="I264" s="4"/>
      <c r="K264" s="163" t="s">
        <v>137</v>
      </c>
      <c r="L264" s="15">
        <f>(D258+I258+L258)/R262</f>
        <v>1.6357301403930358</v>
      </c>
      <c r="N264" s="163" t="s">
        <v>139</v>
      </c>
      <c r="O264" s="14">
        <f>G256/N258*1000</f>
        <v>0.39525691699604742</v>
      </c>
      <c r="P264" s="4"/>
      <c r="S264" s="4"/>
    </row>
    <row r="265" spans="1:22" ht="17.25" x14ac:dyDescent="0.25">
      <c r="C265" s="4"/>
      <c r="D265" s="3"/>
      <c r="E265" s="3"/>
      <c r="F265" s="3"/>
      <c r="G265" s="4"/>
      <c r="H265" s="4"/>
      <c r="I265" s="4"/>
      <c r="K265" s="164" t="s">
        <v>138</v>
      </c>
      <c r="L265" s="16">
        <f>(P258+V258)/R262</f>
        <v>6.4616720475608966</v>
      </c>
      <c r="M265" s="4"/>
      <c r="N265" s="4"/>
      <c r="O265" s="4"/>
      <c r="P265" s="4"/>
      <c r="U265" s="4"/>
      <c r="V265" s="4"/>
    </row>
    <row r="266" spans="1:22" x14ac:dyDescent="0.25">
      <c r="C266" s="6"/>
      <c r="D266"/>
      <c r="E266" s="3"/>
      <c r="F266" s="3"/>
      <c r="G266" s="4"/>
      <c r="H266" s="4"/>
      <c r="I266" s="4"/>
      <c r="K266" s="4"/>
      <c r="M266" s="4"/>
      <c r="P266" s="4"/>
      <c r="Q266" s="4"/>
      <c r="R266" s="4"/>
      <c r="S266" s="4"/>
      <c r="T266" s="4"/>
      <c r="U266" s="4"/>
      <c r="V266" s="4"/>
    </row>
    <row r="267" spans="1:22" x14ac:dyDescent="0.25">
      <c r="B267" s="4"/>
      <c r="C267" s="6" t="s">
        <v>26</v>
      </c>
      <c r="D267" s="98"/>
      <c r="E267" s="98"/>
      <c r="F267" s="98"/>
    </row>
    <row r="268" spans="1:22" ht="34.5" x14ac:dyDescent="0.25">
      <c r="C268" s="17" t="s">
        <v>14</v>
      </c>
      <c r="D268" s="20" t="s">
        <v>21</v>
      </c>
      <c r="E268" s="20" t="s">
        <v>94</v>
      </c>
      <c r="F268" s="17" t="s">
        <v>13</v>
      </c>
      <c r="G268" s="17" t="s">
        <v>15</v>
      </c>
      <c r="H268" s="18" t="s">
        <v>1</v>
      </c>
      <c r="I268" s="19" t="s">
        <v>25</v>
      </c>
      <c r="J268" s="17" t="s">
        <v>2</v>
      </c>
      <c r="K268" s="20" t="s">
        <v>94</v>
      </c>
      <c r="L268" s="20" t="s">
        <v>22</v>
      </c>
      <c r="M268" s="19" t="s">
        <v>8</v>
      </c>
      <c r="N268" s="19" t="s">
        <v>16</v>
      </c>
      <c r="O268" s="19" t="s">
        <v>17</v>
      </c>
      <c r="P268" s="19" t="s">
        <v>18</v>
      </c>
      <c r="Q268" s="20" t="s">
        <v>10</v>
      </c>
      <c r="R268" s="20" t="s">
        <v>23</v>
      </c>
      <c r="S268" s="19" t="s">
        <v>9</v>
      </c>
      <c r="T268" s="19" t="s">
        <v>19</v>
      </c>
      <c r="U268" s="19" t="s">
        <v>20</v>
      </c>
      <c r="V268" s="19" t="s">
        <v>24</v>
      </c>
    </row>
    <row r="269" spans="1:22" x14ac:dyDescent="0.25">
      <c r="A269" s="6" t="s">
        <v>197</v>
      </c>
      <c r="C269" s="172">
        <v>20</v>
      </c>
      <c r="D269" s="56">
        <f>G269*E269</f>
        <v>15494.6</v>
      </c>
      <c r="E269" s="8">
        <v>774.73</v>
      </c>
      <c r="F269" s="8">
        <v>1</v>
      </c>
      <c r="G269" s="11">
        <v>20</v>
      </c>
      <c r="H269" s="7"/>
      <c r="I269" s="7"/>
      <c r="J269" s="8" t="s">
        <v>48</v>
      </c>
      <c r="K269" s="8">
        <v>126.92</v>
      </c>
      <c r="L269" s="46">
        <f>G270*K269</f>
        <v>2792.2400000000002</v>
      </c>
      <c r="M269" s="42" t="s">
        <v>27</v>
      </c>
      <c r="N269" s="45">
        <v>50600</v>
      </c>
      <c r="O269" s="1">
        <v>0.88300000000000001</v>
      </c>
      <c r="P269" s="11">
        <f>N269*O269</f>
        <v>44679.8</v>
      </c>
      <c r="Q269" s="8"/>
      <c r="R269" s="8"/>
      <c r="S269" s="7"/>
      <c r="T269" s="7"/>
      <c r="U269" s="7"/>
      <c r="V269" s="11">
        <f>T269*U269</f>
        <v>0</v>
      </c>
    </row>
    <row r="270" spans="1:22" x14ac:dyDescent="0.25">
      <c r="C270" s="69">
        <v>2</v>
      </c>
      <c r="D270" s="8">
        <f>G270*E270</f>
        <v>6894.14</v>
      </c>
      <c r="E270" s="8">
        <v>313.37</v>
      </c>
      <c r="F270" s="8">
        <v>1.1000000000000001</v>
      </c>
      <c r="G270" s="11">
        <f>G269*F270</f>
        <v>22</v>
      </c>
      <c r="H270" s="1"/>
      <c r="I270" s="1"/>
      <c r="J270" s="25"/>
      <c r="K270" s="26"/>
      <c r="L270" s="46"/>
      <c r="M270" s="42"/>
      <c r="N270" s="2"/>
      <c r="O270" s="1"/>
      <c r="P270" s="11"/>
      <c r="Q270" s="8"/>
      <c r="R270" s="8"/>
      <c r="S270" s="7"/>
      <c r="T270" s="7"/>
      <c r="U270" s="7"/>
      <c r="V270" s="11">
        <f>T270*U270</f>
        <v>0</v>
      </c>
    </row>
    <row r="271" spans="1:22" x14ac:dyDescent="0.25">
      <c r="C271" s="10" t="s">
        <v>4</v>
      </c>
      <c r="D271" s="11">
        <f>SUM(D269:D270)</f>
        <v>22388.74</v>
      </c>
      <c r="E271" s="11">
        <f>SUM(E269:E270)</f>
        <v>1088.0999999999999</v>
      </c>
      <c r="F271" s="10"/>
      <c r="G271" s="165">
        <f>SUM(G269:G270)</f>
        <v>42</v>
      </c>
      <c r="I271" s="23">
        <f>SUM(I269:I270)</f>
        <v>0</v>
      </c>
      <c r="L271" s="47">
        <f>SUM(L269:L270)</f>
        <v>2792.2400000000002</v>
      </c>
      <c r="N271" s="89">
        <f>SUM(N269:N270)</f>
        <v>50600</v>
      </c>
      <c r="P271" s="23">
        <f>SUM(P269:P270)</f>
        <v>44679.8</v>
      </c>
      <c r="R271" s="23">
        <f>SUM(R269:R270)</f>
        <v>0</v>
      </c>
      <c r="V271" s="23">
        <f>SUM(V269:V270)</f>
        <v>0</v>
      </c>
    </row>
    <row r="272" spans="1:22" x14ac:dyDescent="0.25">
      <c r="C272" s="4"/>
      <c r="D272" s="3"/>
      <c r="E272" s="3"/>
      <c r="F272" s="3"/>
      <c r="G272" s="4"/>
      <c r="H272" s="4"/>
      <c r="I272" s="4"/>
      <c r="M272" s="49"/>
      <c r="N272" s="4"/>
      <c r="O272" s="4"/>
      <c r="P272" s="4"/>
      <c r="Q272" s="4"/>
      <c r="R272" s="4"/>
      <c r="S272" s="4"/>
      <c r="T272" s="4"/>
      <c r="U272" s="4"/>
      <c r="V272" s="4"/>
    </row>
    <row r="273" spans="1:22" x14ac:dyDescent="0.25">
      <c r="C273" s="4"/>
      <c r="D273" s="3"/>
      <c r="E273" s="3"/>
      <c r="F273" s="3"/>
      <c r="G273" s="4"/>
      <c r="H273" s="4"/>
      <c r="K273" s="162" t="s">
        <v>133</v>
      </c>
      <c r="L273" s="96">
        <f>(T275/G269)*100</f>
        <v>84.000000000000014</v>
      </c>
      <c r="M273" s="49"/>
      <c r="O273" s="4"/>
      <c r="P273" s="4"/>
      <c r="Q273" s="4"/>
      <c r="R273" s="4"/>
      <c r="S273" s="4"/>
    </row>
    <row r="274" spans="1:22" x14ac:dyDescent="0.25">
      <c r="C274" s="4"/>
      <c r="D274" s="3"/>
      <c r="E274" s="3"/>
      <c r="F274" s="3"/>
      <c r="G274" s="4"/>
      <c r="H274" s="4"/>
      <c r="K274" s="159" t="s">
        <v>134</v>
      </c>
      <c r="L274" s="97">
        <f>(S275/(E271)*100)</f>
        <v>82.518150905247694</v>
      </c>
      <c r="M274" s="49"/>
      <c r="R274" s="5" t="s">
        <v>11</v>
      </c>
      <c r="S274" s="5" t="s">
        <v>12</v>
      </c>
      <c r="T274" s="5" t="s">
        <v>0</v>
      </c>
    </row>
    <row r="275" spans="1:22" x14ac:dyDescent="0.25">
      <c r="C275" s="4"/>
      <c r="D275" s="3"/>
      <c r="E275" s="3"/>
      <c r="F275" s="3"/>
      <c r="G275" s="4"/>
      <c r="H275" s="4"/>
      <c r="K275" s="162" t="s">
        <v>135</v>
      </c>
      <c r="L275" s="96">
        <f>(R275/D271)*100</f>
        <v>67.374867902347333</v>
      </c>
      <c r="P275" s="4"/>
      <c r="Q275" s="5" t="s">
        <v>3</v>
      </c>
      <c r="R275" s="9">
        <f>T275*S275</f>
        <v>15084.384</v>
      </c>
      <c r="S275" s="9">
        <v>897.88</v>
      </c>
      <c r="T275" s="22">
        <f>G269*0.84</f>
        <v>16.8</v>
      </c>
    </row>
    <row r="276" spans="1:22" ht="17.25" x14ac:dyDescent="0.25">
      <c r="C276" s="4"/>
      <c r="D276" s="3"/>
      <c r="E276" s="3"/>
      <c r="F276" s="3"/>
      <c r="G276" s="4"/>
      <c r="H276" s="4"/>
      <c r="K276" s="159" t="s">
        <v>136</v>
      </c>
      <c r="L276" s="13">
        <f>(D271+I271+L271+P271+R271+V271)/R275</f>
        <v>4.6313313158827034</v>
      </c>
      <c r="O276" s="4"/>
      <c r="P276" s="4"/>
      <c r="S276" s="98"/>
      <c r="T276" s="3"/>
    </row>
    <row r="277" spans="1:22" ht="17.25" x14ac:dyDescent="0.25">
      <c r="C277" s="4"/>
      <c r="D277" s="3"/>
      <c r="E277" s="3"/>
      <c r="F277" s="3"/>
      <c r="G277" s="4"/>
      <c r="H277" s="4"/>
      <c r="I277" s="4"/>
      <c r="K277" s="163" t="s">
        <v>137</v>
      </c>
      <c r="L277" s="15">
        <f>(D271+I271+L271)/R275</f>
        <v>1.6693409555206233</v>
      </c>
      <c r="N277" s="163" t="s">
        <v>139</v>
      </c>
      <c r="O277" s="14">
        <f>G269/N271*1000</f>
        <v>0.39525691699604742</v>
      </c>
      <c r="P277" s="4"/>
      <c r="S277" s="4"/>
    </row>
    <row r="278" spans="1:22" ht="17.25" x14ac:dyDescent="0.25">
      <c r="C278" s="4"/>
      <c r="D278" s="3"/>
      <c r="E278" s="3"/>
      <c r="F278" s="3"/>
      <c r="G278" s="4"/>
      <c r="H278" s="4"/>
      <c r="I278" s="4"/>
      <c r="K278" s="164" t="s">
        <v>138</v>
      </c>
      <c r="L278" s="16">
        <f>(P271+V271)/R275</f>
        <v>2.9619903603620807</v>
      </c>
      <c r="M278" s="4"/>
      <c r="N278" s="4"/>
      <c r="O278" s="4"/>
      <c r="P278" s="4"/>
      <c r="U278" s="4"/>
      <c r="V278" s="4"/>
    </row>
    <row r="279" spans="1:22" x14ac:dyDescent="0.25">
      <c r="C279" s="6"/>
      <c r="D279"/>
      <c r="E279" s="3"/>
      <c r="F279" s="3"/>
      <c r="G279" s="4"/>
      <c r="H279" s="4"/>
      <c r="I279" s="4"/>
      <c r="K279" s="4"/>
      <c r="M279" s="4"/>
      <c r="P279" s="4"/>
      <c r="Q279" s="4"/>
      <c r="R279" s="4"/>
      <c r="S279" s="4"/>
      <c r="T279" s="4"/>
      <c r="U279" s="4"/>
      <c r="V279" s="4"/>
    </row>
    <row r="280" spans="1:22" x14ac:dyDescent="0.25">
      <c r="C280" s="6"/>
      <c r="D280"/>
      <c r="E280" s="3"/>
      <c r="F280" s="3"/>
      <c r="G280" s="4"/>
      <c r="H280" s="4"/>
      <c r="I280" s="4"/>
      <c r="M280" s="4"/>
      <c r="N280" s="4"/>
      <c r="O280" s="4"/>
      <c r="P280" s="4"/>
      <c r="Q280" s="4"/>
      <c r="R280" s="4"/>
      <c r="S280" s="4"/>
      <c r="T280" s="4"/>
      <c r="U280" s="4"/>
      <c r="V280" s="4"/>
    </row>
    <row r="281" spans="1:22" x14ac:dyDescent="0.25">
      <c r="A281" s="167" t="s">
        <v>155</v>
      </c>
      <c r="B281" s="29"/>
      <c r="C281" s="29"/>
      <c r="D281" s="30"/>
      <c r="E281" s="30"/>
      <c r="F281" s="30"/>
      <c r="G281" s="29"/>
      <c r="H281" s="29"/>
      <c r="I281" s="29"/>
      <c r="J281" s="29"/>
      <c r="K281" s="29"/>
      <c r="L281" s="29"/>
      <c r="M281" s="29"/>
      <c r="N281" s="29"/>
      <c r="O281" s="29"/>
      <c r="P281" s="29"/>
      <c r="Q281" s="29"/>
      <c r="R281" s="29"/>
      <c r="S281" s="29"/>
      <c r="T281" s="29"/>
      <c r="U281" s="29"/>
      <c r="V281" s="29"/>
    </row>
    <row r="282" spans="1:22" ht="15" customHeight="1" x14ac:dyDescent="0.25">
      <c r="B282" s="4"/>
      <c r="C282" s="6" t="s">
        <v>26</v>
      </c>
      <c r="D282" s="98"/>
      <c r="E282" s="98"/>
      <c r="F282" s="98"/>
    </row>
    <row r="283" spans="1:22" ht="34.5" x14ac:dyDescent="0.25">
      <c r="C283" s="17" t="s">
        <v>14</v>
      </c>
      <c r="D283" s="20" t="s">
        <v>21</v>
      </c>
      <c r="E283" s="20" t="s">
        <v>94</v>
      </c>
      <c r="F283" s="17" t="s">
        <v>13</v>
      </c>
      <c r="G283" s="17" t="s">
        <v>15</v>
      </c>
      <c r="H283" s="18" t="s">
        <v>1</v>
      </c>
      <c r="I283" s="19" t="s">
        <v>25</v>
      </c>
      <c r="J283" s="17" t="s">
        <v>2</v>
      </c>
      <c r="K283" s="20" t="s">
        <v>94</v>
      </c>
      <c r="L283" s="20" t="s">
        <v>22</v>
      </c>
      <c r="M283" s="19" t="s">
        <v>8</v>
      </c>
      <c r="N283" s="19" t="s">
        <v>16</v>
      </c>
      <c r="O283" s="19" t="s">
        <v>17</v>
      </c>
      <c r="P283" s="19" t="s">
        <v>18</v>
      </c>
      <c r="Q283" s="20" t="s">
        <v>10</v>
      </c>
      <c r="R283" s="20" t="s">
        <v>23</v>
      </c>
      <c r="S283" s="19" t="s">
        <v>9</v>
      </c>
      <c r="T283" s="19" t="s">
        <v>19</v>
      </c>
      <c r="U283" s="19" t="s">
        <v>20</v>
      </c>
      <c r="V283" s="19" t="s">
        <v>24</v>
      </c>
    </row>
    <row r="284" spans="1:22" x14ac:dyDescent="0.25">
      <c r="A284" s="6" t="s">
        <v>184</v>
      </c>
      <c r="C284" s="176" t="s">
        <v>57</v>
      </c>
      <c r="D284" s="56">
        <f>G284*E284</f>
        <v>4244</v>
      </c>
      <c r="E284" s="8">
        <v>212.2</v>
      </c>
      <c r="F284" s="8">
        <v>1</v>
      </c>
      <c r="G284" s="11">
        <v>20</v>
      </c>
      <c r="H284" s="7"/>
      <c r="I284" s="7"/>
      <c r="J284" s="8" t="s">
        <v>58</v>
      </c>
      <c r="K284" s="8">
        <v>162.15</v>
      </c>
      <c r="L284" s="46">
        <f>G285*K284</f>
        <v>3567.3</v>
      </c>
      <c r="M284" s="42" t="s">
        <v>27</v>
      </c>
      <c r="N284" s="45">
        <v>50600</v>
      </c>
      <c r="O284" s="1">
        <v>0.88300000000000001</v>
      </c>
      <c r="P284" s="11">
        <f>N284*O284</f>
        <v>44679.8</v>
      </c>
      <c r="Q284" s="8"/>
      <c r="R284" s="8"/>
      <c r="S284" s="7"/>
      <c r="T284" s="7"/>
      <c r="U284" s="7"/>
      <c r="V284" s="11">
        <f>T284*U284</f>
        <v>0</v>
      </c>
    </row>
    <row r="285" spans="1:22" x14ac:dyDescent="0.25">
      <c r="C285" s="8" t="s">
        <v>59</v>
      </c>
      <c r="D285" s="8">
        <f>G285*E285</f>
        <v>4274.16</v>
      </c>
      <c r="E285" s="8">
        <v>194.28</v>
      </c>
      <c r="F285" s="8">
        <v>1.1000000000000001</v>
      </c>
      <c r="G285" s="11">
        <f>G284*1.1</f>
        <v>22</v>
      </c>
      <c r="H285" s="1"/>
      <c r="I285" s="1"/>
      <c r="J285" s="25"/>
      <c r="K285" s="26"/>
      <c r="L285" s="46"/>
      <c r="M285" s="42"/>
      <c r="N285" s="2"/>
      <c r="O285" s="1"/>
      <c r="P285" s="11"/>
      <c r="Q285" s="8"/>
      <c r="R285" s="8"/>
      <c r="S285" s="7"/>
      <c r="T285" s="7"/>
      <c r="U285" s="7"/>
      <c r="V285" s="11">
        <f>T285*U285</f>
        <v>0</v>
      </c>
    </row>
    <row r="286" spans="1:22" x14ac:dyDescent="0.25">
      <c r="C286" s="10" t="s">
        <v>4</v>
      </c>
      <c r="D286" s="11">
        <f>SUM(D284:D285)</f>
        <v>8518.16</v>
      </c>
      <c r="E286" s="11">
        <f>SUM(E284:E285)</f>
        <v>406.48</v>
      </c>
      <c r="F286" s="10"/>
      <c r="G286" s="165">
        <f>SUM(G284:G285)</f>
        <v>42</v>
      </c>
      <c r="I286" s="23">
        <f>SUM(I284:I285)</f>
        <v>0</v>
      </c>
      <c r="L286" s="47">
        <f>SUM(L284:L285)</f>
        <v>3567.3</v>
      </c>
      <c r="N286" s="89">
        <f>SUM(N284:N285)</f>
        <v>50600</v>
      </c>
      <c r="P286" s="23">
        <f>SUM(P284:P285)</f>
        <v>44679.8</v>
      </c>
      <c r="R286" s="23">
        <f>SUM(R284:R285)</f>
        <v>0</v>
      </c>
      <c r="V286" s="23">
        <f>SUM(V284:V285)</f>
        <v>0</v>
      </c>
    </row>
    <row r="287" spans="1:22" x14ac:dyDescent="0.25">
      <c r="C287" s="4"/>
      <c r="D287" s="3"/>
      <c r="E287" s="3"/>
      <c r="F287" s="3"/>
      <c r="G287" s="4"/>
      <c r="H287" s="4"/>
      <c r="I287" s="4"/>
      <c r="M287" s="49"/>
      <c r="N287" s="4"/>
      <c r="O287" s="4"/>
      <c r="P287" s="4"/>
      <c r="Q287" s="4"/>
      <c r="R287" s="4"/>
      <c r="S287" s="4"/>
      <c r="T287" s="4"/>
      <c r="U287" s="4"/>
      <c r="V287" s="4"/>
    </row>
    <row r="288" spans="1:22" x14ac:dyDescent="0.25">
      <c r="C288" s="4"/>
      <c r="D288" s="3"/>
      <c r="E288" s="3"/>
      <c r="F288" s="3"/>
      <c r="G288" s="4"/>
      <c r="H288" s="4"/>
      <c r="K288" s="162" t="s">
        <v>133</v>
      </c>
      <c r="L288" s="96">
        <f>(T290/G284)*100</f>
        <v>89</v>
      </c>
      <c r="M288" s="49"/>
      <c r="O288" s="4"/>
      <c r="P288" s="4"/>
      <c r="Q288" s="4"/>
      <c r="R288" s="4"/>
      <c r="S288" s="4"/>
    </row>
    <row r="289" spans="1:22" x14ac:dyDescent="0.25">
      <c r="C289" s="4"/>
      <c r="D289" s="3"/>
      <c r="E289" s="3"/>
      <c r="F289" s="3"/>
      <c r="G289" s="4"/>
      <c r="H289" s="4"/>
      <c r="K289" s="159" t="s">
        <v>134</v>
      </c>
      <c r="L289" s="97">
        <f>(S290/(E286)*100)</f>
        <v>95.566817555599286</v>
      </c>
      <c r="M289" s="49"/>
      <c r="R289" s="5" t="s">
        <v>11</v>
      </c>
      <c r="S289" s="5" t="s">
        <v>12</v>
      </c>
      <c r="T289" s="5" t="s">
        <v>0</v>
      </c>
    </row>
    <row r="290" spans="1:22" x14ac:dyDescent="0.25">
      <c r="C290" s="4"/>
      <c r="D290" s="3"/>
      <c r="E290" s="3"/>
      <c r="F290" s="3"/>
      <c r="G290" s="4"/>
      <c r="H290" s="4"/>
      <c r="K290" s="162" t="s">
        <v>135</v>
      </c>
      <c r="L290" s="96">
        <f>(R290/D286)*100</f>
        <v>81.174666829456115</v>
      </c>
      <c r="P290" s="4"/>
      <c r="Q290" s="5" t="s">
        <v>3</v>
      </c>
      <c r="R290" s="9">
        <f>T290*S290</f>
        <v>6914.5879999999997</v>
      </c>
      <c r="S290" s="9">
        <v>388.46</v>
      </c>
      <c r="T290" s="22">
        <f>G284*0.89</f>
        <v>17.8</v>
      </c>
    </row>
    <row r="291" spans="1:22" ht="17.25" x14ac:dyDescent="0.25">
      <c r="C291" s="4"/>
      <c r="D291" s="3"/>
      <c r="E291" s="3"/>
      <c r="F291" s="3"/>
      <c r="G291" s="4"/>
      <c r="H291" s="4"/>
      <c r="K291" s="159" t="s">
        <v>136</v>
      </c>
      <c r="L291" s="13">
        <f>(D286+I286+L286+P286+R286+V286)/R290</f>
        <v>8.2094927420115269</v>
      </c>
      <c r="O291" s="4"/>
      <c r="P291" s="4"/>
      <c r="S291" s="98"/>
      <c r="T291" s="3"/>
    </row>
    <row r="292" spans="1:22" ht="17.25" x14ac:dyDescent="0.25">
      <c r="C292" s="4"/>
      <c r="D292" s="3"/>
      <c r="E292" s="3"/>
      <c r="F292" s="3"/>
      <c r="G292" s="4"/>
      <c r="H292" s="4"/>
      <c r="I292" s="4"/>
      <c r="K292" s="163" t="s">
        <v>137</v>
      </c>
      <c r="L292" s="15">
        <f>(D286+I286+L286)/R290</f>
        <v>1.7478206944506309</v>
      </c>
      <c r="N292" s="163" t="s">
        <v>139</v>
      </c>
      <c r="O292" s="14">
        <f>G284/N286*1000</f>
        <v>0.39525691699604742</v>
      </c>
      <c r="P292" s="4"/>
      <c r="S292" s="4"/>
    </row>
    <row r="293" spans="1:22" ht="17.25" x14ac:dyDescent="0.25">
      <c r="C293" s="4"/>
      <c r="D293" s="3"/>
      <c r="E293" s="3"/>
      <c r="F293" s="3"/>
      <c r="G293" s="4"/>
      <c r="H293" s="4"/>
      <c r="I293" s="4"/>
      <c r="K293" s="164" t="s">
        <v>138</v>
      </c>
      <c r="L293" s="16">
        <f>(P286+V286)/R290</f>
        <v>6.4616720475608966</v>
      </c>
      <c r="M293" s="4"/>
      <c r="N293" s="4"/>
      <c r="O293" s="4"/>
      <c r="P293" s="4"/>
      <c r="U293" s="4"/>
      <c r="V293" s="4"/>
    </row>
    <row r="294" spans="1:22" x14ac:dyDescent="0.25">
      <c r="C294" s="6"/>
      <c r="D294"/>
      <c r="E294" s="3"/>
      <c r="F294" s="3"/>
      <c r="G294" s="4"/>
      <c r="H294" s="4"/>
      <c r="I294" s="4"/>
      <c r="K294" s="4"/>
      <c r="M294" s="4"/>
      <c r="P294" s="4"/>
      <c r="Q294" s="4"/>
      <c r="R294" s="4"/>
      <c r="S294" s="4"/>
      <c r="T294" s="4"/>
      <c r="U294" s="4"/>
      <c r="V294" s="4"/>
    </row>
    <row r="295" spans="1:22" x14ac:dyDescent="0.25">
      <c r="B295" s="4"/>
      <c r="C295" s="6" t="s">
        <v>26</v>
      </c>
      <c r="D295" s="98"/>
      <c r="E295" s="98"/>
      <c r="F295" s="98"/>
    </row>
    <row r="296" spans="1:22" ht="34.5" x14ac:dyDescent="0.25">
      <c r="C296" s="17" t="s">
        <v>14</v>
      </c>
      <c r="D296" s="20" t="s">
        <v>21</v>
      </c>
      <c r="E296" s="20" t="s">
        <v>94</v>
      </c>
      <c r="F296" s="17" t="s">
        <v>13</v>
      </c>
      <c r="G296" s="17" t="s">
        <v>15</v>
      </c>
      <c r="H296" s="18" t="s">
        <v>1</v>
      </c>
      <c r="I296" s="19" t="s">
        <v>25</v>
      </c>
      <c r="J296" s="17" t="s">
        <v>2</v>
      </c>
      <c r="K296" s="20" t="s">
        <v>94</v>
      </c>
      <c r="L296" s="20" t="s">
        <v>22</v>
      </c>
      <c r="M296" s="19" t="s">
        <v>8</v>
      </c>
      <c r="N296" s="19" t="s">
        <v>16</v>
      </c>
      <c r="O296" s="19" t="s">
        <v>17</v>
      </c>
      <c r="P296" s="19" t="s">
        <v>18</v>
      </c>
      <c r="Q296" s="20" t="s">
        <v>10</v>
      </c>
      <c r="R296" s="20" t="s">
        <v>23</v>
      </c>
      <c r="S296" s="19" t="s">
        <v>9</v>
      </c>
      <c r="T296" s="19" t="s">
        <v>19</v>
      </c>
      <c r="U296" s="19" t="s">
        <v>20</v>
      </c>
      <c r="V296" s="19" t="s">
        <v>24</v>
      </c>
    </row>
    <row r="297" spans="1:22" x14ac:dyDescent="0.25">
      <c r="A297" s="6" t="s">
        <v>197</v>
      </c>
      <c r="C297" s="172">
        <v>20</v>
      </c>
      <c r="D297" s="56">
        <f>G297*E297</f>
        <v>15494.6</v>
      </c>
      <c r="E297" s="8">
        <v>774.73</v>
      </c>
      <c r="F297" s="8">
        <v>1</v>
      </c>
      <c r="G297" s="11">
        <v>20</v>
      </c>
      <c r="H297" s="7"/>
      <c r="I297" s="7"/>
      <c r="J297" s="8" t="s">
        <v>58</v>
      </c>
      <c r="K297" s="8">
        <v>162.15</v>
      </c>
      <c r="L297" s="46">
        <f>G298*K297</f>
        <v>3567.3</v>
      </c>
      <c r="M297" s="42" t="s">
        <v>27</v>
      </c>
      <c r="N297" s="45">
        <v>50600</v>
      </c>
      <c r="O297" s="1">
        <v>0.88300000000000001</v>
      </c>
      <c r="P297" s="11">
        <f>N297*O297</f>
        <v>44679.8</v>
      </c>
      <c r="Q297" s="8"/>
      <c r="R297" s="8"/>
      <c r="S297" s="7"/>
      <c r="T297" s="7"/>
      <c r="U297" s="7"/>
      <c r="V297" s="11">
        <f>T297*U297</f>
        <v>0</v>
      </c>
    </row>
    <row r="298" spans="1:22" x14ac:dyDescent="0.25">
      <c r="C298" s="69">
        <v>2</v>
      </c>
      <c r="D298" s="8">
        <f>G298*E298</f>
        <v>6894.14</v>
      </c>
      <c r="E298" s="8">
        <v>313.37</v>
      </c>
      <c r="F298" s="8">
        <v>1.1000000000000001</v>
      </c>
      <c r="G298" s="11">
        <f>G297*F298</f>
        <v>22</v>
      </c>
      <c r="H298" s="1"/>
      <c r="I298" s="1"/>
      <c r="J298" s="25"/>
      <c r="K298" s="26"/>
      <c r="L298" s="46"/>
      <c r="M298" s="42"/>
      <c r="N298" s="2"/>
      <c r="O298" s="1"/>
      <c r="P298" s="11"/>
      <c r="Q298" s="8"/>
      <c r="R298" s="8"/>
      <c r="S298" s="7"/>
      <c r="T298" s="7"/>
      <c r="U298" s="7"/>
      <c r="V298" s="11">
        <f>T298*U298</f>
        <v>0</v>
      </c>
    </row>
    <row r="299" spans="1:22" x14ac:dyDescent="0.25">
      <c r="C299" s="10" t="s">
        <v>4</v>
      </c>
      <c r="D299" s="11">
        <f>SUM(D297:D298)</f>
        <v>22388.74</v>
      </c>
      <c r="E299" s="11">
        <f>SUM(E297:E298)</f>
        <v>1088.0999999999999</v>
      </c>
      <c r="F299" s="10"/>
      <c r="G299" s="165">
        <f>SUM(G297:G298)</f>
        <v>42</v>
      </c>
      <c r="I299" s="23">
        <f>SUM(I297:I298)</f>
        <v>0</v>
      </c>
      <c r="L299" s="47">
        <f>SUM(L297:L298)</f>
        <v>3567.3</v>
      </c>
      <c r="N299" s="89">
        <f>SUM(N297:N298)</f>
        <v>50600</v>
      </c>
      <c r="P299" s="23">
        <f>SUM(P297:P298)</f>
        <v>44679.8</v>
      </c>
      <c r="R299" s="23">
        <f>SUM(R297:R298)</f>
        <v>0</v>
      </c>
      <c r="V299" s="23">
        <f>SUM(V297:V298)</f>
        <v>0</v>
      </c>
    </row>
    <row r="300" spans="1:22" x14ac:dyDescent="0.25">
      <c r="C300" s="4"/>
      <c r="D300" s="3"/>
      <c r="E300" s="3"/>
      <c r="F300" s="3"/>
      <c r="G300" s="4"/>
      <c r="H300" s="4"/>
      <c r="I300" s="4"/>
      <c r="M300" s="49"/>
      <c r="N300" s="4"/>
      <c r="O300" s="4"/>
      <c r="P300" s="4"/>
      <c r="Q300" s="4"/>
      <c r="R300" s="4"/>
      <c r="S300" s="4"/>
      <c r="T300" s="4"/>
      <c r="U300" s="4"/>
      <c r="V300" s="4"/>
    </row>
    <row r="301" spans="1:22" x14ac:dyDescent="0.25">
      <c r="C301" s="4"/>
      <c r="D301" s="3"/>
      <c r="E301" s="3"/>
      <c r="F301" s="3"/>
      <c r="G301" s="4"/>
      <c r="H301" s="4"/>
      <c r="K301" s="162" t="s">
        <v>133</v>
      </c>
      <c r="L301" s="96">
        <f>(T303/G297)*100</f>
        <v>84.000000000000014</v>
      </c>
      <c r="M301" s="49"/>
      <c r="O301" s="4"/>
      <c r="P301" s="4"/>
      <c r="Q301" s="4"/>
      <c r="R301" s="4"/>
      <c r="S301" s="4"/>
    </row>
    <row r="302" spans="1:22" x14ac:dyDescent="0.25">
      <c r="C302" s="4"/>
      <c r="D302" s="3"/>
      <c r="E302" s="3"/>
      <c r="F302" s="3"/>
      <c r="G302" s="4"/>
      <c r="H302" s="4"/>
      <c r="K302" s="159" t="s">
        <v>134</v>
      </c>
      <c r="L302" s="97">
        <f>(S303/(E299)*100)</f>
        <v>82.518150905247694</v>
      </c>
      <c r="M302" s="49"/>
      <c r="R302" s="5" t="s">
        <v>11</v>
      </c>
      <c r="S302" s="5" t="s">
        <v>12</v>
      </c>
      <c r="T302" s="5" t="s">
        <v>0</v>
      </c>
    </row>
    <row r="303" spans="1:22" x14ac:dyDescent="0.25">
      <c r="C303" s="4"/>
      <c r="D303" s="3"/>
      <c r="E303" s="3"/>
      <c r="F303" s="3"/>
      <c r="G303" s="4"/>
      <c r="H303" s="4"/>
      <c r="K303" s="162" t="s">
        <v>135</v>
      </c>
      <c r="L303" s="96">
        <f>(R303/D299)*100</f>
        <v>67.374867902347333</v>
      </c>
      <c r="P303" s="4"/>
      <c r="Q303" s="5" t="s">
        <v>3</v>
      </c>
      <c r="R303" s="9">
        <f>T303*S303</f>
        <v>15084.384</v>
      </c>
      <c r="S303" s="9">
        <v>897.88</v>
      </c>
      <c r="T303" s="22">
        <f>G297*0.84</f>
        <v>16.8</v>
      </c>
    </row>
    <row r="304" spans="1:22" ht="17.25" x14ac:dyDescent="0.25">
      <c r="C304" s="4"/>
      <c r="D304" s="3"/>
      <c r="E304" s="3"/>
      <c r="F304" s="3"/>
      <c r="G304" s="4"/>
      <c r="H304" s="4"/>
      <c r="K304" s="159" t="s">
        <v>136</v>
      </c>
      <c r="L304" s="13">
        <f>(D299+I299+L299+P299+R299+V299)/R303</f>
        <v>4.6827129301402026</v>
      </c>
      <c r="O304" s="4"/>
      <c r="P304" s="4"/>
      <c r="S304" s="98"/>
      <c r="T304" s="3"/>
    </row>
    <row r="305" spans="1:22" ht="17.25" x14ac:dyDescent="0.25">
      <c r="C305" s="4"/>
      <c r="D305" s="3"/>
      <c r="E305" s="3"/>
      <c r="F305" s="3"/>
      <c r="G305" s="4"/>
      <c r="H305" s="4"/>
      <c r="I305" s="4"/>
      <c r="K305" s="163" t="s">
        <v>137</v>
      </c>
      <c r="L305" s="15">
        <f>(D299+I299+L299)/R303</f>
        <v>1.720722569778123</v>
      </c>
      <c r="N305" s="163" t="s">
        <v>139</v>
      </c>
      <c r="O305" s="14">
        <f>G297/N299*1000</f>
        <v>0.39525691699604742</v>
      </c>
      <c r="P305" s="4"/>
      <c r="S305" s="4"/>
    </row>
    <row r="306" spans="1:22" ht="17.25" x14ac:dyDescent="0.25">
      <c r="C306" s="4"/>
      <c r="D306" s="3"/>
      <c r="E306" s="3"/>
      <c r="F306" s="3"/>
      <c r="G306" s="4"/>
      <c r="H306" s="4"/>
      <c r="I306" s="4"/>
      <c r="K306" s="164" t="s">
        <v>138</v>
      </c>
      <c r="L306" s="16">
        <f>(P299+V299)/R303</f>
        <v>2.9619903603620807</v>
      </c>
      <c r="M306" s="4"/>
      <c r="N306" s="4"/>
      <c r="O306" s="4"/>
      <c r="P306" s="4"/>
      <c r="U306" s="4"/>
      <c r="V306" s="4"/>
    </row>
    <row r="307" spans="1:22" x14ac:dyDescent="0.25">
      <c r="C307" s="6"/>
      <c r="D307"/>
      <c r="E307" s="3"/>
      <c r="F307" s="3"/>
      <c r="G307" s="4"/>
      <c r="H307" s="4"/>
      <c r="I307" s="4"/>
      <c r="K307" s="4"/>
      <c r="M307" s="4"/>
      <c r="P307" s="4"/>
      <c r="Q307" s="4"/>
      <c r="R307" s="4"/>
      <c r="S307" s="4"/>
      <c r="T307" s="4"/>
      <c r="U307" s="4"/>
      <c r="V307" s="4"/>
    </row>
    <row r="308" spans="1:22" x14ac:dyDescent="0.25">
      <c r="C308" s="6"/>
      <c r="D308"/>
      <c r="E308" s="3"/>
      <c r="F308" s="3"/>
      <c r="G308" s="4"/>
      <c r="H308" s="4"/>
      <c r="I308" s="4"/>
      <c r="M308" s="4"/>
      <c r="N308" s="4"/>
      <c r="O308" s="4"/>
      <c r="P308" s="4"/>
      <c r="Q308" s="4"/>
      <c r="R308" s="4"/>
      <c r="S308" s="4"/>
      <c r="T308" s="4"/>
      <c r="U308" s="4"/>
      <c r="V308" s="4"/>
    </row>
    <row r="309" spans="1:22" s="179" customFormat="1" x14ac:dyDescent="0.25">
      <c r="A309" s="167" t="s">
        <v>158</v>
      </c>
      <c r="B309" s="180"/>
      <c r="C309" s="180"/>
      <c r="D309" s="169"/>
      <c r="E309" s="169"/>
      <c r="F309" s="169"/>
      <c r="G309" s="180"/>
      <c r="H309" s="180"/>
      <c r="I309" s="180"/>
      <c r="J309" s="180"/>
      <c r="K309" s="180"/>
      <c r="L309" s="180"/>
      <c r="M309" s="180"/>
      <c r="N309" s="180"/>
      <c r="O309" s="180"/>
      <c r="P309" s="180"/>
      <c r="Q309" s="180"/>
      <c r="R309" s="180"/>
      <c r="S309" s="180"/>
      <c r="T309" s="180"/>
      <c r="U309" s="180"/>
      <c r="V309" s="180"/>
    </row>
    <row r="310" spans="1:22" x14ac:dyDescent="0.25">
      <c r="B310" s="4"/>
      <c r="C310" s="6" t="s">
        <v>26</v>
      </c>
      <c r="D310" s="98"/>
      <c r="E310" s="98"/>
      <c r="F310" s="98"/>
    </row>
    <row r="311" spans="1:22" ht="34.5" x14ac:dyDescent="0.25">
      <c r="C311" s="17" t="s">
        <v>14</v>
      </c>
      <c r="D311" s="20" t="s">
        <v>21</v>
      </c>
      <c r="E311" s="20" t="s">
        <v>94</v>
      </c>
      <c r="F311" s="17" t="s">
        <v>13</v>
      </c>
      <c r="G311" s="17" t="s">
        <v>15</v>
      </c>
      <c r="H311" s="18" t="s">
        <v>1</v>
      </c>
      <c r="I311" s="19" t="s">
        <v>25</v>
      </c>
      <c r="J311" s="17" t="s">
        <v>2</v>
      </c>
      <c r="K311" s="20" t="s">
        <v>94</v>
      </c>
      <c r="L311" s="20" t="s">
        <v>22</v>
      </c>
      <c r="M311" s="19" t="s">
        <v>8</v>
      </c>
      <c r="N311" s="19" t="s">
        <v>16</v>
      </c>
      <c r="O311" s="19" t="s">
        <v>17</v>
      </c>
      <c r="P311" s="19" t="s">
        <v>18</v>
      </c>
      <c r="Q311" s="20" t="s">
        <v>10</v>
      </c>
      <c r="R311" s="20" t="s">
        <v>23</v>
      </c>
      <c r="S311" s="19" t="s">
        <v>9</v>
      </c>
      <c r="T311" s="19" t="s">
        <v>19</v>
      </c>
      <c r="U311" s="19" t="s">
        <v>20</v>
      </c>
      <c r="V311" s="19" t="s">
        <v>24</v>
      </c>
    </row>
    <row r="312" spans="1:22" x14ac:dyDescent="0.25">
      <c r="A312" s="6" t="s">
        <v>184</v>
      </c>
      <c r="C312" s="176" t="s">
        <v>57</v>
      </c>
      <c r="D312" s="56">
        <f>G312*E312</f>
        <v>4244</v>
      </c>
      <c r="E312" s="8">
        <v>212.2</v>
      </c>
      <c r="F312" s="8">
        <v>1</v>
      </c>
      <c r="G312" s="11">
        <v>20</v>
      </c>
      <c r="H312" s="7"/>
      <c r="I312" s="7"/>
      <c r="J312" s="25" t="s">
        <v>66</v>
      </c>
      <c r="K312" s="26">
        <v>206.33</v>
      </c>
      <c r="L312" s="46">
        <f>G313*K312</f>
        <v>4539.26</v>
      </c>
      <c r="M312" s="42" t="s">
        <v>27</v>
      </c>
      <c r="N312" s="45">
        <v>50600</v>
      </c>
      <c r="O312" s="1">
        <v>0.88300000000000001</v>
      </c>
      <c r="P312" s="11">
        <f>N312*O312</f>
        <v>44679.8</v>
      </c>
      <c r="Q312" s="8"/>
      <c r="R312" s="8"/>
      <c r="S312" s="7"/>
      <c r="T312" s="7"/>
      <c r="U312" s="7"/>
      <c r="V312" s="11">
        <f>T312*U312</f>
        <v>0</v>
      </c>
    </row>
    <row r="313" spans="1:22" x14ac:dyDescent="0.25">
      <c r="C313" s="8" t="s">
        <v>59</v>
      </c>
      <c r="D313" s="8">
        <f>G313*E313</f>
        <v>4274.16</v>
      </c>
      <c r="E313" s="8">
        <v>194.28</v>
      </c>
      <c r="F313" s="8">
        <v>1.1000000000000001</v>
      </c>
      <c r="G313" s="11">
        <f>G312*1.1</f>
        <v>22</v>
      </c>
      <c r="H313" s="1"/>
      <c r="I313" s="1"/>
      <c r="J313" s="25"/>
      <c r="K313" s="26"/>
      <c r="L313" s="46"/>
      <c r="M313" s="42"/>
      <c r="N313" s="2"/>
      <c r="O313" s="1"/>
      <c r="P313" s="11"/>
      <c r="Q313" s="8"/>
      <c r="R313" s="8"/>
      <c r="S313" s="7"/>
      <c r="T313" s="7"/>
      <c r="U313" s="7"/>
      <c r="V313" s="11">
        <f>T313*U313</f>
        <v>0</v>
      </c>
    </row>
    <row r="314" spans="1:22" x14ac:dyDescent="0.25">
      <c r="C314" s="10" t="s">
        <v>4</v>
      </c>
      <c r="D314" s="11">
        <f>SUM(D312:D313)</f>
        <v>8518.16</v>
      </c>
      <c r="E314" s="11">
        <f>SUM(E312:E313)</f>
        <v>406.48</v>
      </c>
      <c r="F314" s="10"/>
      <c r="G314" s="165">
        <f>SUM(G312:G313)</f>
        <v>42</v>
      </c>
      <c r="I314" s="23">
        <f>SUM(I312:I313)</f>
        <v>0</v>
      </c>
      <c r="L314" s="47">
        <f>SUM(L312:L313)</f>
        <v>4539.26</v>
      </c>
      <c r="N314" s="89">
        <f>SUM(N312:N313)</f>
        <v>50600</v>
      </c>
      <c r="P314" s="23">
        <f>SUM(P312:P313)</f>
        <v>44679.8</v>
      </c>
      <c r="R314" s="23">
        <f>SUM(R312:R313)</f>
        <v>0</v>
      </c>
      <c r="V314" s="23">
        <f>SUM(V312:V313)</f>
        <v>0</v>
      </c>
    </row>
    <row r="315" spans="1:22" x14ac:dyDescent="0.25">
      <c r="C315" s="4"/>
      <c r="D315" s="3"/>
      <c r="E315" s="3"/>
      <c r="F315" s="3"/>
      <c r="G315" s="4"/>
      <c r="H315" s="4"/>
      <c r="I315" s="4"/>
      <c r="M315" s="49"/>
      <c r="N315" s="4"/>
      <c r="O315" s="4"/>
      <c r="P315" s="4"/>
      <c r="Q315" s="4"/>
      <c r="R315" s="4"/>
      <c r="S315" s="4"/>
      <c r="T315" s="4"/>
      <c r="U315" s="4"/>
      <c r="V315" s="4"/>
    </row>
    <row r="316" spans="1:22" x14ac:dyDescent="0.25">
      <c r="C316" s="4"/>
      <c r="D316" s="3"/>
      <c r="E316" s="3"/>
      <c r="F316" s="3"/>
      <c r="G316" s="4"/>
      <c r="H316" s="4"/>
      <c r="K316" s="162" t="s">
        <v>133</v>
      </c>
      <c r="L316" s="96">
        <f>(T318/G312)*100</f>
        <v>89</v>
      </c>
      <c r="M316" s="49"/>
      <c r="O316" s="4"/>
      <c r="P316" s="4"/>
      <c r="Q316" s="4"/>
      <c r="R316" s="4"/>
      <c r="S316" s="4"/>
    </row>
    <row r="317" spans="1:22" x14ac:dyDescent="0.25">
      <c r="C317" s="4"/>
      <c r="D317" s="3"/>
      <c r="E317" s="3"/>
      <c r="F317" s="3"/>
      <c r="G317" s="4"/>
      <c r="H317" s="4"/>
      <c r="K317" s="159" t="s">
        <v>134</v>
      </c>
      <c r="L317" s="97">
        <f>(S318/(E314)*100)</f>
        <v>95.566817555599286</v>
      </c>
      <c r="M317" s="49"/>
      <c r="R317" s="5" t="s">
        <v>11</v>
      </c>
      <c r="S317" s="5" t="s">
        <v>12</v>
      </c>
      <c r="T317" s="5" t="s">
        <v>0</v>
      </c>
    </row>
    <row r="318" spans="1:22" x14ac:dyDescent="0.25">
      <c r="C318" s="4"/>
      <c r="D318" s="3"/>
      <c r="E318" s="3"/>
      <c r="F318" s="3"/>
      <c r="G318" s="4"/>
      <c r="H318" s="4"/>
      <c r="K318" s="162" t="s">
        <v>135</v>
      </c>
      <c r="L318" s="96">
        <f>(R318/D314)*100</f>
        <v>81.174666829456115</v>
      </c>
      <c r="P318" s="4"/>
      <c r="Q318" s="5" t="s">
        <v>3</v>
      </c>
      <c r="R318" s="9">
        <f>T318*S318</f>
        <v>6914.5879999999997</v>
      </c>
      <c r="S318" s="9">
        <v>388.46</v>
      </c>
      <c r="T318" s="22">
        <f>G312*0.89</f>
        <v>17.8</v>
      </c>
    </row>
    <row r="319" spans="1:22" ht="17.25" x14ac:dyDescent="0.25">
      <c r="C319" s="4"/>
      <c r="D319" s="3"/>
      <c r="E319" s="3"/>
      <c r="F319" s="3"/>
      <c r="G319" s="4"/>
      <c r="H319" s="4"/>
      <c r="K319" s="159" t="s">
        <v>136</v>
      </c>
      <c r="L319" s="13">
        <f>(D314+I314+L314+P314+R314+V314)/R318</f>
        <v>8.350059323852701</v>
      </c>
      <c r="O319" s="4"/>
      <c r="P319" s="4"/>
      <c r="S319" s="98"/>
      <c r="T319" s="3"/>
    </row>
    <row r="320" spans="1:22" ht="17.25" x14ac:dyDescent="0.25">
      <c r="C320" s="4"/>
      <c r="D320" s="3"/>
      <c r="E320" s="3"/>
      <c r="F320" s="3"/>
      <c r="G320" s="4"/>
      <c r="H320" s="4"/>
      <c r="I320" s="4"/>
      <c r="K320" s="163" t="s">
        <v>137</v>
      </c>
      <c r="L320" s="15">
        <f>(D314+I314+L314)/R318</f>
        <v>1.8883872762918053</v>
      </c>
      <c r="N320" s="163" t="s">
        <v>139</v>
      </c>
      <c r="O320" s="14">
        <f>G312/N314*1000</f>
        <v>0.39525691699604742</v>
      </c>
      <c r="P320" s="4"/>
      <c r="S320" s="4"/>
    </row>
    <row r="321" spans="1:22" ht="17.25" x14ac:dyDescent="0.25">
      <c r="C321" s="4"/>
      <c r="D321" s="3"/>
      <c r="E321" s="3"/>
      <c r="F321" s="3"/>
      <c r="G321" s="4"/>
      <c r="H321" s="4"/>
      <c r="I321" s="4"/>
      <c r="K321" s="164" t="s">
        <v>138</v>
      </c>
      <c r="L321" s="16">
        <f>(P314+V314)/R318</f>
        <v>6.4616720475608966</v>
      </c>
      <c r="M321" s="4"/>
      <c r="N321" s="4"/>
      <c r="O321" s="4"/>
      <c r="P321" s="4"/>
      <c r="U321" s="4"/>
      <c r="V321" s="4"/>
    </row>
    <row r="322" spans="1:22" x14ac:dyDescent="0.25">
      <c r="C322" s="6"/>
      <c r="D322"/>
      <c r="E322" s="3"/>
      <c r="F322" s="3"/>
      <c r="G322" s="4"/>
      <c r="H322" s="4"/>
      <c r="I322" s="4"/>
      <c r="K322" s="4"/>
      <c r="M322" s="4"/>
      <c r="P322" s="4"/>
      <c r="Q322" s="4"/>
      <c r="R322" s="4"/>
      <c r="S322" s="4"/>
      <c r="T322" s="4"/>
      <c r="U322" s="4"/>
      <c r="V322" s="4"/>
    </row>
    <row r="323" spans="1:22" x14ac:dyDescent="0.25">
      <c r="B323" s="4"/>
      <c r="C323" s="6" t="s">
        <v>26</v>
      </c>
      <c r="D323" s="98"/>
      <c r="E323" s="98"/>
      <c r="F323" s="98"/>
    </row>
    <row r="324" spans="1:22" ht="34.5" x14ac:dyDescent="0.25">
      <c r="C324" s="17" t="s">
        <v>14</v>
      </c>
      <c r="D324" s="20" t="s">
        <v>21</v>
      </c>
      <c r="E324" s="20" t="s">
        <v>94</v>
      </c>
      <c r="F324" s="17" t="s">
        <v>13</v>
      </c>
      <c r="G324" s="17" t="s">
        <v>15</v>
      </c>
      <c r="H324" s="18" t="s">
        <v>1</v>
      </c>
      <c r="I324" s="19" t="s">
        <v>25</v>
      </c>
      <c r="J324" s="17" t="s">
        <v>2</v>
      </c>
      <c r="K324" s="20" t="s">
        <v>94</v>
      </c>
      <c r="L324" s="20" t="s">
        <v>22</v>
      </c>
      <c r="M324" s="19" t="s">
        <v>8</v>
      </c>
      <c r="N324" s="19" t="s">
        <v>16</v>
      </c>
      <c r="O324" s="19" t="s">
        <v>17</v>
      </c>
      <c r="P324" s="19" t="s">
        <v>18</v>
      </c>
      <c r="Q324" s="20" t="s">
        <v>10</v>
      </c>
      <c r="R324" s="20" t="s">
        <v>23</v>
      </c>
      <c r="S324" s="19" t="s">
        <v>9</v>
      </c>
      <c r="T324" s="19" t="s">
        <v>19</v>
      </c>
      <c r="U324" s="19" t="s">
        <v>20</v>
      </c>
      <c r="V324" s="19" t="s">
        <v>24</v>
      </c>
    </row>
    <row r="325" spans="1:22" x14ac:dyDescent="0.25">
      <c r="A325" s="6" t="s">
        <v>197</v>
      </c>
      <c r="C325" s="172">
        <v>20</v>
      </c>
      <c r="D325" s="56">
        <f>G325*E325</f>
        <v>15494.6</v>
      </c>
      <c r="E325" s="8">
        <v>774.73</v>
      </c>
      <c r="F325" s="8">
        <v>1</v>
      </c>
      <c r="G325" s="11">
        <v>20</v>
      </c>
      <c r="H325" s="7"/>
      <c r="I325" s="7"/>
      <c r="J325" s="25" t="s">
        <v>66</v>
      </c>
      <c r="K325" s="26">
        <v>206.33</v>
      </c>
      <c r="L325" s="46">
        <f>G326*K325</f>
        <v>4539.26</v>
      </c>
      <c r="M325" s="42" t="s">
        <v>27</v>
      </c>
      <c r="N325" s="45">
        <v>50600</v>
      </c>
      <c r="O325" s="1">
        <v>0.88300000000000001</v>
      </c>
      <c r="P325" s="11">
        <f>N325*O325</f>
        <v>44679.8</v>
      </c>
      <c r="Q325" s="8"/>
      <c r="R325" s="8"/>
      <c r="S325" s="7"/>
      <c r="T325" s="7"/>
      <c r="U325" s="7"/>
      <c r="V325" s="11">
        <f>T325*U325</f>
        <v>0</v>
      </c>
    </row>
    <row r="326" spans="1:22" x14ac:dyDescent="0.25">
      <c r="C326" s="69">
        <v>2</v>
      </c>
      <c r="D326" s="8">
        <f>G326*E326</f>
        <v>6894.14</v>
      </c>
      <c r="E326" s="8">
        <v>313.37</v>
      </c>
      <c r="F326" s="8">
        <v>1.1000000000000001</v>
      </c>
      <c r="G326" s="11">
        <f>G325*F326</f>
        <v>22</v>
      </c>
      <c r="H326" s="1"/>
      <c r="I326" s="1"/>
      <c r="J326" s="25"/>
      <c r="K326" s="26"/>
      <c r="L326" s="46"/>
      <c r="M326" s="42"/>
      <c r="N326" s="2"/>
      <c r="O326" s="1"/>
      <c r="P326" s="11"/>
      <c r="Q326" s="8"/>
      <c r="R326" s="8"/>
      <c r="S326" s="7"/>
      <c r="T326" s="7"/>
      <c r="U326" s="7"/>
      <c r="V326" s="11">
        <f>T326*U326</f>
        <v>0</v>
      </c>
    </row>
    <row r="327" spans="1:22" x14ac:dyDescent="0.25">
      <c r="C327" s="10" t="s">
        <v>4</v>
      </c>
      <c r="D327" s="11">
        <f>SUM(D325:D326)</f>
        <v>22388.74</v>
      </c>
      <c r="E327" s="11">
        <f>SUM(E325:E326)</f>
        <v>1088.0999999999999</v>
      </c>
      <c r="F327" s="10"/>
      <c r="G327" s="165">
        <f>SUM(G325:G326)</f>
        <v>42</v>
      </c>
      <c r="I327" s="23">
        <f>SUM(I325:I326)</f>
        <v>0</v>
      </c>
      <c r="L327" s="47">
        <f>SUM(L325:L326)</f>
        <v>4539.26</v>
      </c>
      <c r="N327" s="89">
        <f>SUM(N325:N326)</f>
        <v>50600</v>
      </c>
      <c r="P327" s="23">
        <f>SUM(P325:P326)</f>
        <v>44679.8</v>
      </c>
      <c r="R327" s="23">
        <f>SUM(R325:R326)</f>
        <v>0</v>
      </c>
      <c r="V327" s="23">
        <f>SUM(V325:V326)</f>
        <v>0</v>
      </c>
    </row>
    <row r="328" spans="1:22" x14ac:dyDescent="0.25">
      <c r="C328" s="4"/>
      <c r="D328" s="3"/>
      <c r="E328" s="3"/>
      <c r="F328" s="3"/>
      <c r="G328" s="4"/>
      <c r="H328" s="4"/>
      <c r="I328" s="4"/>
      <c r="M328" s="49"/>
      <c r="N328" s="4"/>
      <c r="O328" s="4"/>
      <c r="P328" s="4"/>
      <c r="Q328" s="4"/>
      <c r="R328" s="4"/>
      <c r="S328" s="4"/>
      <c r="T328" s="4"/>
      <c r="U328" s="4"/>
      <c r="V328" s="4"/>
    </row>
    <row r="329" spans="1:22" x14ac:dyDescent="0.25">
      <c r="C329" s="4"/>
      <c r="D329" s="3"/>
      <c r="E329" s="3"/>
      <c r="F329" s="3"/>
      <c r="G329" s="4"/>
      <c r="H329" s="4"/>
      <c r="K329" s="162" t="s">
        <v>133</v>
      </c>
      <c r="L329" s="96">
        <f>(T331/G325)*100</f>
        <v>84.000000000000014</v>
      </c>
      <c r="M329" s="49"/>
      <c r="O329" s="4"/>
      <c r="P329" s="4"/>
      <c r="Q329" s="4"/>
      <c r="R329" s="4"/>
      <c r="S329" s="4"/>
    </row>
    <row r="330" spans="1:22" x14ac:dyDescent="0.25">
      <c r="C330" s="4"/>
      <c r="D330" s="3"/>
      <c r="E330" s="3"/>
      <c r="F330" s="3"/>
      <c r="G330" s="4"/>
      <c r="H330" s="4"/>
      <c r="K330" s="159" t="s">
        <v>134</v>
      </c>
      <c r="L330" s="97">
        <f>(S331/(E327)*100)</f>
        <v>82.518150905247694</v>
      </c>
      <c r="M330" s="49"/>
      <c r="R330" s="5" t="s">
        <v>11</v>
      </c>
      <c r="S330" s="5" t="s">
        <v>12</v>
      </c>
      <c r="T330" s="5" t="s">
        <v>0</v>
      </c>
    </row>
    <row r="331" spans="1:22" x14ac:dyDescent="0.25">
      <c r="C331" s="4"/>
      <c r="D331" s="3"/>
      <c r="E331" s="3"/>
      <c r="F331" s="3"/>
      <c r="G331" s="4"/>
      <c r="H331" s="4"/>
      <c r="K331" s="162" t="s">
        <v>135</v>
      </c>
      <c r="L331" s="96">
        <f>(R331/D327)*100</f>
        <v>67.374867902347333</v>
      </c>
      <c r="P331" s="4"/>
      <c r="Q331" s="5" t="s">
        <v>3</v>
      </c>
      <c r="R331" s="9">
        <f>T331*S331</f>
        <v>15084.384</v>
      </c>
      <c r="S331" s="9">
        <v>897.88</v>
      </c>
      <c r="T331" s="22">
        <f>G325*0.84</f>
        <v>16.8</v>
      </c>
    </row>
    <row r="332" spans="1:22" ht="17.25" x14ac:dyDescent="0.25">
      <c r="C332" s="4"/>
      <c r="D332" s="3"/>
      <c r="E332" s="3"/>
      <c r="F332" s="3"/>
      <c r="G332" s="4"/>
      <c r="H332" s="4"/>
      <c r="K332" s="159" t="s">
        <v>136</v>
      </c>
      <c r="L332" s="13">
        <f>(D327+I327+L327+P327+R327+V327)/R331</f>
        <v>4.7471477787889782</v>
      </c>
      <c r="O332" s="4"/>
      <c r="P332" s="4"/>
      <c r="S332" s="98"/>
      <c r="T332" s="3"/>
    </row>
    <row r="333" spans="1:22" ht="17.25" x14ac:dyDescent="0.25">
      <c r="C333" s="4"/>
      <c r="D333" s="3"/>
      <c r="E333" s="3"/>
      <c r="F333" s="3"/>
      <c r="G333" s="4"/>
      <c r="H333" s="4"/>
      <c r="I333" s="4"/>
      <c r="K333" s="163" t="s">
        <v>137</v>
      </c>
      <c r="L333" s="15">
        <f>(D327+I327+L327)/R331</f>
        <v>1.7851574184268977</v>
      </c>
      <c r="N333" s="163" t="s">
        <v>139</v>
      </c>
      <c r="O333" s="14">
        <f>G325/N327*1000</f>
        <v>0.39525691699604742</v>
      </c>
      <c r="P333" s="4"/>
      <c r="S333" s="4"/>
    </row>
    <row r="334" spans="1:22" ht="17.25" x14ac:dyDescent="0.25">
      <c r="C334" s="4"/>
      <c r="D334" s="3"/>
      <c r="E334" s="3"/>
      <c r="F334" s="3"/>
      <c r="G334" s="4"/>
      <c r="H334" s="4"/>
      <c r="I334" s="4"/>
      <c r="K334" s="164" t="s">
        <v>138</v>
      </c>
      <c r="L334" s="16">
        <f>(P327+V327)/R331</f>
        <v>2.9619903603620807</v>
      </c>
      <c r="M334" s="4"/>
      <c r="N334" s="4"/>
      <c r="O334" s="4"/>
      <c r="P334" s="4"/>
      <c r="U334" s="4"/>
      <c r="V334" s="4"/>
    </row>
    <row r="335" spans="1:22" x14ac:dyDescent="0.25">
      <c r="C335" s="6"/>
      <c r="D335"/>
      <c r="E335" s="3"/>
      <c r="F335" s="3"/>
      <c r="G335" s="4"/>
      <c r="H335" s="4"/>
      <c r="I335" s="4"/>
      <c r="K335" s="4"/>
      <c r="M335" s="4"/>
      <c r="P335" s="4"/>
      <c r="Q335" s="4"/>
      <c r="R335" s="4"/>
      <c r="S335" s="4"/>
      <c r="T335" s="4"/>
      <c r="U335" s="4"/>
      <c r="V335" s="4"/>
    </row>
    <row r="336" spans="1:22" x14ac:dyDescent="0.25">
      <c r="C336" s="6"/>
      <c r="D336"/>
      <c r="E336" s="3"/>
      <c r="F336" s="3"/>
      <c r="G336" s="4"/>
      <c r="H336" s="4"/>
      <c r="I336" s="4"/>
      <c r="M336" s="4"/>
      <c r="N336" s="4"/>
      <c r="O336" s="4"/>
      <c r="P336" s="4"/>
      <c r="Q336" s="4"/>
      <c r="R336" s="4"/>
      <c r="S336" s="4"/>
      <c r="T336" s="4"/>
      <c r="U336" s="4"/>
      <c r="V336" s="4"/>
    </row>
    <row r="337" spans="1:22" s="179" customFormat="1" x14ac:dyDescent="0.25">
      <c r="A337" s="167" t="s">
        <v>159</v>
      </c>
      <c r="B337" s="180"/>
      <c r="C337" s="180"/>
      <c r="D337" s="169"/>
      <c r="E337" s="169"/>
      <c r="F337" s="169"/>
      <c r="G337" s="180"/>
      <c r="H337" s="180"/>
      <c r="I337" s="180"/>
      <c r="J337" s="180"/>
      <c r="K337" s="180"/>
      <c r="L337" s="180"/>
      <c r="M337" s="180"/>
      <c r="N337" s="180"/>
      <c r="O337" s="180"/>
      <c r="P337" s="180"/>
      <c r="Q337" s="180"/>
      <c r="R337" s="180"/>
      <c r="S337" s="180"/>
      <c r="T337" s="180"/>
      <c r="U337" s="180"/>
      <c r="V337" s="180"/>
    </row>
    <row r="338" spans="1:22" x14ac:dyDescent="0.25">
      <c r="B338" s="4"/>
      <c r="C338" s="6" t="s">
        <v>26</v>
      </c>
      <c r="D338" s="98"/>
      <c r="E338" s="98"/>
      <c r="F338" s="98"/>
    </row>
    <row r="339" spans="1:22" ht="34.5" x14ac:dyDescent="0.25">
      <c r="C339" s="17" t="s">
        <v>14</v>
      </c>
      <c r="D339" s="20" t="s">
        <v>21</v>
      </c>
      <c r="E339" s="20" t="s">
        <v>94</v>
      </c>
      <c r="F339" s="17" t="s">
        <v>13</v>
      </c>
      <c r="G339" s="17" t="s">
        <v>15</v>
      </c>
      <c r="H339" s="18" t="s">
        <v>1</v>
      </c>
      <c r="I339" s="19" t="s">
        <v>25</v>
      </c>
      <c r="J339" s="17" t="s">
        <v>2</v>
      </c>
      <c r="K339" s="20" t="s">
        <v>94</v>
      </c>
      <c r="L339" s="20" t="s">
        <v>22</v>
      </c>
      <c r="M339" s="19" t="s">
        <v>8</v>
      </c>
      <c r="N339" s="19" t="s">
        <v>16</v>
      </c>
      <c r="O339" s="19" t="s">
        <v>17</v>
      </c>
      <c r="P339" s="19" t="s">
        <v>18</v>
      </c>
      <c r="Q339" s="20" t="s">
        <v>10</v>
      </c>
      <c r="R339" s="20" t="s">
        <v>23</v>
      </c>
      <c r="S339" s="19" t="s">
        <v>9</v>
      </c>
      <c r="T339" s="19" t="s">
        <v>19</v>
      </c>
      <c r="U339" s="19" t="s">
        <v>20</v>
      </c>
      <c r="V339" s="19" t="s">
        <v>24</v>
      </c>
    </row>
    <row r="340" spans="1:22" x14ac:dyDescent="0.25">
      <c r="A340" s="6" t="s">
        <v>184</v>
      </c>
      <c r="C340" s="176" t="s">
        <v>57</v>
      </c>
      <c r="D340" s="56">
        <f>G340*E340</f>
        <v>4244</v>
      </c>
      <c r="E340" s="8">
        <v>212.2</v>
      </c>
      <c r="F340" s="8">
        <v>1</v>
      </c>
      <c r="G340" s="11">
        <v>20</v>
      </c>
      <c r="H340" s="7"/>
      <c r="I340" s="7"/>
      <c r="J340" s="25" t="s">
        <v>77</v>
      </c>
      <c r="K340" s="26">
        <v>191.7</v>
      </c>
      <c r="L340" s="46">
        <f>G341*K340</f>
        <v>4217.3999999999996</v>
      </c>
      <c r="M340" s="42" t="s">
        <v>27</v>
      </c>
      <c r="N340" s="45">
        <v>50600</v>
      </c>
      <c r="O340" s="1">
        <v>0.88300000000000001</v>
      </c>
      <c r="P340" s="11">
        <f>N340*O340</f>
        <v>44679.8</v>
      </c>
      <c r="Q340" s="8"/>
      <c r="R340" s="8"/>
      <c r="S340" s="7"/>
      <c r="T340" s="7"/>
      <c r="U340" s="7"/>
      <c r="V340" s="11">
        <f>T340*U340</f>
        <v>0</v>
      </c>
    </row>
    <row r="341" spans="1:22" x14ac:dyDescent="0.25">
      <c r="C341" s="8" t="s">
        <v>59</v>
      </c>
      <c r="D341" s="8">
        <f>G341*E341</f>
        <v>4274.16</v>
      </c>
      <c r="E341" s="8">
        <v>194.28</v>
      </c>
      <c r="F341" s="8">
        <v>1.1000000000000001</v>
      </c>
      <c r="G341" s="11">
        <f>G340*1.1</f>
        <v>22</v>
      </c>
      <c r="H341" s="1"/>
      <c r="I341" s="1"/>
      <c r="J341" s="25"/>
      <c r="K341" s="26"/>
      <c r="L341" s="46"/>
      <c r="M341" s="42"/>
      <c r="N341" s="2"/>
      <c r="O341" s="1"/>
      <c r="P341" s="11"/>
      <c r="Q341" s="8"/>
      <c r="R341" s="8"/>
      <c r="S341" s="7"/>
      <c r="T341" s="7"/>
      <c r="U341" s="7"/>
      <c r="V341" s="11">
        <f>T341*U341</f>
        <v>0</v>
      </c>
    </row>
    <row r="342" spans="1:22" x14ac:dyDescent="0.25">
      <c r="C342" s="10" t="s">
        <v>4</v>
      </c>
      <c r="D342" s="11">
        <f>SUM(D340:D341)</f>
        <v>8518.16</v>
      </c>
      <c r="E342" s="11">
        <f>SUM(E340:E341)</f>
        <v>406.48</v>
      </c>
      <c r="F342" s="10"/>
      <c r="G342" s="165">
        <f>SUM(G340:G341)</f>
        <v>42</v>
      </c>
      <c r="I342" s="23">
        <f>SUM(I340:I341)</f>
        <v>0</v>
      </c>
      <c r="L342" s="47">
        <f>SUM(L340:L341)</f>
        <v>4217.3999999999996</v>
      </c>
      <c r="N342" s="89">
        <f>SUM(N340:N341)</f>
        <v>50600</v>
      </c>
      <c r="P342" s="23">
        <f>SUM(P340:P341)</f>
        <v>44679.8</v>
      </c>
      <c r="R342" s="23">
        <f>SUM(R340:R341)</f>
        <v>0</v>
      </c>
      <c r="V342" s="23">
        <f>SUM(V340:V341)</f>
        <v>0</v>
      </c>
    </row>
    <row r="343" spans="1:22" x14ac:dyDescent="0.25">
      <c r="C343" s="4"/>
      <c r="D343" s="3"/>
      <c r="E343" s="3"/>
      <c r="F343" s="3"/>
      <c r="G343" s="4"/>
      <c r="H343" s="4"/>
      <c r="I343" s="4"/>
      <c r="M343" s="49"/>
      <c r="N343" s="4"/>
      <c r="O343" s="4"/>
      <c r="P343" s="4"/>
      <c r="Q343" s="4"/>
      <c r="R343" s="4"/>
      <c r="S343" s="4"/>
      <c r="T343" s="4"/>
      <c r="U343" s="4"/>
      <c r="V343" s="4"/>
    </row>
    <row r="344" spans="1:22" x14ac:dyDescent="0.25">
      <c r="C344" s="4"/>
      <c r="D344" s="3"/>
      <c r="E344" s="3"/>
      <c r="F344" s="3"/>
      <c r="G344" s="4"/>
      <c r="H344" s="4"/>
      <c r="K344" s="162" t="s">
        <v>133</v>
      </c>
      <c r="L344" s="96">
        <f>(T346/G340)*100</f>
        <v>89</v>
      </c>
      <c r="M344" s="49"/>
      <c r="O344" s="4"/>
      <c r="P344" s="4"/>
      <c r="Q344" s="4"/>
      <c r="R344" s="4"/>
      <c r="S344" s="4"/>
    </row>
    <row r="345" spans="1:22" x14ac:dyDescent="0.25">
      <c r="C345" s="4"/>
      <c r="D345" s="3"/>
      <c r="E345" s="3"/>
      <c r="F345" s="3"/>
      <c r="G345" s="4"/>
      <c r="H345" s="4"/>
      <c r="K345" s="159" t="s">
        <v>134</v>
      </c>
      <c r="L345" s="97">
        <f>(S346/(E342)*100)</f>
        <v>95.566817555599286</v>
      </c>
      <c r="M345" s="49"/>
      <c r="R345" s="5" t="s">
        <v>11</v>
      </c>
      <c r="S345" s="5" t="s">
        <v>12</v>
      </c>
      <c r="T345" s="5" t="s">
        <v>0</v>
      </c>
    </row>
    <row r="346" spans="1:22" x14ac:dyDescent="0.25">
      <c r="C346" s="4"/>
      <c r="D346" s="3"/>
      <c r="E346" s="3"/>
      <c r="F346" s="3"/>
      <c r="G346" s="4"/>
      <c r="H346" s="4"/>
      <c r="K346" s="162" t="s">
        <v>135</v>
      </c>
      <c r="L346" s="96">
        <f>(R346/D342)*100</f>
        <v>81.174666829456115</v>
      </c>
      <c r="P346" s="4"/>
      <c r="Q346" s="5" t="s">
        <v>3</v>
      </c>
      <c r="R346" s="9">
        <f>T346*S346</f>
        <v>6914.5879999999997</v>
      </c>
      <c r="S346" s="9">
        <v>388.46</v>
      </c>
      <c r="T346" s="22">
        <f>G340*0.89</f>
        <v>17.8</v>
      </c>
    </row>
    <row r="347" spans="1:22" ht="17.25" x14ac:dyDescent="0.25">
      <c r="C347" s="4"/>
      <c r="D347" s="3"/>
      <c r="E347" s="3"/>
      <c r="F347" s="3"/>
      <c r="G347" s="4"/>
      <c r="H347" s="4"/>
      <c r="K347" s="159" t="s">
        <v>136</v>
      </c>
      <c r="L347" s="13">
        <f>(D342+I342+L342+P342+R342+V342)/R346</f>
        <v>8.3035113588835667</v>
      </c>
      <c r="O347" s="4"/>
      <c r="P347" s="4"/>
      <c r="S347" s="98"/>
      <c r="T347" s="3"/>
    </row>
    <row r="348" spans="1:22" ht="17.25" x14ac:dyDescent="0.25">
      <c r="C348" s="4"/>
      <c r="D348" s="3"/>
      <c r="E348" s="3"/>
      <c r="F348" s="3"/>
      <c r="G348" s="4"/>
      <c r="H348" s="4"/>
      <c r="I348" s="4"/>
      <c r="K348" s="163" t="s">
        <v>137</v>
      </c>
      <c r="L348" s="15">
        <f>(D342+I342+L342)/R346</f>
        <v>1.8418393113226703</v>
      </c>
      <c r="N348" s="163" t="s">
        <v>139</v>
      </c>
      <c r="O348" s="14">
        <f>G340/N342*1000</f>
        <v>0.39525691699604742</v>
      </c>
      <c r="P348" s="4"/>
      <c r="S348" s="4"/>
    </row>
    <row r="349" spans="1:22" ht="17.25" x14ac:dyDescent="0.25">
      <c r="C349" s="4"/>
      <c r="D349" s="3"/>
      <c r="E349" s="3"/>
      <c r="F349" s="3"/>
      <c r="G349" s="4"/>
      <c r="H349" s="4"/>
      <c r="I349" s="4"/>
      <c r="K349" s="164" t="s">
        <v>138</v>
      </c>
      <c r="L349" s="16">
        <f>(P342+V342)/R346</f>
        <v>6.4616720475608966</v>
      </c>
      <c r="M349" s="4"/>
      <c r="N349" s="4"/>
      <c r="O349" s="4"/>
      <c r="P349" s="4"/>
      <c r="U349" s="4"/>
      <c r="V349" s="4"/>
    </row>
    <row r="350" spans="1:22" x14ac:dyDescent="0.25">
      <c r="C350" s="6"/>
      <c r="D350"/>
      <c r="E350" s="3"/>
      <c r="F350" s="3"/>
      <c r="G350" s="4"/>
      <c r="H350" s="4"/>
      <c r="I350" s="4"/>
      <c r="K350" s="4"/>
      <c r="M350" s="4"/>
      <c r="P350" s="4"/>
      <c r="Q350" s="4"/>
      <c r="R350" s="4"/>
      <c r="S350" s="4"/>
      <c r="T350" s="4"/>
      <c r="U350" s="4"/>
      <c r="V350" s="4"/>
    </row>
    <row r="351" spans="1:22" x14ac:dyDescent="0.25">
      <c r="B351" s="4"/>
      <c r="C351" s="6" t="s">
        <v>26</v>
      </c>
      <c r="D351" s="98"/>
      <c r="E351" s="98"/>
      <c r="F351" s="98"/>
    </row>
    <row r="352" spans="1:22" ht="34.5" x14ac:dyDescent="0.25">
      <c r="C352" s="17" t="s">
        <v>14</v>
      </c>
      <c r="D352" s="20" t="s">
        <v>21</v>
      </c>
      <c r="E352" s="20" t="s">
        <v>94</v>
      </c>
      <c r="F352" s="17" t="s">
        <v>13</v>
      </c>
      <c r="G352" s="17" t="s">
        <v>15</v>
      </c>
      <c r="H352" s="18" t="s">
        <v>1</v>
      </c>
      <c r="I352" s="19" t="s">
        <v>25</v>
      </c>
      <c r="J352" s="17" t="s">
        <v>2</v>
      </c>
      <c r="K352" s="20" t="s">
        <v>94</v>
      </c>
      <c r="L352" s="20" t="s">
        <v>22</v>
      </c>
      <c r="M352" s="19" t="s">
        <v>8</v>
      </c>
      <c r="N352" s="19" t="s">
        <v>16</v>
      </c>
      <c r="O352" s="19" t="s">
        <v>17</v>
      </c>
      <c r="P352" s="19" t="s">
        <v>18</v>
      </c>
      <c r="Q352" s="20" t="s">
        <v>10</v>
      </c>
      <c r="R352" s="20" t="s">
        <v>23</v>
      </c>
      <c r="S352" s="19" t="s">
        <v>9</v>
      </c>
      <c r="T352" s="19" t="s">
        <v>19</v>
      </c>
      <c r="U352" s="19" t="s">
        <v>20</v>
      </c>
      <c r="V352" s="19" t="s">
        <v>24</v>
      </c>
    </row>
    <row r="353" spans="1:22" x14ac:dyDescent="0.25">
      <c r="A353" s="6" t="s">
        <v>197</v>
      </c>
      <c r="C353" s="172">
        <v>20</v>
      </c>
      <c r="D353" s="56">
        <f>G353*E353</f>
        <v>15494.6</v>
      </c>
      <c r="E353" s="8">
        <v>774.73</v>
      </c>
      <c r="F353" s="8">
        <v>1</v>
      </c>
      <c r="G353" s="11">
        <v>20</v>
      </c>
      <c r="H353" s="7"/>
      <c r="I353" s="7"/>
      <c r="J353" s="25" t="s">
        <v>77</v>
      </c>
      <c r="K353" s="26">
        <v>191.7</v>
      </c>
      <c r="L353" s="46">
        <f>G354*K353</f>
        <v>4217.3999999999996</v>
      </c>
      <c r="M353" s="42" t="s">
        <v>27</v>
      </c>
      <c r="N353" s="45">
        <v>50600</v>
      </c>
      <c r="O353" s="1">
        <v>0.88300000000000001</v>
      </c>
      <c r="P353" s="11">
        <f>N353*O353</f>
        <v>44679.8</v>
      </c>
      <c r="Q353" s="8"/>
      <c r="R353" s="8"/>
      <c r="S353" s="7"/>
      <c r="T353" s="7"/>
      <c r="U353" s="7"/>
      <c r="V353" s="11">
        <f>T353*U353</f>
        <v>0</v>
      </c>
    </row>
    <row r="354" spans="1:22" x14ac:dyDescent="0.25">
      <c r="C354" s="69">
        <v>2</v>
      </c>
      <c r="D354" s="8">
        <f>G354*E354</f>
        <v>6894.14</v>
      </c>
      <c r="E354" s="8">
        <v>313.37</v>
      </c>
      <c r="F354" s="8">
        <v>1.1000000000000001</v>
      </c>
      <c r="G354" s="11">
        <f>G353*F354</f>
        <v>22</v>
      </c>
      <c r="H354" s="1"/>
      <c r="I354" s="1"/>
      <c r="J354" s="25"/>
      <c r="K354" s="26"/>
      <c r="L354" s="46"/>
      <c r="M354" s="42"/>
      <c r="N354" s="2"/>
      <c r="O354" s="1"/>
      <c r="P354" s="11"/>
      <c r="Q354" s="8"/>
      <c r="R354" s="8"/>
      <c r="S354" s="7"/>
      <c r="T354" s="7"/>
      <c r="U354" s="7"/>
      <c r="V354" s="11">
        <f>T354*U354</f>
        <v>0</v>
      </c>
    </row>
    <row r="355" spans="1:22" x14ac:dyDescent="0.25">
      <c r="C355" s="10" t="s">
        <v>4</v>
      </c>
      <c r="D355" s="11">
        <f>SUM(D353:D354)</f>
        <v>22388.74</v>
      </c>
      <c r="E355" s="11">
        <f>SUM(E353:E354)</f>
        <v>1088.0999999999999</v>
      </c>
      <c r="F355" s="10"/>
      <c r="G355" s="165">
        <f>SUM(G353:G354)</f>
        <v>42</v>
      </c>
      <c r="I355" s="23">
        <f>SUM(I353:I354)</f>
        <v>0</v>
      </c>
      <c r="L355" s="47">
        <f>SUM(L353:L354)</f>
        <v>4217.3999999999996</v>
      </c>
      <c r="N355" s="89">
        <f>SUM(N353:N354)</f>
        <v>50600</v>
      </c>
      <c r="P355" s="23">
        <f>SUM(P353:P354)</f>
        <v>44679.8</v>
      </c>
      <c r="R355" s="23">
        <f>SUM(R353:R354)</f>
        <v>0</v>
      </c>
      <c r="V355" s="23">
        <f>SUM(V353:V354)</f>
        <v>0</v>
      </c>
    </row>
    <row r="356" spans="1:22" x14ac:dyDescent="0.25">
      <c r="C356" s="4"/>
      <c r="D356" s="3"/>
      <c r="E356" s="3"/>
      <c r="F356" s="3"/>
      <c r="G356" s="4"/>
      <c r="H356" s="4"/>
      <c r="I356" s="4"/>
      <c r="M356" s="49"/>
      <c r="N356" s="4"/>
      <c r="O356" s="4"/>
      <c r="P356" s="4"/>
      <c r="Q356" s="4"/>
      <c r="R356" s="4"/>
      <c r="S356" s="4"/>
      <c r="T356" s="4"/>
      <c r="U356" s="4"/>
      <c r="V356" s="4"/>
    </row>
    <row r="357" spans="1:22" x14ac:dyDescent="0.25">
      <c r="C357" s="4"/>
      <c r="D357" s="3"/>
      <c r="E357" s="3"/>
      <c r="F357" s="3"/>
      <c r="G357" s="4"/>
      <c r="H357" s="4"/>
      <c r="K357" s="162" t="s">
        <v>133</v>
      </c>
      <c r="L357" s="96">
        <f>(T359/G353)*100</f>
        <v>84.000000000000014</v>
      </c>
      <c r="M357" s="49"/>
      <c r="O357" s="4"/>
      <c r="P357" s="4"/>
      <c r="Q357" s="4"/>
      <c r="R357" s="4"/>
      <c r="S357" s="4"/>
    </row>
    <row r="358" spans="1:22" x14ac:dyDescent="0.25">
      <c r="C358" s="4"/>
      <c r="D358" s="3"/>
      <c r="E358" s="3"/>
      <c r="F358" s="3"/>
      <c r="G358" s="4"/>
      <c r="H358" s="4"/>
      <c r="K358" s="159" t="s">
        <v>134</v>
      </c>
      <c r="L358" s="97">
        <f>(S359/(E355)*100)</f>
        <v>82.518150905247694</v>
      </c>
      <c r="M358" s="49"/>
      <c r="R358" s="5" t="s">
        <v>11</v>
      </c>
      <c r="S358" s="5" t="s">
        <v>12</v>
      </c>
      <c r="T358" s="5" t="s">
        <v>0</v>
      </c>
    </row>
    <row r="359" spans="1:22" x14ac:dyDescent="0.25">
      <c r="C359" s="4"/>
      <c r="D359" s="3"/>
      <c r="E359" s="3"/>
      <c r="F359" s="3"/>
      <c r="G359" s="4"/>
      <c r="H359" s="4"/>
      <c r="K359" s="162" t="s">
        <v>135</v>
      </c>
      <c r="L359" s="96">
        <f>(R359/D355)*100</f>
        <v>67.374867902347333</v>
      </c>
      <c r="P359" s="4"/>
      <c r="Q359" s="5" t="s">
        <v>3</v>
      </c>
      <c r="R359" s="9">
        <f>T359*S359</f>
        <v>15084.384</v>
      </c>
      <c r="S359" s="9">
        <v>897.88</v>
      </c>
      <c r="T359" s="22">
        <f>G353*0.84</f>
        <v>16.8</v>
      </c>
    </row>
    <row r="360" spans="1:22" ht="17.25" x14ac:dyDescent="0.25">
      <c r="C360" s="4"/>
      <c r="D360" s="3"/>
      <c r="E360" s="3"/>
      <c r="F360" s="3"/>
      <c r="G360" s="4"/>
      <c r="H360" s="4"/>
      <c r="K360" s="159" t="s">
        <v>136</v>
      </c>
      <c r="L360" s="13">
        <f>(D355+I355+L355+P355+R355+V355)/R359</f>
        <v>4.7258104805605585</v>
      </c>
      <c r="O360" s="4"/>
      <c r="P360" s="4"/>
      <c r="S360" s="98"/>
      <c r="T360" s="3"/>
    </row>
    <row r="361" spans="1:22" ht="17.25" x14ac:dyDescent="0.25">
      <c r="C361" s="4"/>
      <c r="D361" s="3"/>
      <c r="E361" s="3"/>
      <c r="F361" s="3"/>
      <c r="G361" s="4"/>
      <c r="H361" s="4"/>
      <c r="I361" s="4"/>
      <c r="K361" s="163" t="s">
        <v>137</v>
      </c>
      <c r="L361" s="15">
        <f>(D355+I355+L355)/R359</f>
        <v>1.763820120198478</v>
      </c>
      <c r="N361" s="163" t="s">
        <v>139</v>
      </c>
      <c r="O361" s="14">
        <f>G353/N355*1000</f>
        <v>0.39525691699604742</v>
      </c>
      <c r="P361" s="4"/>
      <c r="S361" s="4"/>
    </row>
    <row r="362" spans="1:22" ht="17.25" x14ac:dyDescent="0.25">
      <c r="C362" s="4"/>
      <c r="D362" s="3"/>
      <c r="E362" s="3"/>
      <c r="F362" s="3"/>
      <c r="G362" s="4"/>
      <c r="H362" s="4"/>
      <c r="I362" s="4"/>
      <c r="K362" s="164" t="s">
        <v>138</v>
      </c>
      <c r="L362" s="16">
        <f>(P355+V355)/R359</f>
        <v>2.9619903603620807</v>
      </c>
      <c r="M362" s="4"/>
      <c r="N362" s="4"/>
      <c r="O362" s="4"/>
      <c r="P362" s="4"/>
      <c r="U362" s="4"/>
      <c r="V362" s="4"/>
    </row>
    <row r="363" spans="1:22" x14ac:dyDescent="0.25">
      <c r="C363" s="6"/>
      <c r="D363"/>
      <c r="E363" s="3"/>
      <c r="F363" s="3"/>
      <c r="G363" s="4"/>
      <c r="H363" s="4"/>
      <c r="I363" s="4"/>
      <c r="K363" s="4"/>
      <c r="M363" s="4"/>
      <c r="P363" s="4"/>
      <c r="Q363" s="4"/>
      <c r="R363" s="4"/>
      <c r="S363" s="4"/>
      <c r="T363" s="4"/>
      <c r="U363" s="4"/>
      <c r="V363" s="4"/>
    </row>
    <row r="364" spans="1:22" x14ac:dyDescent="0.25">
      <c r="D364" s="98"/>
      <c r="E364" s="98"/>
      <c r="F364" s="98"/>
    </row>
    <row r="365" spans="1:22" s="179" customFormat="1" x14ac:dyDescent="0.25">
      <c r="A365" s="167" t="s">
        <v>160</v>
      </c>
      <c r="B365" s="180"/>
      <c r="C365" s="180"/>
      <c r="D365" s="169"/>
      <c r="E365" s="169"/>
      <c r="F365" s="169"/>
      <c r="G365" s="180"/>
      <c r="H365" s="180"/>
      <c r="I365" s="180"/>
      <c r="J365" s="180"/>
      <c r="K365" s="180"/>
      <c r="L365" s="180"/>
      <c r="M365" s="180"/>
      <c r="N365" s="180"/>
      <c r="O365" s="180"/>
      <c r="P365" s="180"/>
      <c r="Q365" s="180"/>
      <c r="R365" s="180"/>
      <c r="S365" s="180"/>
      <c r="T365" s="180"/>
      <c r="U365" s="180"/>
      <c r="V365" s="180"/>
    </row>
    <row r="366" spans="1:22" x14ac:dyDescent="0.25">
      <c r="B366" s="4"/>
      <c r="C366" s="6" t="s">
        <v>26</v>
      </c>
      <c r="D366" s="98"/>
      <c r="E366" s="98"/>
      <c r="F366" s="98"/>
    </row>
    <row r="367" spans="1:22" ht="34.5" x14ac:dyDescent="0.25">
      <c r="C367" s="17" t="s">
        <v>14</v>
      </c>
      <c r="D367" s="20" t="s">
        <v>21</v>
      </c>
      <c r="E367" s="20" t="s">
        <v>94</v>
      </c>
      <c r="F367" s="17" t="s">
        <v>13</v>
      </c>
      <c r="G367" s="17" t="s">
        <v>15</v>
      </c>
      <c r="H367" s="18" t="s">
        <v>1</v>
      </c>
      <c r="I367" s="19" t="s">
        <v>25</v>
      </c>
      <c r="J367" s="17" t="s">
        <v>2</v>
      </c>
      <c r="K367" s="20" t="s">
        <v>94</v>
      </c>
      <c r="L367" s="20" t="s">
        <v>22</v>
      </c>
      <c r="M367" s="19" t="s">
        <v>8</v>
      </c>
      <c r="N367" s="19" t="s">
        <v>16</v>
      </c>
      <c r="O367" s="19" t="s">
        <v>17</v>
      </c>
      <c r="P367" s="19" t="s">
        <v>18</v>
      </c>
      <c r="Q367" s="20" t="s">
        <v>10</v>
      </c>
      <c r="R367" s="20" t="s">
        <v>23</v>
      </c>
      <c r="S367" s="19" t="s">
        <v>9</v>
      </c>
      <c r="T367" s="19" t="s">
        <v>19</v>
      </c>
      <c r="U367" s="19" t="s">
        <v>20</v>
      </c>
      <c r="V367" s="19" t="s">
        <v>24</v>
      </c>
    </row>
    <row r="368" spans="1:22" x14ac:dyDescent="0.25">
      <c r="A368" s="6" t="s">
        <v>184</v>
      </c>
      <c r="C368" s="176" t="s">
        <v>57</v>
      </c>
      <c r="D368" s="56">
        <f>G368*E368</f>
        <v>4244</v>
      </c>
      <c r="E368" s="8">
        <v>212.2</v>
      </c>
      <c r="F368" s="8">
        <v>1</v>
      </c>
      <c r="G368" s="11">
        <v>20</v>
      </c>
      <c r="H368" s="7"/>
      <c r="I368" s="7"/>
      <c r="J368" s="25" t="s">
        <v>81</v>
      </c>
      <c r="K368" s="26">
        <v>120.58</v>
      </c>
      <c r="L368" s="46">
        <f>G369*K368</f>
        <v>2652.7599999999998</v>
      </c>
      <c r="M368" s="42" t="s">
        <v>27</v>
      </c>
      <c r="N368" s="45">
        <v>50600</v>
      </c>
      <c r="O368" s="1">
        <v>0.88300000000000001</v>
      </c>
      <c r="P368" s="11">
        <f>N368*O368</f>
        <v>44679.8</v>
      </c>
      <c r="Q368" s="8"/>
      <c r="R368" s="8"/>
      <c r="S368" s="7"/>
      <c r="T368" s="7"/>
      <c r="U368" s="7"/>
      <c r="V368" s="11">
        <f>T368*U368</f>
        <v>0</v>
      </c>
    </row>
    <row r="369" spans="1:22" x14ac:dyDescent="0.25">
      <c r="C369" s="8" t="s">
        <v>59</v>
      </c>
      <c r="D369" s="8">
        <f>G369*E369</f>
        <v>4274.16</v>
      </c>
      <c r="E369" s="8">
        <v>194.28</v>
      </c>
      <c r="F369" s="8">
        <v>1.1000000000000001</v>
      </c>
      <c r="G369" s="11">
        <f>G368*1.1</f>
        <v>22</v>
      </c>
      <c r="H369" s="1"/>
      <c r="I369" s="1"/>
      <c r="J369" s="25"/>
      <c r="K369" s="26"/>
      <c r="L369" s="46"/>
      <c r="M369" s="42"/>
      <c r="N369" s="2"/>
      <c r="O369" s="1"/>
      <c r="P369" s="11"/>
      <c r="Q369" s="8"/>
      <c r="R369" s="8"/>
      <c r="S369" s="7"/>
      <c r="T369" s="7"/>
      <c r="U369" s="7"/>
      <c r="V369" s="11">
        <f>T369*U369</f>
        <v>0</v>
      </c>
    </row>
    <row r="370" spans="1:22" x14ac:dyDescent="0.25">
      <c r="C370" s="10" t="s">
        <v>4</v>
      </c>
      <c r="D370" s="11">
        <f>SUM(D368:D369)</f>
        <v>8518.16</v>
      </c>
      <c r="E370" s="11">
        <f>SUM(E368:E369)</f>
        <v>406.48</v>
      </c>
      <c r="F370" s="10"/>
      <c r="G370" s="165">
        <f>SUM(G368:G369)</f>
        <v>42</v>
      </c>
      <c r="I370" s="23">
        <f>SUM(I368:I369)</f>
        <v>0</v>
      </c>
      <c r="L370" s="47">
        <f>SUM(L368:L369)</f>
        <v>2652.7599999999998</v>
      </c>
      <c r="N370" s="89">
        <f>SUM(N368:N369)</f>
        <v>50600</v>
      </c>
      <c r="P370" s="23">
        <f>SUM(P368:P369)</f>
        <v>44679.8</v>
      </c>
      <c r="R370" s="23">
        <f>SUM(R368:R369)</f>
        <v>0</v>
      </c>
      <c r="V370" s="23">
        <f>SUM(V368:V369)</f>
        <v>0</v>
      </c>
    </row>
    <row r="371" spans="1:22" x14ac:dyDescent="0.25">
      <c r="C371" s="4"/>
      <c r="D371" s="3"/>
      <c r="E371" s="3"/>
      <c r="F371" s="3"/>
      <c r="G371" s="4"/>
      <c r="H371" s="4"/>
      <c r="I371" s="4"/>
      <c r="M371" s="49"/>
      <c r="N371" s="4"/>
      <c r="O371" s="4"/>
      <c r="P371" s="4"/>
      <c r="Q371" s="4"/>
      <c r="R371" s="4"/>
      <c r="S371" s="4"/>
      <c r="T371" s="4"/>
      <c r="U371" s="4"/>
      <c r="V371" s="4"/>
    </row>
    <row r="372" spans="1:22" x14ac:dyDescent="0.25">
      <c r="C372" s="4"/>
      <c r="D372" s="3"/>
      <c r="E372" s="3"/>
      <c r="F372" s="3"/>
      <c r="G372" s="4"/>
      <c r="H372" s="4"/>
      <c r="K372" s="162" t="s">
        <v>133</v>
      </c>
      <c r="L372" s="96">
        <f>(T374/G368)*100</f>
        <v>89</v>
      </c>
      <c r="M372" s="49"/>
      <c r="O372" s="4"/>
      <c r="P372" s="4"/>
      <c r="Q372" s="4"/>
      <c r="R372" s="4"/>
      <c r="S372" s="4"/>
    </row>
    <row r="373" spans="1:22" x14ac:dyDescent="0.25">
      <c r="C373" s="4"/>
      <c r="D373" s="3"/>
      <c r="E373" s="3"/>
      <c r="F373" s="3"/>
      <c r="G373" s="4"/>
      <c r="H373" s="4"/>
      <c r="K373" s="159" t="s">
        <v>134</v>
      </c>
      <c r="L373" s="97">
        <f>(S374/(E370)*100)</f>
        <v>95.566817555599286</v>
      </c>
      <c r="M373" s="49"/>
      <c r="R373" s="5" t="s">
        <v>11</v>
      </c>
      <c r="S373" s="5" t="s">
        <v>12</v>
      </c>
      <c r="T373" s="5" t="s">
        <v>0</v>
      </c>
    </row>
    <row r="374" spans="1:22" x14ac:dyDescent="0.25">
      <c r="C374" s="4"/>
      <c r="D374" s="3"/>
      <c r="E374" s="3"/>
      <c r="F374" s="3"/>
      <c r="G374" s="4"/>
      <c r="H374" s="4"/>
      <c r="K374" s="162" t="s">
        <v>135</v>
      </c>
      <c r="L374" s="96">
        <f>(R374/D370)*100</f>
        <v>81.174666829456115</v>
      </c>
      <c r="P374" s="4"/>
      <c r="Q374" s="5" t="s">
        <v>3</v>
      </c>
      <c r="R374" s="9">
        <f>T374*S374</f>
        <v>6914.5879999999997</v>
      </c>
      <c r="S374" s="9">
        <v>388.46</v>
      </c>
      <c r="T374" s="22">
        <f>G368*0.89</f>
        <v>17.8</v>
      </c>
    </row>
    <row r="375" spans="1:22" ht="17.25" x14ac:dyDescent="0.25">
      <c r="C375" s="4"/>
      <c r="D375" s="3"/>
      <c r="E375" s="3"/>
      <c r="F375" s="3"/>
      <c r="G375" s="4"/>
      <c r="H375" s="4"/>
      <c r="K375" s="159" t="s">
        <v>136</v>
      </c>
      <c r="L375" s="13">
        <f>(D370+I370+L370+P370+R370+V370)/R374</f>
        <v>8.0772303425742802</v>
      </c>
      <c r="O375" s="4"/>
      <c r="P375" s="4"/>
      <c r="S375" s="98"/>
      <c r="T375" s="3"/>
    </row>
    <row r="376" spans="1:22" ht="17.25" x14ac:dyDescent="0.25">
      <c r="C376" s="4"/>
      <c r="D376" s="3"/>
      <c r="E376" s="3"/>
      <c r="F376" s="3"/>
      <c r="G376" s="4"/>
      <c r="H376" s="4"/>
      <c r="I376" s="4"/>
      <c r="K376" s="163" t="s">
        <v>137</v>
      </c>
      <c r="L376" s="15">
        <f>(D370+I370+L370)/R374</f>
        <v>1.6155582950133833</v>
      </c>
      <c r="N376" s="163" t="s">
        <v>139</v>
      </c>
      <c r="O376" s="14">
        <f>G368/N370*1000</f>
        <v>0.39525691699604742</v>
      </c>
      <c r="P376" s="4"/>
      <c r="S376" s="4"/>
    </row>
    <row r="377" spans="1:22" ht="17.25" x14ac:dyDescent="0.25">
      <c r="C377" s="4"/>
      <c r="D377" s="3"/>
      <c r="E377" s="3"/>
      <c r="F377" s="3"/>
      <c r="G377" s="4"/>
      <c r="H377" s="4"/>
      <c r="I377" s="4"/>
      <c r="K377" s="164" t="s">
        <v>138</v>
      </c>
      <c r="L377" s="16">
        <f>(P370+V370)/R374</f>
        <v>6.4616720475608966</v>
      </c>
      <c r="M377" s="4"/>
      <c r="N377" s="4"/>
      <c r="O377" s="4"/>
      <c r="P377" s="4"/>
      <c r="U377" s="4"/>
      <c r="V377" s="4"/>
    </row>
    <row r="378" spans="1:22" x14ac:dyDescent="0.25">
      <c r="C378" s="6"/>
      <c r="D378"/>
      <c r="E378" s="3"/>
      <c r="F378" s="3"/>
      <c r="G378" s="4"/>
      <c r="H378" s="4"/>
      <c r="I378" s="4"/>
      <c r="K378" s="4"/>
      <c r="M378" s="4"/>
      <c r="P378" s="4"/>
      <c r="Q378" s="4"/>
      <c r="R378" s="4"/>
      <c r="S378" s="4"/>
      <c r="T378" s="4"/>
      <c r="U378" s="4"/>
      <c r="V378" s="4"/>
    </row>
    <row r="379" spans="1:22" x14ac:dyDescent="0.25">
      <c r="B379" s="4"/>
      <c r="C379" s="6" t="s">
        <v>26</v>
      </c>
      <c r="D379" s="98"/>
      <c r="E379" s="98"/>
      <c r="F379" s="98"/>
    </row>
    <row r="380" spans="1:22" ht="34.5" x14ac:dyDescent="0.25">
      <c r="C380" s="17" t="s">
        <v>14</v>
      </c>
      <c r="D380" s="20" t="s">
        <v>21</v>
      </c>
      <c r="E380" s="20" t="s">
        <v>94</v>
      </c>
      <c r="F380" s="17" t="s">
        <v>13</v>
      </c>
      <c r="G380" s="17" t="s">
        <v>15</v>
      </c>
      <c r="H380" s="18" t="s">
        <v>1</v>
      </c>
      <c r="I380" s="19" t="s">
        <v>25</v>
      </c>
      <c r="J380" s="17" t="s">
        <v>2</v>
      </c>
      <c r="K380" s="20" t="s">
        <v>94</v>
      </c>
      <c r="L380" s="20" t="s">
        <v>22</v>
      </c>
      <c r="M380" s="19" t="s">
        <v>8</v>
      </c>
      <c r="N380" s="19" t="s">
        <v>16</v>
      </c>
      <c r="O380" s="19" t="s">
        <v>17</v>
      </c>
      <c r="P380" s="19" t="s">
        <v>18</v>
      </c>
      <c r="Q380" s="20" t="s">
        <v>10</v>
      </c>
      <c r="R380" s="20" t="s">
        <v>23</v>
      </c>
      <c r="S380" s="19" t="s">
        <v>9</v>
      </c>
      <c r="T380" s="19" t="s">
        <v>19</v>
      </c>
      <c r="U380" s="19" t="s">
        <v>20</v>
      </c>
      <c r="V380" s="19" t="s">
        <v>24</v>
      </c>
    </row>
    <row r="381" spans="1:22" x14ac:dyDescent="0.25">
      <c r="A381" s="6" t="s">
        <v>197</v>
      </c>
      <c r="C381" s="172">
        <v>20</v>
      </c>
      <c r="D381" s="56">
        <f>G381*E381</f>
        <v>15494.6</v>
      </c>
      <c r="E381" s="8">
        <v>774.73</v>
      </c>
      <c r="F381" s="8">
        <v>1</v>
      </c>
      <c r="G381" s="11">
        <v>20</v>
      </c>
      <c r="H381" s="7"/>
      <c r="I381" s="7"/>
      <c r="J381" s="25" t="s">
        <v>81</v>
      </c>
      <c r="K381" s="26">
        <v>120.58</v>
      </c>
      <c r="L381" s="46">
        <f>G382*K381</f>
        <v>2652.7599999999998</v>
      </c>
      <c r="M381" s="42" t="s">
        <v>27</v>
      </c>
      <c r="N381" s="45">
        <v>50600</v>
      </c>
      <c r="O381" s="1">
        <v>0.88300000000000001</v>
      </c>
      <c r="P381" s="11">
        <f>N381*O381</f>
        <v>44679.8</v>
      </c>
      <c r="Q381" s="8"/>
      <c r="R381" s="8"/>
      <c r="S381" s="7"/>
      <c r="T381" s="7"/>
      <c r="U381" s="7"/>
      <c r="V381" s="11">
        <f>T381*U381</f>
        <v>0</v>
      </c>
    </row>
    <row r="382" spans="1:22" x14ac:dyDescent="0.25">
      <c r="C382" s="69">
        <v>2</v>
      </c>
      <c r="D382" s="8">
        <f>G382*E382</f>
        <v>6894.14</v>
      </c>
      <c r="E382" s="8">
        <v>313.37</v>
      </c>
      <c r="F382" s="8">
        <v>1.1000000000000001</v>
      </c>
      <c r="G382" s="11">
        <f>G381*F382</f>
        <v>22</v>
      </c>
      <c r="H382" s="1"/>
      <c r="I382" s="1"/>
      <c r="J382" s="25"/>
      <c r="K382" s="26"/>
      <c r="L382" s="46"/>
      <c r="M382" s="42"/>
      <c r="N382" s="2"/>
      <c r="O382" s="1"/>
      <c r="P382" s="11"/>
      <c r="Q382" s="8"/>
      <c r="R382" s="8"/>
      <c r="S382" s="7"/>
      <c r="T382" s="7"/>
      <c r="U382" s="7"/>
      <c r="V382" s="11">
        <f>T382*U382</f>
        <v>0</v>
      </c>
    </row>
    <row r="383" spans="1:22" x14ac:dyDescent="0.25">
      <c r="C383" s="10" t="s">
        <v>4</v>
      </c>
      <c r="D383" s="11">
        <f>SUM(D381:D382)</f>
        <v>22388.74</v>
      </c>
      <c r="E383" s="11">
        <f>SUM(E381:E382)</f>
        <v>1088.0999999999999</v>
      </c>
      <c r="F383" s="10"/>
      <c r="G383" s="165">
        <f>SUM(G381:G382)</f>
        <v>42</v>
      </c>
      <c r="I383" s="23">
        <f>SUM(I381:I382)</f>
        <v>0</v>
      </c>
      <c r="L383" s="47">
        <f>SUM(L381:L382)</f>
        <v>2652.7599999999998</v>
      </c>
      <c r="N383" s="89">
        <f>SUM(N381:N382)</f>
        <v>50600</v>
      </c>
      <c r="P383" s="23">
        <f>SUM(P381:P382)</f>
        <v>44679.8</v>
      </c>
      <c r="R383" s="23">
        <f>SUM(R381:R382)</f>
        <v>0</v>
      </c>
      <c r="V383" s="23">
        <f>SUM(V381:V382)</f>
        <v>0</v>
      </c>
    </row>
    <row r="384" spans="1:22" x14ac:dyDescent="0.25">
      <c r="C384" s="4"/>
      <c r="D384" s="3"/>
      <c r="E384" s="3"/>
      <c r="F384" s="3"/>
      <c r="G384" s="4"/>
      <c r="H384" s="4"/>
      <c r="I384" s="4"/>
      <c r="M384" s="49"/>
      <c r="N384" s="4"/>
      <c r="O384" s="4"/>
      <c r="P384" s="4"/>
      <c r="Q384" s="4"/>
      <c r="R384" s="4"/>
      <c r="S384" s="4"/>
      <c r="T384" s="4"/>
      <c r="U384" s="4"/>
      <c r="V384" s="4"/>
    </row>
    <row r="385" spans="1:22" x14ac:dyDescent="0.25">
      <c r="C385" s="4"/>
      <c r="D385" s="3"/>
      <c r="E385" s="3"/>
      <c r="F385" s="3"/>
      <c r="G385" s="4"/>
      <c r="H385" s="4"/>
      <c r="K385" s="162" t="s">
        <v>133</v>
      </c>
      <c r="L385" s="96">
        <f>(T387/G381)*100</f>
        <v>84.000000000000014</v>
      </c>
      <c r="M385" s="49"/>
      <c r="O385" s="4"/>
      <c r="P385" s="4"/>
      <c r="Q385" s="4"/>
      <c r="R385" s="4"/>
      <c r="S385" s="4"/>
    </row>
    <row r="386" spans="1:22" x14ac:dyDescent="0.25">
      <c r="C386" s="4"/>
      <c r="D386" s="3"/>
      <c r="E386" s="3"/>
      <c r="F386" s="3"/>
      <c r="G386" s="4"/>
      <c r="H386" s="4"/>
      <c r="K386" s="159" t="s">
        <v>134</v>
      </c>
      <c r="L386" s="97">
        <f>(S387/(E383)*100)</f>
        <v>82.518150905247694</v>
      </c>
      <c r="M386" s="49"/>
      <c r="R386" s="5" t="s">
        <v>11</v>
      </c>
      <c r="S386" s="5" t="s">
        <v>12</v>
      </c>
      <c r="T386" s="5" t="s">
        <v>0</v>
      </c>
    </row>
    <row r="387" spans="1:22" x14ac:dyDescent="0.25">
      <c r="C387" s="4"/>
      <c r="D387" s="3"/>
      <c r="E387" s="3"/>
      <c r="F387" s="3"/>
      <c r="G387" s="4"/>
      <c r="H387" s="4"/>
      <c r="K387" s="162" t="s">
        <v>135</v>
      </c>
      <c r="L387" s="96">
        <f>(R387/D383)*100</f>
        <v>67.374867902347333</v>
      </c>
      <c r="P387" s="4"/>
      <c r="Q387" s="5" t="s">
        <v>3</v>
      </c>
      <c r="R387" s="9">
        <f>T387*S387</f>
        <v>15084.384</v>
      </c>
      <c r="S387" s="9">
        <v>897.88</v>
      </c>
      <c r="T387" s="22">
        <f>G381*0.84</f>
        <v>16.8</v>
      </c>
    </row>
    <row r="388" spans="1:22" ht="17.25" x14ac:dyDescent="0.25">
      <c r="C388" s="4"/>
      <c r="D388" s="3"/>
      <c r="E388" s="3"/>
      <c r="F388" s="3"/>
      <c r="G388" s="4"/>
      <c r="H388" s="4"/>
      <c r="K388" s="159" t="s">
        <v>136</v>
      </c>
      <c r="L388" s="13">
        <f>(D383+I383+L383+P383+R383+V383)/R387</f>
        <v>4.6220846671630742</v>
      </c>
      <c r="O388" s="4"/>
      <c r="P388" s="4"/>
      <c r="S388" s="98"/>
      <c r="T388" s="3"/>
    </row>
    <row r="389" spans="1:22" ht="17.25" x14ac:dyDescent="0.25">
      <c r="C389" s="4"/>
      <c r="D389" s="3"/>
      <c r="E389" s="3"/>
      <c r="F389" s="3"/>
      <c r="G389" s="4"/>
      <c r="H389" s="4"/>
      <c r="I389" s="4"/>
      <c r="K389" s="163" t="s">
        <v>137</v>
      </c>
      <c r="L389" s="15">
        <f>(D383+I383+L383)/R387</f>
        <v>1.6600943068009937</v>
      </c>
      <c r="N389" s="163" t="s">
        <v>139</v>
      </c>
      <c r="O389" s="14">
        <f>G381/N383*1000</f>
        <v>0.39525691699604742</v>
      </c>
      <c r="P389" s="4"/>
      <c r="S389" s="4"/>
    </row>
    <row r="390" spans="1:22" ht="17.25" x14ac:dyDescent="0.25">
      <c r="C390" s="4"/>
      <c r="D390" s="3"/>
      <c r="E390" s="3"/>
      <c r="F390" s="3"/>
      <c r="G390" s="4"/>
      <c r="H390" s="4"/>
      <c r="I390" s="4"/>
      <c r="K390" s="164" t="s">
        <v>138</v>
      </c>
      <c r="L390" s="16">
        <f>(P383+V383)/R387</f>
        <v>2.9619903603620807</v>
      </c>
      <c r="M390" s="4"/>
      <c r="N390" s="4"/>
      <c r="O390" s="4"/>
      <c r="P390" s="4"/>
      <c r="U390" s="4"/>
      <c r="V390" s="4"/>
    </row>
    <row r="391" spans="1:22" x14ac:dyDescent="0.25">
      <c r="C391" s="6"/>
      <c r="D391"/>
      <c r="E391" s="3"/>
      <c r="F391" s="3"/>
      <c r="G391" s="4"/>
      <c r="H391" s="4"/>
      <c r="I391" s="4"/>
      <c r="K391" s="4"/>
      <c r="M391" s="4"/>
      <c r="P391" s="4"/>
      <c r="Q391" s="4"/>
      <c r="R391" s="4"/>
      <c r="S391" s="4"/>
      <c r="T391" s="4"/>
      <c r="U391" s="4"/>
      <c r="V391" s="4"/>
    </row>
    <row r="392" spans="1:22" x14ac:dyDescent="0.25">
      <c r="C392" s="6"/>
      <c r="D392"/>
      <c r="E392" s="3"/>
      <c r="F392" s="3"/>
      <c r="G392" s="4"/>
      <c r="H392" s="4"/>
      <c r="I392" s="4"/>
      <c r="M392" s="4"/>
      <c r="N392" s="4"/>
      <c r="O392" s="4"/>
      <c r="P392" s="4"/>
      <c r="Q392" s="4"/>
      <c r="R392" s="4"/>
      <c r="S392" s="4"/>
      <c r="T392" s="4"/>
      <c r="U392" s="4"/>
      <c r="V392" s="4"/>
    </row>
    <row r="393" spans="1:22" s="179" customFormat="1" x14ac:dyDescent="0.25">
      <c r="A393" s="167" t="s">
        <v>161</v>
      </c>
      <c r="B393" s="180"/>
      <c r="C393" s="180"/>
      <c r="D393" s="169"/>
      <c r="E393" s="169"/>
      <c r="F393" s="169"/>
      <c r="G393" s="180"/>
      <c r="H393" s="180"/>
      <c r="I393" s="180"/>
      <c r="J393" s="180"/>
      <c r="K393" s="180"/>
      <c r="L393" s="180"/>
      <c r="M393" s="180"/>
      <c r="N393" s="180"/>
      <c r="O393" s="180"/>
      <c r="P393" s="180"/>
      <c r="Q393" s="180"/>
      <c r="R393" s="180"/>
      <c r="S393" s="180"/>
      <c r="T393" s="180"/>
      <c r="U393" s="180"/>
      <c r="V393" s="180"/>
    </row>
    <row r="394" spans="1:22" x14ac:dyDescent="0.25">
      <c r="B394" s="4"/>
      <c r="C394" s="6" t="s">
        <v>26</v>
      </c>
      <c r="D394" s="98"/>
      <c r="E394" s="98"/>
      <c r="F394" s="98"/>
    </row>
    <row r="395" spans="1:22" ht="34.5" x14ac:dyDescent="0.25">
      <c r="C395" s="17" t="s">
        <v>14</v>
      </c>
      <c r="D395" s="20" t="s">
        <v>21</v>
      </c>
      <c r="E395" s="20" t="s">
        <v>94</v>
      </c>
      <c r="F395" s="17" t="s">
        <v>13</v>
      </c>
      <c r="G395" s="17" t="s">
        <v>15</v>
      </c>
      <c r="H395" s="18" t="s">
        <v>1</v>
      </c>
      <c r="I395" s="19" t="s">
        <v>25</v>
      </c>
      <c r="J395" s="17" t="s">
        <v>2</v>
      </c>
      <c r="K395" s="20" t="s">
        <v>94</v>
      </c>
      <c r="L395" s="20" t="s">
        <v>22</v>
      </c>
      <c r="M395" s="19" t="s">
        <v>8</v>
      </c>
      <c r="N395" s="19" t="s">
        <v>16</v>
      </c>
      <c r="O395" s="19" t="s">
        <v>17</v>
      </c>
      <c r="P395" s="19" t="s">
        <v>18</v>
      </c>
      <c r="Q395" s="20" t="s">
        <v>10</v>
      </c>
      <c r="R395" s="20" t="s">
        <v>23</v>
      </c>
      <c r="S395" s="19" t="s">
        <v>9</v>
      </c>
      <c r="T395" s="19" t="s">
        <v>19</v>
      </c>
      <c r="U395" s="19" t="s">
        <v>20</v>
      </c>
      <c r="V395" s="19" t="s">
        <v>24</v>
      </c>
    </row>
    <row r="396" spans="1:22" x14ac:dyDescent="0.25">
      <c r="A396" s="6" t="s">
        <v>184</v>
      </c>
      <c r="C396" s="176" t="s">
        <v>57</v>
      </c>
      <c r="D396" s="56">
        <f>G396*E396</f>
        <v>4244</v>
      </c>
      <c r="E396" s="8">
        <v>212.2</v>
      </c>
      <c r="F396" s="8">
        <v>1</v>
      </c>
      <c r="G396" s="11">
        <v>20</v>
      </c>
      <c r="H396" s="7"/>
      <c r="I396" s="7"/>
      <c r="J396" s="25" t="s">
        <v>87</v>
      </c>
      <c r="K396" s="26">
        <v>136.58000000000001</v>
      </c>
      <c r="L396" s="46">
        <f>G397*K396</f>
        <v>3004.76</v>
      </c>
      <c r="M396" s="42" t="s">
        <v>27</v>
      </c>
      <c r="N396" s="45">
        <v>50600</v>
      </c>
      <c r="O396" s="1">
        <v>0.88300000000000001</v>
      </c>
      <c r="P396" s="11">
        <f>N396*O396</f>
        <v>44679.8</v>
      </c>
      <c r="Q396" s="8"/>
      <c r="R396" s="8"/>
      <c r="S396" s="7"/>
      <c r="T396" s="7"/>
      <c r="U396" s="7"/>
      <c r="V396" s="11">
        <f>T396*U396</f>
        <v>0</v>
      </c>
    </row>
    <row r="397" spans="1:22" x14ac:dyDescent="0.25">
      <c r="C397" s="8" t="s">
        <v>59</v>
      </c>
      <c r="D397" s="8">
        <f>G397*E397</f>
        <v>4274.16</v>
      </c>
      <c r="E397" s="8">
        <v>194.28</v>
      </c>
      <c r="F397" s="8">
        <v>1.1000000000000001</v>
      </c>
      <c r="G397" s="11">
        <f>G396*1.1</f>
        <v>22</v>
      </c>
      <c r="H397" s="1"/>
      <c r="I397" s="1"/>
      <c r="J397" s="25"/>
      <c r="K397" s="26"/>
      <c r="L397" s="46"/>
      <c r="M397" s="42"/>
      <c r="N397" s="2"/>
      <c r="O397" s="1"/>
      <c r="P397" s="11"/>
      <c r="Q397" s="8"/>
      <c r="R397" s="8"/>
      <c r="S397" s="7"/>
      <c r="T397" s="7"/>
      <c r="U397" s="7"/>
      <c r="V397" s="11">
        <f>T397*U397</f>
        <v>0</v>
      </c>
    </row>
    <row r="398" spans="1:22" x14ac:dyDescent="0.25">
      <c r="C398" s="10" t="s">
        <v>4</v>
      </c>
      <c r="D398" s="11">
        <f>SUM(D396:D397)</f>
        <v>8518.16</v>
      </c>
      <c r="E398" s="11">
        <f>SUM(E396:E397)</f>
        <v>406.48</v>
      </c>
      <c r="F398" s="10"/>
      <c r="G398" s="165">
        <f>SUM(G396:G397)</f>
        <v>42</v>
      </c>
      <c r="I398" s="23">
        <f>SUM(I396:I397)</f>
        <v>0</v>
      </c>
      <c r="L398" s="47">
        <f>SUM(L396:L397)</f>
        <v>3004.76</v>
      </c>
      <c r="N398" s="89">
        <f>SUM(N396:N397)</f>
        <v>50600</v>
      </c>
      <c r="P398" s="23">
        <f>SUM(P396:P397)</f>
        <v>44679.8</v>
      </c>
      <c r="R398" s="23">
        <f>SUM(R396:R397)</f>
        <v>0</v>
      </c>
      <c r="V398" s="23">
        <f>SUM(V396:V397)</f>
        <v>0</v>
      </c>
    </row>
    <row r="399" spans="1:22" x14ac:dyDescent="0.25">
      <c r="C399" s="4"/>
      <c r="D399" s="3"/>
      <c r="E399" s="3"/>
      <c r="F399" s="3"/>
      <c r="G399" s="4"/>
      <c r="H399" s="4"/>
      <c r="I399" s="4"/>
      <c r="M399" s="49"/>
      <c r="N399" s="4"/>
      <c r="O399" s="4"/>
      <c r="P399" s="4"/>
      <c r="Q399" s="4"/>
      <c r="R399" s="4"/>
      <c r="S399" s="4"/>
      <c r="T399" s="4"/>
      <c r="U399" s="4"/>
      <c r="V399" s="4"/>
    </row>
    <row r="400" spans="1:22" x14ac:dyDescent="0.25">
      <c r="C400" s="4"/>
      <c r="D400" s="3"/>
      <c r="E400" s="3"/>
      <c r="F400" s="3"/>
      <c r="G400" s="4"/>
      <c r="H400" s="4"/>
      <c r="K400" s="162" t="s">
        <v>133</v>
      </c>
      <c r="L400" s="96">
        <f>(T402/G396)*100</f>
        <v>89</v>
      </c>
      <c r="M400" s="49"/>
      <c r="O400" s="4"/>
      <c r="P400" s="4"/>
      <c r="Q400" s="4"/>
      <c r="R400" s="4"/>
      <c r="S400" s="4"/>
    </row>
    <row r="401" spans="1:22" x14ac:dyDescent="0.25">
      <c r="C401" s="4"/>
      <c r="D401" s="3"/>
      <c r="E401" s="3"/>
      <c r="F401" s="3"/>
      <c r="G401" s="4"/>
      <c r="H401" s="4"/>
      <c r="K401" s="159" t="s">
        <v>134</v>
      </c>
      <c r="L401" s="97">
        <f>(S402/(E398)*100)</f>
        <v>95.566817555599286</v>
      </c>
      <c r="M401" s="49"/>
      <c r="R401" s="5" t="s">
        <v>11</v>
      </c>
      <c r="S401" s="5" t="s">
        <v>12</v>
      </c>
      <c r="T401" s="5" t="s">
        <v>0</v>
      </c>
    </row>
    <row r="402" spans="1:22" x14ac:dyDescent="0.25">
      <c r="C402" s="4"/>
      <c r="D402" s="3"/>
      <c r="E402" s="3"/>
      <c r="F402" s="3"/>
      <c r="G402" s="4"/>
      <c r="H402" s="4"/>
      <c r="K402" s="162" t="s">
        <v>135</v>
      </c>
      <c r="L402" s="96">
        <f>(R402/D398)*100</f>
        <v>81.174666829456115</v>
      </c>
      <c r="P402" s="4"/>
      <c r="Q402" s="5" t="s">
        <v>3</v>
      </c>
      <c r="R402" s="9">
        <f>T402*S402</f>
        <v>6914.5879999999997</v>
      </c>
      <c r="S402" s="9">
        <v>388.46</v>
      </c>
      <c r="T402" s="22">
        <f>G396*0.89</f>
        <v>17.8</v>
      </c>
    </row>
    <row r="403" spans="1:22" ht="17.25" x14ac:dyDescent="0.25">
      <c r="C403" s="4"/>
      <c r="D403" s="3"/>
      <c r="E403" s="3"/>
      <c r="F403" s="3"/>
      <c r="G403" s="4"/>
      <c r="H403" s="4"/>
      <c r="K403" s="159" t="s">
        <v>136</v>
      </c>
      <c r="L403" s="13">
        <f>(D398+I398+L398+P398+R398+V398)/R402</f>
        <v>8.1281372078857057</v>
      </c>
      <c r="O403" s="4"/>
      <c r="P403" s="4"/>
      <c r="S403" s="98"/>
      <c r="T403" s="3"/>
    </row>
    <row r="404" spans="1:22" ht="17.25" x14ac:dyDescent="0.25">
      <c r="C404" s="4"/>
      <c r="D404" s="3"/>
      <c r="E404" s="3"/>
      <c r="F404" s="3"/>
      <c r="G404" s="4"/>
      <c r="H404" s="4"/>
      <c r="I404" s="4"/>
      <c r="K404" s="163" t="s">
        <v>137</v>
      </c>
      <c r="L404" s="15">
        <f>(D398+I398+L398)/R402</f>
        <v>1.6664651603248091</v>
      </c>
      <c r="N404" s="163" t="s">
        <v>139</v>
      </c>
      <c r="O404" s="14">
        <f>G396/N398*1000</f>
        <v>0.39525691699604742</v>
      </c>
      <c r="P404" s="4"/>
      <c r="S404" s="4"/>
    </row>
    <row r="405" spans="1:22" ht="17.25" x14ac:dyDescent="0.25">
      <c r="C405" s="4"/>
      <c r="D405" s="3"/>
      <c r="E405" s="3"/>
      <c r="F405" s="3"/>
      <c r="G405" s="4"/>
      <c r="H405" s="4"/>
      <c r="I405" s="4"/>
      <c r="K405" s="164" t="s">
        <v>138</v>
      </c>
      <c r="L405" s="16">
        <f>(P398+V398)/R402</f>
        <v>6.4616720475608966</v>
      </c>
      <c r="M405" s="4"/>
      <c r="N405" s="4"/>
      <c r="O405" s="4"/>
      <c r="P405" s="4"/>
      <c r="U405" s="4"/>
      <c r="V405" s="4"/>
    </row>
    <row r="406" spans="1:22" x14ac:dyDescent="0.25">
      <c r="C406" s="6"/>
      <c r="D406"/>
      <c r="E406" s="3"/>
      <c r="F406" s="3"/>
      <c r="G406" s="4"/>
      <c r="H406" s="4"/>
      <c r="I406" s="4"/>
      <c r="K406" s="4"/>
      <c r="M406" s="4"/>
      <c r="P406" s="4"/>
      <c r="Q406" s="4"/>
      <c r="R406" s="4"/>
      <c r="S406" s="4"/>
      <c r="T406" s="4"/>
      <c r="U406" s="4"/>
      <c r="V406" s="4"/>
    </row>
    <row r="407" spans="1:22" x14ac:dyDescent="0.25">
      <c r="B407" s="4"/>
      <c r="C407" s="6" t="s">
        <v>26</v>
      </c>
      <c r="D407" s="98"/>
      <c r="E407" s="98"/>
      <c r="F407" s="98"/>
    </row>
    <row r="408" spans="1:22" ht="34.5" x14ac:dyDescent="0.25">
      <c r="C408" s="17" t="s">
        <v>14</v>
      </c>
      <c r="D408" s="20" t="s">
        <v>21</v>
      </c>
      <c r="E408" s="20" t="s">
        <v>94</v>
      </c>
      <c r="F408" s="17" t="s">
        <v>13</v>
      </c>
      <c r="G408" s="17" t="s">
        <v>15</v>
      </c>
      <c r="H408" s="18" t="s">
        <v>1</v>
      </c>
      <c r="I408" s="19" t="s">
        <v>25</v>
      </c>
      <c r="J408" s="17" t="s">
        <v>2</v>
      </c>
      <c r="K408" s="20" t="s">
        <v>94</v>
      </c>
      <c r="L408" s="20" t="s">
        <v>22</v>
      </c>
      <c r="M408" s="19" t="s">
        <v>8</v>
      </c>
      <c r="N408" s="19" t="s">
        <v>16</v>
      </c>
      <c r="O408" s="19" t="s">
        <v>17</v>
      </c>
      <c r="P408" s="19" t="s">
        <v>18</v>
      </c>
      <c r="Q408" s="20" t="s">
        <v>10</v>
      </c>
      <c r="R408" s="20" t="s">
        <v>23</v>
      </c>
      <c r="S408" s="19" t="s">
        <v>9</v>
      </c>
      <c r="T408" s="19" t="s">
        <v>19</v>
      </c>
      <c r="U408" s="19" t="s">
        <v>20</v>
      </c>
      <c r="V408" s="19" t="s">
        <v>24</v>
      </c>
    </row>
    <row r="409" spans="1:22" x14ac:dyDescent="0.25">
      <c r="A409" s="6" t="s">
        <v>197</v>
      </c>
      <c r="C409" s="172">
        <v>20</v>
      </c>
      <c r="D409" s="56">
        <f>G409*E409</f>
        <v>15494.6</v>
      </c>
      <c r="E409" s="8">
        <v>774.73</v>
      </c>
      <c r="F409" s="8">
        <v>1</v>
      </c>
      <c r="G409" s="11">
        <v>20</v>
      </c>
      <c r="H409" s="7"/>
      <c r="I409" s="7"/>
      <c r="J409" s="25" t="s">
        <v>87</v>
      </c>
      <c r="K409" s="26">
        <v>136.58000000000001</v>
      </c>
      <c r="L409" s="46">
        <f>G410*K409</f>
        <v>3004.76</v>
      </c>
      <c r="M409" s="42" t="s">
        <v>27</v>
      </c>
      <c r="N409" s="45">
        <v>50600</v>
      </c>
      <c r="O409" s="1">
        <v>0.88300000000000001</v>
      </c>
      <c r="P409" s="11">
        <f>N409*O409</f>
        <v>44679.8</v>
      </c>
      <c r="Q409" s="8"/>
      <c r="R409" s="8"/>
      <c r="S409" s="7"/>
      <c r="T409" s="7"/>
      <c r="U409" s="7"/>
      <c r="V409" s="11">
        <f>T409*U409</f>
        <v>0</v>
      </c>
    </row>
    <row r="410" spans="1:22" x14ac:dyDescent="0.25">
      <c r="C410" s="69">
        <v>2</v>
      </c>
      <c r="D410" s="8">
        <f>G410*E410</f>
        <v>6894.14</v>
      </c>
      <c r="E410" s="8">
        <v>313.37</v>
      </c>
      <c r="F410" s="8">
        <v>1.1000000000000001</v>
      </c>
      <c r="G410" s="11">
        <f>G409*F410</f>
        <v>22</v>
      </c>
      <c r="H410" s="1"/>
      <c r="I410" s="1"/>
      <c r="J410" s="25"/>
      <c r="K410" s="26"/>
      <c r="L410" s="46"/>
      <c r="M410" s="42"/>
      <c r="N410" s="2"/>
      <c r="O410" s="1"/>
      <c r="P410" s="11"/>
      <c r="Q410" s="8"/>
      <c r="R410" s="8"/>
      <c r="S410" s="7"/>
      <c r="T410" s="7"/>
      <c r="U410" s="7"/>
      <c r="V410" s="11">
        <f>T410*U410</f>
        <v>0</v>
      </c>
    </row>
    <row r="411" spans="1:22" x14ac:dyDescent="0.25">
      <c r="C411" s="10" t="s">
        <v>4</v>
      </c>
      <c r="D411" s="11">
        <f>SUM(D409:D410)</f>
        <v>22388.74</v>
      </c>
      <c r="E411" s="11">
        <f>SUM(E409:E410)</f>
        <v>1088.0999999999999</v>
      </c>
      <c r="F411" s="10"/>
      <c r="G411" s="165">
        <f>SUM(G409:G410)</f>
        <v>42</v>
      </c>
      <c r="I411" s="23">
        <f>SUM(I409:I410)</f>
        <v>0</v>
      </c>
      <c r="L411" s="47">
        <f>SUM(L409:L410)</f>
        <v>3004.76</v>
      </c>
      <c r="N411" s="89">
        <f>SUM(N409:N410)</f>
        <v>50600</v>
      </c>
      <c r="P411" s="23">
        <f>SUM(P409:P410)</f>
        <v>44679.8</v>
      </c>
      <c r="R411" s="23">
        <f>SUM(R409:R410)</f>
        <v>0</v>
      </c>
      <c r="V411" s="23">
        <f>SUM(V409:V410)</f>
        <v>0</v>
      </c>
    </row>
    <row r="412" spans="1:22" x14ac:dyDescent="0.25">
      <c r="C412" s="4"/>
      <c r="D412" s="3"/>
      <c r="E412" s="3"/>
      <c r="F412" s="3"/>
      <c r="G412" s="4"/>
      <c r="H412" s="4"/>
      <c r="I412" s="4"/>
      <c r="M412" s="49"/>
      <c r="N412" s="4"/>
      <c r="O412" s="4"/>
      <c r="P412" s="4"/>
      <c r="Q412" s="4"/>
      <c r="R412" s="4"/>
      <c r="S412" s="4"/>
      <c r="T412" s="4"/>
      <c r="U412" s="4"/>
      <c r="V412" s="4"/>
    </row>
    <row r="413" spans="1:22" x14ac:dyDescent="0.25">
      <c r="C413" s="4"/>
      <c r="D413" s="3"/>
      <c r="E413" s="3"/>
      <c r="F413" s="3"/>
      <c r="G413" s="4"/>
      <c r="H413" s="4"/>
      <c r="K413" s="162" t="s">
        <v>133</v>
      </c>
      <c r="L413" s="96">
        <f>(T415/G409)*100</f>
        <v>84.000000000000014</v>
      </c>
      <c r="M413" s="49"/>
      <c r="O413" s="4"/>
      <c r="P413" s="4"/>
      <c r="Q413" s="4"/>
      <c r="R413" s="4"/>
      <c r="S413" s="4"/>
    </row>
    <row r="414" spans="1:22" x14ac:dyDescent="0.25">
      <c r="C414" s="4"/>
      <c r="D414" s="3"/>
      <c r="E414" s="3"/>
      <c r="F414" s="3"/>
      <c r="G414" s="4"/>
      <c r="H414" s="4"/>
      <c r="K414" s="159" t="s">
        <v>134</v>
      </c>
      <c r="L414" s="97">
        <f>(S415/(E411)*100)</f>
        <v>82.518150905247694</v>
      </c>
      <c r="M414" s="49"/>
      <c r="R414" s="5" t="s">
        <v>11</v>
      </c>
      <c r="S414" s="5" t="s">
        <v>12</v>
      </c>
      <c r="T414" s="5" t="s">
        <v>0</v>
      </c>
    </row>
    <row r="415" spans="1:22" x14ac:dyDescent="0.25">
      <c r="C415" s="4"/>
      <c r="D415" s="3"/>
      <c r="E415" s="3"/>
      <c r="F415" s="3"/>
      <c r="G415" s="4"/>
      <c r="H415" s="4"/>
      <c r="K415" s="162" t="s">
        <v>135</v>
      </c>
      <c r="L415" s="96">
        <f>(R415/D411)*100</f>
        <v>67.374867902347333</v>
      </c>
      <c r="P415" s="4"/>
      <c r="Q415" s="5" t="s">
        <v>3</v>
      </c>
      <c r="R415" s="9">
        <f>T415*S415</f>
        <v>15084.384</v>
      </c>
      <c r="S415" s="9">
        <v>897.88</v>
      </c>
      <c r="T415" s="22">
        <f>G409*0.84</f>
        <v>16.8</v>
      </c>
    </row>
    <row r="416" spans="1:22" ht="17.25" x14ac:dyDescent="0.25">
      <c r="C416" s="4"/>
      <c r="D416" s="3"/>
      <c r="E416" s="3"/>
      <c r="F416" s="3"/>
      <c r="G416" s="4"/>
      <c r="H416" s="4"/>
      <c r="K416" s="159" t="s">
        <v>136</v>
      </c>
      <c r="L416" s="13">
        <f>(D411+I411+L411+P411+R411+V411)/R415</f>
        <v>4.645420058253622</v>
      </c>
      <c r="O416" s="4"/>
      <c r="P416" s="4"/>
      <c r="S416" s="98"/>
      <c r="T416" s="3"/>
    </row>
    <row r="417" spans="1:22" ht="17.25" x14ac:dyDescent="0.25">
      <c r="C417" s="4"/>
      <c r="D417" s="3"/>
      <c r="E417" s="3"/>
      <c r="F417" s="3"/>
      <c r="G417" s="4"/>
      <c r="H417" s="4"/>
      <c r="I417" s="4"/>
      <c r="K417" s="163" t="s">
        <v>137</v>
      </c>
      <c r="L417" s="15">
        <f>(D411+I411+L411)/R415</f>
        <v>1.6834296978915413</v>
      </c>
      <c r="N417" s="163" t="s">
        <v>139</v>
      </c>
      <c r="O417" s="14">
        <f>G409/N411*1000</f>
        <v>0.39525691699604742</v>
      </c>
      <c r="P417" s="4"/>
      <c r="S417" s="4"/>
    </row>
    <row r="418" spans="1:22" ht="17.25" x14ac:dyDescent="0.25">
      <c r="C418" s="4"/>
      <c r="D418" s="3"/>
      <c r="E418" s="3"/>
      <c r="F418" s="3"/>
      <c r="G418" s="4"/>
      <c r="H418" s="4"/>
      <c r="I418" s="4"/>
      <c r="K418" s="164" t="s">
        <v>138</v>
      </c>
      <c r="L418" s="16">
        <f>(P411+V411)/R415</f>
        <v>2.9619903603620807</v>
      </c>
      <c r="M418" s="4"/>
      <c r="N418" s="4"/>
      <c r="O418" s="4"/>
      <c r="P418" s="4"/>
      <c r="U418" s="4"/>
      <c r="V418" s="4"/>
    </row>
    <row r="419" spans="1:22" x14ac:dyDescent="0.25">
      <c r="C419" s="6"/>
      <c r="D419"/>
      <c r="E419" s="3"/>
      <c r="F419" s="3"/>
      <c r="G419" s="4"/>
      <c r="H419" s="4"/>
      <c r="I419" s="4"/>
      <c r="K419" s="4"/>
      <c r="M419" s="4"/>
      <c r="P419" s="4"/>
      <c r="Q419" s="4"/>
      <c r="R419" s="4"/>
      <c r="S419" s="4"/>
      <c r="T419" s="4"/>
      <c r="U419" s="4"/>
      <c r="V419" s="4"/>
    </row>
    <row r="420" spans="1:22" x14ac:dyDescent="0.25">
      <c r="D420" s="98"/>
      <c r="E420" s="98"/>
      <c r="F420" s="98"/>
    </row>
    <row r="421" spans="1:22" s="179" customFormat="1" x14ac:dyDescent="0.25">
      <c r="A421" s="167" t="s">
        <v>162</v>
      </c>
      <c r="B421" s="180"/>
      <c r="C421" s="180"/>
      <c r="D421" s="169"/>
      <c r="E421" s="169"/>
      <c r="F421" s="169"/>
      <c r="G421" s="180"/>
      <c r="H421" s="180"/>
      <c r="I421" s="180"/>
      <c r="J421" s="180"/>
      <c r="K421" s="180"/>
      <c r="L421" s="180"/>
      <c r="M421" s="180"/>
      <c r="N421" s="180"/>
      <c r="O421" s="180"/>
      <c r="P421" s="180"/>
      <c r="Q421" s="180"/>
      <c r="R421" s="180"/>
      <c r="S421" s="180"/>
      <c r="T421" s="180"/>
      <c r="U421" s="180"/>
      <c r="V421" s="180"/>
    </row>
    <row r="422" spans="1:22" x14ac:dyDescent="0.25">
      <c r="B422" s="4"/>
      <c r="C422" s="6" t="s">
        <v>26</v>
      </c>
      <c r="D422" s="98"/>
      <c r="E422" s="98"/>
      <c r="F422" s="98"/>
    </row>
    <row r="423" spans="1:22" ht="34.5" x14ac:dyDescent="0.25">
      <c r="C423" s="17" t="s">
        <v>14</v>
      </c>
      <c r="D423" s="20" t="s">
        <v>21</v>
      </c>
      <c r="E423" s="20" t="s">
        <v>94</v>
      </c>
      <c r="F423" s="17" t="s">
        <v>13</v>
      </c>
      <c r="G423" s="17" t="s">
        <v>15</v>
      </c>
      <c r="H423" s="18" t="s">
        <v>1</v>
      </c>
      <c r="I423" s="19" t="s">
        <v>25</v>
      </c>
      <c r="J423" s="17" t="s">
        <v>2</v>
      </c>
      <c r="K423" s="20" t="s">
        <v>94</v>
      </c>
      <c r="L423" s="20" t="s">
        <v>22</v>
      </c>
      <c r="M423" s="19" t="s">
        <v>8</v>
      </c>
      <c r="N423" s="19" t="s">
        <v>16</v>
      </c>
      <c r="O423" s="19" t="s">
        <v>17</v>
      </c>
      <c r="P423" s="19" t="s">
        <v>18</v>
      </c>
      <c r="Q423" s="20" t="s">
        <v>10</v>
      </c>
      <c r="R423" s="20" t="s">
        <v>23</v>
      </c>
      <c r="S423" s="19" t="s">
        <v>9</v>
      </c>
      <c r="T423" s="19" t="s">
        <v>19</v>
      </c>
      <c r="U423" s="19" t="s">
        <v>20</v>
      </c>
      <c r="V423" s="19" t="s">
        <v>24</v>
      </c>
    </row>
    <row r="424" spans="1:22" x14ac:dyDescent="0.25">
      <c r="C424" s="176" t="s">
        <v>57</v>
      </c>
      <c r="D424" s="56">
        <f>G424*E424</f>
        <v>4244</v>
      </c>
      <c r="E424" s="8">
        <v>212.2</v>
      </c>
      <c r="F424" s="8">
        <v>1</v>
      </c>
      <c r="G424" s="11">
        <v>20</v>
      </c>
      <c r="H424" s="7"/>
      <c r="I424" s="7"/>
      <c r="J424" s="25" t="s">
        <v>91</v>
      </c>
      <c r="K424" s="26">
        <v>318.18</v>
      </c>
      <c r="L424" s="46">
        <f>G425*K424</f>
        <v>6999.96</v>
      </c>
      <c r="M424" s="42" t="s">
        <v>27</v>
      </c>
      <c r="N424" s="45">
        <v>50600</v>
      </c>
      <c r="O424" s="1">
        <v>0.88300000000000001</v>
      </c>
      <c r="P424" s="11">
        <f>N424*O424</f>
        <v>44679.8</v>
      </c>
      <c r="Q424" s="8"/>
      <c r="R424" s="8"/>
      <c r="S424" s="7"/>
      <c r="T424" s="7"/>
      <c r="U424" s="7"/>
      <c r="V424" s="11">
        <f>T424*U424</f>
        <v>0</v>
      </c>
    </row>
    <row r="425" spans="1:22" x14ac:dyDescent="0.25">
      <c r="C425" s="8" t="s">
        <v>59</v>
      </c>
      <c r="D425" s="8">
        <f>G425*E425</f>
        <v>4274.16</v>
      </c>
      <c r="E425" s="8">
        <v>194.28</v>
      </c>
      <c r="F425" s="8">
        <v>1.1000000000000001</v>
      </c>
      <c r="G425" s="11">
        <f>G424*1.1</f>
        <v>22</v>
      </c>
      <c r="H425" s="1"/>
      <c r="I425" s="1"/>
      <c r="J425" s="25"/>
      <c r="K425" s="26"/>
      <c r="L425" s="46"/>
      <c r="M425" s="42"/>
      <c r="N425" s="2"/>
      <c r="O425" s="1"/>
      <c r="P425" s="11"/>
      <c r="Q425" s="8"/>
      <c r="R425" s="8"/>
      <c r="S425" s="7"/>
      <c r="T425" s="7"/>
      <c r="U425" s="7"/>
      <c r="V425" s="11">
        <f>T425*U425</f>
        <v>0</v>
      </c>
    </row>
    <row r="426" spans="1:22" x14ac:dyDescent="0.25">
      <c r="C426" s="10" t="s">
        <v>4</v>
      </c>
      <c r="D426" s="11">
        <f>SUM(D424:D425)</f>
        <v>8518.16</v>
      </c>
      <c r="E426" s="11">
        <f>SUM(E424:E425)</f>
        <v>406.48</v>
      </c>
      <c r="F426" s="10"/>
      <c r="G426" s="165">
        <f>SUM(G424:G425)</f>
        <v>42</v>
      </c>
      <c r="I426" s="23">
        <f>SUM(I424:I425)</f>
        <v>0</v>
      </c>
      <c r="L426" s="47">
        <f>SUM(L424:L425)</f>
        <v>6999.96</v>
      </c>
      <c r="N426" s="89">
        <f>SUM(N424:N425)</f>
        <v>50600</v>
      </c>
      <c r="P426" s="23">
        <f>SUM(P424:P425)</f>
        <v>44679.8</v>
      </c>
      <c r="R426" s="23">
        <f>SUM(R424:R425)</f>
        <v>0</v>
      </c>
      <c r="V426" s="23">
        <f>SUM(V424:V425)</f>
        <v>0</v>
      </c>
    </row>
    <row r="427" spans="1:22" x14ac:dyDescent="0.25">
      <c r="C427" s="4"/>
      <c r="D427" s="3"/>
      <c r="E427" s="3"/>
      <c r="F427" s="3"/>
      <c r="G427" s="4"/>
      <c r="H427" s="4"/>
      <c r="I427" s="4"/>
      <c r="M427" s="49"/>
      <c r="N427" s="4"/>
      <c r="O427" s="4"/>
      <c r="P427" s="4"/>
      <c r="Q427" s="4"/>
      <c r="R427" s="4"/>
      <c r="S427" s="4"/>
      <c r="T427" s="4"/>
      <c r="U427" s="4"/>
      <c r="V427" s="4"/>
    </row>
    <row r="428" spans="1:22" x14ac:dyDescent="0.25">
      <c r="C428" s="4"/>
      <c r="D428" s="3"/>
      <c r="E428" s="3"/>
      <c r="F428" s="3"/>
      <c r="G428" s="4"/>
      <c r="H428" s="4"/>
      <c r="K428" s="162" t="s">
        <v>133</v>
      </c>
      <c r="L428" s="96">
        <f>(T430/G424)*100</f>
        <v>89</v>
      </c>
      <c r="M428" s="49"/>
      <c r="O428" s="4"/>
      <c r="P428" s="4"/>
      <c r="Q428" s="4"/>
      <c r="R428" s="4"/>
      <c r="S428" s="4"/>
    </row>
    <row r="429" spans="1:22" x14ac:dyDescent="0.25">
      <c r="C429" s="4"/>
      <c r="D429" s="3"/>
      <c r="E429" s="3"/>
      <c r="F429" s="3"/>
      <c r="G429" s="4"/>
      <c r="H429" s="4"/>
      <c r="K429" s="159" t="s">
        <v>134</v>
      </c>
      <c r="L429" s="97">
        <f>(S430/(E426)*100)</f>
        <v>95.566817555599286</v>
      </c>
      <c r="M429" s="49"/>
      <c r="R429" s="5" t="s">
        <v>11</v>
      </c>
      <c r="S429" s="5" t="s">
        <v>12</v>
      </c>
      <c r="T429" s="5" t="s">
        <v>0</v>
      </c>
    </row>
    <row r="430" spans="1:22" x14ac:dyDescent="0.25">
      <c r="C430" s="4"/>
      <c r="D430" s="3"/>
      <c r="E430" s="3"/>
      <c r="F430" s="3"/>
      <c r="G430" s="4"/>
      <c r="H430" s="4"/>
      <c r="K430" s="162" t="s">
        <v>135</v>
      </c>
      <c r="L430" s="96">
        <f>(R430/D426)*100</f>
        <v>81.174666829456115</v>
      </c>
      <c r="P430" s="4"/>
      <c r="Q430" s="5" t="s">
        <v>3</v>
      </c>
      <c r="R430" s="9">
        <f>T430*S430</f>
        <v>6914.5879999999997</v>
      </c>
      <c r="S430" s="9">
        <v>388.46</v>
      </c>
      <c r="T430" s="22">
        <f>G424*0.89</f>
        <v>17.8</v>
      </c>
    </row>
    <row r="431" spans="1:22" ht="17.25" x14ac:dyDescent="0.25">
      <c r="C431" s="4"/>
      <c r="D431" s="3"/>
      <c r="E431" s="3"/>
      <c r="F431" s="3"/>
      <c r="G431" s="4"/>
      <c r="H431" s="4"/>
      <c r="K431" s="159" t="s">
        <v>136</v>
      </c>
      <c r="L431" s="13">
        <f>(D426+I426+L426+P426+R426+V426)/R430</f>
        <v>8.7059301291703868</v>
      </c>
      <c r="O431" s="4"/>
      <c r="P431" s="4"/>
      <c r="S431" s="98"/>
      <c r="T431" s="3"/>
    </row>
    <row r="432" spans="1:22" ht="17.25" x14ac:dyDescent="0.25">
      <c r="C432" s="4"/>
      <c r="D432" s="3"/>
      <c r="E432" s="3"/>
      <c r="F432" s="3"/>
      <c r="G432" s="4"/>
      <c r="H432" s="4"/>
      <c r="I432" s="4"/>
      <c r="K432" s="163" t="s">
        <v>137</v>
      </c>
      <c r="L432" s="15">
        <f>(D426+I426+L426)/R430</f>
        <v>2.2442580816094897</v>
      </c>
      <c r="N432" s="163" t="s">
        <v>139</v>
      </c>
      <c r="O432" s="14">
        <f>G424/N426*1000</f>
        <v>0.39525691699604742</v>
      </c>
      <c r="P432" s="4"/>
      <c r="S432" s="4"/>
    </row>
    <row r="433" spans="1:22" ht="17.25" x14ac:dyDescent="0.25">
      <c r="C433" s="4"/>
      <c r="D433" s="3"/>
      <c r="E433" s="3"/>
      <c r="F433" s="3"/>
      <c r="G433" s="4"/>
      <c r="H433" s="4"/>
      <c r="I433" s="4"/>
      <c r="K433" s="164" t="s">
        <v>138</v>
      </c>
      <c r="L433" s="16">
        <f>(P426+V426)/R430</f>
        <v>6.4616720475608966</v>
      </c>
      <c r="M433" s="4"/>
      <c r="N433" s="4"/>
      <c r="O433" s="4"/>
      <c r="P433" s="4"/>
      <c r="U433" s="4"/>
      <c r="V433" s="4"/>
    </row>
    <row r="434" spans="1:22" x14ac:dyDescent="0.25">
      <c r="C434" s="6"/>
      <c r="D434"/>
      <c r="E434" s="3"/>
      <c r="F434" s="3"/>
      <c r="G434" s="4"/>
      <c r="H434" s="4"/>
      <c r="I434" s="4"/>
      <c r="K434" s="4"/>
      <c r="M434" s="4"/>
      <c r="P434" s="4"/>
      <c r="Q434" s="4"/>
      <c r="R434" s="4"/>
      <c r="S434" s="4"/>
      <c r="T434" s="4"/>
      <c r="U434" s="4"/>
      <c r="V434" s="4"/>
    </row>
    <row r="435" spans="1:22" x14ac:dyDescent="0.25">
      <c r="B435" s="4"/>
      <c r="C435" s="6" t="s">
        <v>26</v>
      </c>
      <c r="D435" s="98"/>
      <c r="E435" s="98"/>
      <c r="F435" s="98"/>
    </row>
    <row r="436" spans="1:22" ht="34.5" x14ac:dyDescent="0.25">
      <c r="C436" s="17" t="s">
        <v>14</v>
      </c>
      <c r="D436" s="20" t="s">
        <v>21</v>
      </c>
      <c r="E436" s="20" t="s">
        <v>94</v>
      </c>
      <c r="F436" s="17" t="s">
        <v>13</v>
      </c>
      <c r="G436" s="17" t="s">
        <v>15</v>
      </c>
      <c r="H436" s="18" t="s">
        <v>1</v>
      </c>
      <c r="I436" s="19" t="s">
        <v>25</v>
      </c>
      <c r="J436" s="17" t="s">
        <v>2</v>
      </c>
      <c r="K436" s="20" t="s">
        <v>94</v>
      </c>
      <c r="L436" s="20" t="s">
        <v>22</v>
      </c>
      <c r="M436" s="19" t="s">
        <v>8</v>
      </c>
      <c r="N436" s="19" t="s">
        <v>16</v>
      </c>
      <c r="O436" s="19" t="s">
        <v>17</v>
      </c>
      <c r="P436" s="19" t="s">
        <v>18</v>
      </c>
      <c r="Q436" s="20" t="s">
        <v>10</v>
      </c>
      <c r="R436" s="20" t="s">
        <v>23</v>
      </c>
      <c r="S436" s="19" t="s">
        <v>9</v>
      </c>
      <c r="T436" s="19" t="s">
        <v>19</v>
      </c>
      <c r="U436" s="19" t="s">
        <v>20</v>
      </c>
      <c r="V436" s="19" t="s">
        <v>24</v>
      </c>
    </row>
    <row r="437" spans="1:22" x14ac:dyDescent="0.25">
      <c r="C437" s="172">
        <v>20</v>
      </c>
      <c r="D437" s="56">
        <f>G437*E437</f>
        <v>15494.6</v>
      </c>
      <c r="E437" s="8">
        <v>774.73</v>
      </c>
      <c r="F437" s="8">
        <v>1</v>
      </c>
      <c r="G437" s="11">
        <v>20</v>
      </c>
      <c r="H437" s="7"/>
      <c r="I437" s="7"/>
      <c r="J437" s="25" t="s">
        <v>91</v>
      </c>
      <c r="K437" s="26">
        <v>318.18</v>
      </c>
      <c r="L437" s="46">
        <f>G438*K437</f>
        <v>6999.96</v>
      </c>
      <c r="M437" s="42" t="s">
        <v>27</v>
      </c>
      <c r="N437" s="45">
        <v>50600</v>
      </c>
      <c r="O437" s="1">
        <v>0.88300000000000001</v>
      </c>
      <c r="P437" s="11">
        <f>N437*O437</f>
        <v>44679.8</v>
      </c>
      <c r="Q437" s="8"/>
      <c r="R437" s="8"/>
      <c r="S437" s="7"/>
      <c r="T437" s="7"/>
      <c r="U437" s="7"/>
      <c r="V437" s="11">
        <f>T437*U437</f>
        <v>0</v>
      </c>
    </row>
    <row r="438" spans="1:22" x14ac:dyDescent="0.25">
      <c r="C438" s="69">
        <v>2</v>
      </c>
      <c r="D438" s="8">
        <f>G438*E438</f>
        <v>6894.14</v>
      </c>
      <c r="E438" s="8">
        <v>313.37</v>
      </c>
      <c r="F438" s="8">
        <v>1.1000000000000001</v>
      </c>
      <c r="G438" s="11">
        <f>G437*F438</f>
        <v>22</v>
      </c>
      <c r="H438" s="1"/>
      <c r="I438" s="1"/>
      <c r="J438" s="25"/>
      <c r="K438" s="26"/>
      <c r="L438" s="46"/>
      <c r="M438" s="42"/>
      <c r="N438" s="2"/>
      <c r="O438" s="1"/>
      <c r="P438" s="11"/>
      <c r="Q438" s="8"/>
      <c r="R438" s="8"/>
      <c r="S438" s="7"/>
      <c r="T438" s="7"/>
      <c r="U438" s="7"/>
      <c r="V438" s="11">
        <f>T438*U438</f>
        <v>0</v>
      </c>
    </row>
    <row r="439" spans="1:22" x14ac:dyDescent="0.25">
      <c r="C439" s="10" t="s">
        <v>4</v>
      </c>
      <c r="D439" s="11">
        <f>SUM(D437:D438)</f>
        <v>22388.74</v>
      </c>
      <c r="E439" s="11">
        <f>SUM(E437:E438)</f>
        <v>1088.0999999999999</v>
      </c>
      <c r="F439" s="10"/>
      <c r="G439" s="165">
        <f>SUM(G437:G438)</f>
        <v>42</v>
      </c>
      <c r="I439" s="23">
        <f>SUM(I437:I438)</f>
        <v>0</v>
      </c>
      <c r="L439" s="47">
        <f>SUM(L437:L438)</f>
        <v>6999.96</v>
      </c>
      <c r="N439" s="89">
        <f>SUM(N437:N438)</f>
        <v>50600</v>
      </c>
      <c r="P439" s="23">
        <f>SUM(P437:P438)</f>
        <v>44679.8</v>
      </c>
      <c r="R439" s="23">
        <f>SUM(R437:R438)</f>
        <v>0</v>
      </c>
      <c r="V439" s="23">
        <f>SUM(V437:V438)</f>
        <v>0</v>
      </c>
    </row>
    <row r="440" spans="1:22" x14ac:dyDescent="0.25">
      <c r="C440" s="4"/>
      <c r="D440" s="3"/>
      <c r="E440" s="3"/>
      <c r="F440" s="3"/>
      <c r="G440" s="4"/>
      <c r="H440" s="4"/>
      <c r="I440" s="4"/>
      <c r="M440" s="49"/>
      <c r="N440" s="4"/>
      <c r="O440" s="4"/>
      <c r="P440" s="4"/>
      <c r="Q440" s="4"/>
      <c r="R440" s="4"/>
      <c r="S440" s="4"/>
      <c r="T440" s="4"/>
      <c r="U440" s="4"/>
      <c r="V440" s="4"/>
    </row>
    <row r="441" spans="1:22" x14ac:dyDescent="0.25">
      <c r="C441" s="4"/>
      <c r="D441" s="3"/>
      <c r="E441" s="3"/>
      <c r="F441" s="3"/>
      <c r="G441" s="4"/>
      <c r="H441" s="4"/>
      <c r="K441" s="162" t="s">
        <v>133</v>
      </c>
      <c r="L441" s="96">
        <f>(T443/G437)*100</f>
        <v>84.000000000000014</v>
      </c>
      <c r="M441" s="49"/>
      <c r="O441" s="4"/>
      <c r="P441" s="4"/>
      <c r="Q441" s="4"/>
      <c r="R441" s="4"/>
      <c r="S441" s="4"/>
    </row>
    <row r="442" spans="1:22" x14ac:dyDescent="0.25">
      <c r="C442" s="4"/>
      <c r="D442" s="3"/>
      <c r="E442" s="3"/>
      <c r="F442" s="3"/>
      <c r="G442" s="4"/>
      <c r="H442" s="4"/>
      <c r="K442" s="159" t="s">
        <v>134</v>
      </c>
      <c r="L442" s="97">
        <f>(S443/(E439)*100)</f>
        <v>82.518150905247694</v>
      </c>
      <c r="M442" s="49"/>
      <c r="R442" s="5" t="s">
        <v>11</v>
      </c>
      <c r="S442" s="5" t="s">
        <v>12</v>
      </c>
      <c r="T442" s="5" t="s">
        <v>0</v>
      </c>
    </row>
    <row r="443" spans="1:22" x14ac:dyDescent="0.25">
      <c r="C443" s="4"/>
      <c r="D443" s="3"/>
      <c r="E443" s="3"/>
      <c r="F443" s="3"/>
      <c r="G443" s="4"/>
      <c r="H443" s="4"/>
      <c r="K443" s="162" t="s">
        <v>135</v>
      </c>
      <c r="L443" s="96">
        <f>(R443/D439)*100</f>
        <v>67.374867902347333</v>
      </c>
      <c r="P443" s="4"/>
      <c r="Q443" s="5" t="s">
        <v>3</v>
      </c>
      <c r="R443" s="9">
        <f>T443*S443</f>
        <v>15084.384</v>
      </c>
      <c r="S443" s="9">
        <v>897.88</v>
      </c>
      <c r="T443" s="22">
        <f>G437*0.84</f>
        <v>16.8</v>
      </c>
    </row>
    <row r="444" spans="1:22" ht="17.25" x14ac:dyDescent="0.25">
      <c r="C444" s="4"/>
      <c r="D444" s="3"/>
      <c r="E444" s="3"/>
      <c r="F444" s="3"/>
      <c r="G444" s="4"/>
      <c r="H444" s="4"/>
      <c r="K444" s="159" t="s">
        <v>136</v>
      </c>
      <c r="L444" s="13">
        <f>(D439+I439+L439+P439+R439+V439)/R443</f>
        <v>4.9102767471313378</v>
      </c>
      <c r="O444" s="4"/>
      <c r="P444" s="4"/>
      <c r="S444" s="98"/>
      <c r="T444" s="3"/>
    </row>
    <row r="445" spans="1:22" ht="17.25" x14ac:dyDescent="0.25">
      <c r="C445" s="4"/>
      <c r="D445" s="3"/>
      <c r="E445" s="3"/>
      <c r="F445" s="3"/>
      <c r="G445" s="4"/>
      <c r="H445" s="4"/>
      <c r="I445" s="4"/>
      <c r="K445" s="163" t="s">
        <v>137</v>
      </c>
      <c r="L445" s="15">
        <f>(D439+I439+L439)/R443</f>
        <v>1.9482863867692575</v>
      </c>
      <c r="N445" s="163" t="s">
        <v>139</v>
      </c>
      <c r="O445" s="14">
        <f>G437/N439*1000</f>
        <v>0.39525691699604742</v>
      </c>
      <c r="P445" s="4"/>
      <c r="S445" s="4"/>
    </row>
    <row r="446" spans="1:22" ht="17.25" x14ac:dyDescent="0.25">
      <c r="C446" s="4"/>
      <c r="D446" s="3"/>
      <c r="E446" s="3"/>
      <c r="F446" s="3"/>
      <c r="G446" s="4"/>
      <c r="H446" s="4"/>
      <c r="I446" s="4"/>
      <c r="K446" s="164" t="s">
        <v>138</v>
      </c>
      <c r="L446" s="16">
        <f>(P439+V439)/R443</f>
        <v>2.9619903603620807</v>
      </c>
      <c r="M446" s="4"/>
      <c r="N446" s="4"/>
      <c r="O446" s="4"/>
      <c r="P446" s="4"/>
      <c r="U446" s="4"/>
      <c r="V446" s="4"/>
    </row>
    <row r="447" spans="1:22" s="179" customFormat="1" x14ac:dyDescent="0.25">
      <c r="C447" s="4"/>
      <c r="D447" s="3"/>
      <c r="E447" s="3"/>
      <c r="F447" s="3"/>
      <c r="G447" s="4"/>
      <c r="H447" s="4"/>
      <c r="I447" s="4"/>
      <c r="K447" s="185"/>
      <c r="L447" s="186"/>
      <c r="M447" s="4"/>
      <c r="N447" s="4"/>
      <c r="O447" s="4"/>
      <c r="P447" s="4"/>
      <c r="U447" s="4"/>
      <c r="V447" s="4"/>
    </row>
    <row r="448" spans="1:22" s="180" customFormat="1" ht="18" x14ac:dyDescent="0.3">
      <c r="A448" s="184" t="s">
        <v>164</v>
      </c>
      <c r="D448" s="169"/>
      <c r="E448" s="169"/>
      <c r="F448" s="169"/>
    </row>
    <row r="449" spans="1:22" s="179" customFormat="1" x14ac:dyDescent="0.25">
      <c r="B449" s="4"/>
      <c r="C449" s="6" t="s">
        <v>26</v>
      </c>
      <c r="D449" s="181"/>
      <c r="E449" s="181"/>
      <c r="F449" s="181"/>
    </row>
    <row r="450" spans="1:22" s="179" customFormat="1" ht="34.5" x14ac:dyDescent="0.25">
      <c r="C450" s="17" t="s">
        <v>14</v>
      </c>
      <c r="D450" s="20" t="s">
        <v>21</v>
      </c>
      <c r="E450" s="20" t="s">
        <v>94</v>
      </c>
      <c r="F450" s="17" t="s">
        <v>13</v>
      </c>
      <c r="G450" s="17" t="s">
        <v>15</v>
      </c>
      <c r="H450" s="18" t="s">
        <v>1</v>
      </c>
      <c r="I450" s="19" t="s">
        <v>25</v>
      </c>
      <c r="J450" s="17" t="s">
        <v>2</v>
      </c>
      <c r="K450" s="20" t="s">
        <v>94</v>
      </c>
      <c r="L450" s="20" t="s">
        <v>22</v>
      </c>
      <c r="M450" s="19" t="s">
        <v>8</v>
      </c>
      <c r="N450" s="19" t="s">
        <v>16</v>
      </c>
      <c r="O450" s="19" t="s">
        <v>17</v>
      </c>
      <c r="P450" s="19" t="s">
        <v>18</v>
      </c>
      <c r="Q450" s="20" t="s">
        <v>10</v>
      </c>
      <c r="R450" s="20" t="s">
        <v>23</v>
      </c>
      <c r="S450" s="19" t="s">
        <v>9</v>
      </c>
      <c r="T450" s="19" t="s">
        <v>19</v>
      </c>
      <c r="U450" s="19" t="s">
        <v>20</v>
      </c>
      <c r="V450" s="19" t="s">
        <v>24</v>
      </c>
    </row>
    <row r="451" spans="1:22" s="179" customFormat="1" x14ac:dyDescent="0.25">
      <c r="A451" s="6" t="s">
        <v>184</v>
      </c>
      <c r="C451" s="176" t="s">
        <v>57</v>
      </c>
      <c r="D451" s="56">
        <f>G451*E451</f>
        <v>4244</v>
      </c>
      <c r="E451" s="160">
        <v>212.2</v>
      </c>
      <c r="F451" s="160">
        <v>1</v>
      </c>
      <c r="G451" s="161">
        <v>20</v>
      </c>
      <c r="H451" s="7"/>
      <c r="I451" s="7"/>
      <c r="J451" s="160" t="s">
        <v>37</v>
      </c>
      <c r="K451" s="160">
        <v>118.96</v>
      </c>
      <c r="L451" s="46">
        <f>G452*K451</f>
        <v>2617.12</v>
      </c>
      <c r="M451" s="42" t="s">
        <v>27</v>
      </c>
      <c r="N451" s="45">
        <v>50500</v>
      </c>
      <c r="O451" s="1">
        <v>0.88300000000000001</v>
      </c>
      <c r="P451" s="161">
        <f>N451*O451</f>
        <v>44591.5</v>
      </c>
      <c r="Q451" s="160"/>
      <c r="R451" s="160"/>
      <c r="S451" s="7"/>
      <c r="T451" s="7"/>
      <c r="U451" s="7"/>
      <c r="V451" s="161">
        <f>T451*U451</f>
        <v>0</v>
      </c>
    </row>
    <row r="452" spans="1:22" s="179" customFormat="1" x14ac:dyDescent="0.25">
      <c r="A452" s="6"/>
      <c r="C452" s="160" t="s">
        <v>59</v>
      </c>
      <c r="D452" s="160">
        <f>G452*E452</f>
        <v>4274.16</v>
      </c>
      <c r="E452" s="160">
        <v>194.28</v>
      </c>
      <c r="F452" s="160">
        <v>1.1000000000000001</v>
      </c>
      <c r="G452" s="161">
        <f>G451*1.1</f>
        <v>22</v>
      </c>
      <c r="H452" s="1"/>
      <c r="I452" s="1"/>
      <c r="J452" s="25"/>
      <c r="K452" s="26"/>
      <c r="L452" s="46"/>
      <c r="M452" s="42"/>
      <c r="N452" s="2"/>
      <c r="O452" s="1"/>
      <c r="P452" s="161"/>
      <c r="Q452" s="160"/>
      <c r="R452" s="160"/>
      <c r="S452" s="7"/>
      <c r="T452" s="7"/>
      <c r="U452" s="7"/>
      <c r="V452" s="161">
        <f t="shared" ref="V452" si="16">T452*U452</f>
        <v>0</v>
      </c>
    </row>
    <row r="453" spans="1:22" s="179" customFormat="1" x14ac:dyDescent="0.25">
      <c r="A453" s="6"/>
      <c r="C453" s="10" t="s">
        <v>4</v>
      </c>
      <c r="D453" s="161">
        <f>SUM(D451:D452)</f>
        <v>8518.16</v>
      </c>
      <c r="E453" s="161">
        <f>SUM(E451:E452)</f>
        <v>406.48</v>
      </c>
      <c r="F453" s="10"/>
      <c r="G453" s="165">
        <f>SUM(G451:G452)</f>
        <v>42</v>
      </c>
      <c r="I453" s="165">
        <f>SUM(I451:I452)</f>
        <v>0</v>
      </c>
      <c r="L453" s="47">
        <f>SUM(L451:L452)</f>
        <v>2617.12</v>
      </c>
      <c r="N453" s="165">
        <f>SUM(N451:N452)</f>
        <v>50500</v>
      </c>
      <c r="P453" s="165">
        <f>SUM(P451:P452)</f>
        <v>44591.5</v>
      </c>
      <c r="R453" s="165">
        <f>SUM(R451:R452)</f>
        <v>0</v>
      </c>
      <c r="V453" s="165">
        <f>SUM(V451:V452)</f>
        <v>0</v>
      </c>
    </row>
    <row r="454" spans="1:22" s="179" customFormat="1" x14ac:dyDescent="0.25">
      <c r="A454" s="6"/>
      <c r="C454" s="4"/>
      <c r="D454" s="3"/>
      <c r="E454" s="3"/>
      <c r="F454" s="3"/>
      <c r="G454" s="4"/>
      <c r="H454" s="4"/>
      <c r="I454" s="4"/>
      <c r="M454" s="182"/>
      <c r="N454" s="4"/>
      <c r="O454" s="4"/>
      <c r="P454" s="4"/>
      <c r="Q454" s="4"/>
      <c r="R454" s="4"/>
      <c r="S454" s="4"/>
      <c r="T454" s="4"/>
      <c r="U454" s="4"/>
      <c r="V454" s="4"/>
    </row>
    <row r="455" spans="1:22" s="179" customFormat="1" x14ac:dyDescent="0.25">
      <c r="A455" s="6"/>
      <c r="C455" s="4"/>
      <c r="D455" s="3"/>
      <c r="E455" s="3"/>
      <c r="F455" s="3"/>
      <c r="G455" s="4"/>
      <c r="H455" s="4"/>
      <c r="K455" s="162" t="s">
        <v>133</v>
      </c>
      <c r="L455" s="96">
        <f>(T457/G451)*100</f>
        <v>50</v>
      </c>
      <c r="M455" s="182"/>
      <c r="O455" s="4"/>
      <c r="P455" s="4"/>
      <c r="Q455" s="4"/>
      <c r="R455" s="4"/>
      <c r="S455" s="4"/>
    </row>
    <row r="456" spans="1:22" s="179" customFormat="1" x14ac:dyDescent="0.25">
      <c r="A456" s="6"/>
      <c r="C456" s="4"/>
      <c r="D456" s="3"/>
      <c r="E456" s="3"/>
      <c r="F456" s="3"/>
      <c r="G456" s="4"/>
      <c r="H456" s="4"/>
      <c r="K456" s="159" t="s">
        <v>134</v>
      </c>
      <c r="L456" s="97">
        <f>(S457/(E453)*100)</f>
        <v>95.566817555599286</v>
      </c>
      <c r="M456" s="182"/>
      <c r="R456" s="5" t="s">
        <v>11</v>
      </c>
      <c r="S456" s="5" t="s">
        <v>12</v>
      </c>
      <c r="T456" s="5" t="s">
        <v>0</v>
      </c>
    </row>
    <row r="457" spans="1:22" s="179" customFormat="1" x14ac:dyDescent="0.25">
      <c r="A457" s="6"/>
      <c r="C457" s="4"/>
      <c r="D457" s="3"/>
      <c r="E457" s="3"/>
      <c r="F457" s="3"/>
      <c r="G457" s="4"/>
      <c r="H457" s="4"/>
      <c r="K457" s="162" t="s">
        <v>135</v>
      </c>
      <c r="L457" s="96">
        <f>(R457/D453)*100</f>
        <v>45.603745409806812</v>
      </c>
      <c r="P457" s="4"/>
      <c r="Q457" s="5" t="s">
        <v>3</v>
      </c>
      <c r="R457" s="9">
        <f>T457*S457</f>
        <v>3884.6</v>
      </c>
      <c r="S457" s="9">
        <v>388.46</v>
      </c>
      <c r="T457" s="22">
        <f>G451*0.5</f>
        <v>10</v>
      </c>
    </row>
    <row r="458" spans="1:22" s="179" customFormat="1" ht="17.25" x14ac:dyDescent="0.25">
      <c r="A458" s="6"/>
      <c r="C458" s="4"/>
      <c r="D458" s="3"/>
      <c r="E458" s="3"/>
      <c r="F458" s="3"/>
      <c r="G458" s="4"/>
      <c r="H458" s="4"/>
      <c r="K458" s="159" t="s">
        <v>136</v>
      </c>
      <c r="L458" s="13">
        <f>(D453+I453+L453+P453+R453+V453)/R457</f>
        <v>14.345564536889254</v>
      </c>
      <c r="O458" s="4"/>
      <c r="P458" s="4"/>
      <c r="S458" s="181"/>
      <c r="T458" s="3"/>
    </row>
    <row r="459" spans="1:22" s="179" customFormat="1" ht="17.25" x14ac:dyDescent="0.25">
      <c r="A459" s="6"/>
      <c r="C459" s="4"/>
      <c r="D459" s="3"/>
      <c r="E459" s="3"/>
      <c r="F459" s="3"/>
      <c r="G459" s="4"/>
      <c r="H459" s="4"/>
      <c r="I459" s="4"/>
      <c r="K459" s="163" t="s">
        <v>137</v>
      </c>
      <c r="L459" s="15">
        <f>(D453+I453+L453)/R457</f>
        <v>2.8665190753230703</v>
      </c>
      <c r="N459" s="163" t="s">
        <v>139</v>
      </c>
      <c r="O459" s="154">
        <f>G451/N453*1000</f>
        <v>0.39603960396039606</v>
      </c>
      <c r="P459" s="4"/>
      <c r="S459" s="4"/>
    </row>
    <row r="460" spans="1:22" s="179" customFormat="1" ht="17.25" x14ac:dyDescent="0.25">
      <c r="A460" s="6"/>
      <c r="C460" s="4"/>
      <c r="D460" s="3"/>
      <c r="E460" s="3"/>
      <c r="F460" s="3"/>
      <c r="G460" s="4"/>
      <c r="H460" s="4"/>
      <c r="I460" s="4"/>
      <c r="K460" s="164" t="s">
        <v>138</v>
      </c>
      <c r="L460" s="16">
        <f>(P453+V453)/R457</f>
        <v>11.479045461566185</v>
      </c>
      <c r="M460" s="4"/>
      <c r="N460" s="4"/>
      <c r="O460" s="4"/>
      <c r="P460" s="4"/>
      <c r="U460" s="4"/>
      <c r="V460" s="4"/>
    </row>
    <row r="461" spans="1:22" s="179" customFormat="1" x14ac:dyDescent="0.25">
      <c r="A461" s="6"/>
      <c r="C461" s="6"/>
      <c r="E461" s="3"/>
      <c r="F461" s="3"/>
      <c r="G461" s="4"/>
      <c r="H461" s="4"/>
      <c r="I461" s="4"/>
      <c r="K461" s="4"/>
      <c r="M461" s="4"/>
      <c r="P461" s="4"/>
      <c r="Q461" s="4"/>
      <c r="R461" s="4"/>
      <c r="S461" s="4"/>
      <c r="T461" s="4"/>
      <c r="U461" s="4"/>
      <c r="V461" s="4"/>
    </row>
    <row r="462" spans="1:22" s="179" customFormat="1" x14ac:dyDescent="0.25">
      <c r="A462" s="6"/>
      <c r="B462" s="4"/>
      <c r="C462" s="6" t="s">
        <v>26</v>
      </c>
      <c r="D462" s="181"/>
      <c r="E462" s="181"/>
      <c r="F462" s="181"/>
    </row>
    <row r="463" spans="1:22" s="179" customFormat="1" ht="34.5" x14ac:dyDescent="0.25">
      <c r="A463" s="6"/>
      <c r="C463" s="17" t="s">
        <v>14</v>
      </c>
      <c r="D463" s="20" t="s">
        <v>21</v>
      </c>
      <c r="E463" s="20" t="s">
        <v>94</v>
      </c>
      <c r="F463" s="17" t="s">
        <v>13</v>
      </c>
      <c r="G463" s="17" t="s">
        <v>15</v>
      </c>
      <c r="H463" s="18" t="s">
        <v>1</v>
      </c>
      <c r="I463" s="19" t="s">
        <v>25</v>
      </c>
      <c r="J463" s="17" t="s">
        <v>2</v>
      </c>
      <c r="K463" s="20" t="s">
        <v>94</v>
      </c>
      <c r="L463" s="20" t="s">
        <v>22</v>
      </c>
      <c r="M463" s="19" t="s">
        <v>8</v>
      </c>
      <c r="N463" s="19" t="s">
        <v>16</v>
      </c>
      <c r="O463" s="19" t="s">
        <v>17</v>
      </c>
      <c r="P463" s="19" t="s">
        <v>18</v>
      </c>
      <c r="Q463" s="20" t="s">
        <v>10</v>
      </c>
      <c r="R463" s="20" t="s">
        <v>23</v>
      </c>
      <c r="S463" s="19" t="s">
        <v>9</v>
      </c>
      <c r="T463" s="19" t="s">
        <v>19</v>
      </c>
      <c r="U463" s="19" t="s">
        <v>20</v>
      </c>
      <c r="V463" s="19" t="s">
        <v>24</v>
      </c>
    </row>
    <row r="464" spans="1:22" s="179" customFormat="1" x14ac:dyDescent="0.25">
      <c r="A464" s="6" t="s">
        <v>197</v>
      </c>
      <c r="C464" s="172" t="s">
        <v>119</v>
      </c>
      <c r="D464" s="56">
        <f>G464*E464</f>
        <v>15494.6</v>
      </c>
      <c r="E464" s="160">
        <v>774.73</v>
      </c>
      <c r="F464" s="160">
        <v>1</v>
      </c>
      <c r="G464" s="161">
        <v>20</v>
      </c>
      <c r="H464" s="7"/>
      <c r="I464" s="7"/>
      <c r="J464" s="160" t="s">
        <v>37</v>
      </c>
      <c r="K464" s="160">
        <v>118.96</v>
      </c>
      <c r="L464" s="46">
        <f>G465*K464</f>
        <v>2617.12</v>
      </c>
      <c r="M464" s="42" t="s">
        <v>27</v>
      </c>
      <c r="N464" s="45">
        <v>50600</v>
      </c>
      <c r="O464" s="1">
        <v>0.88300000000000001</v>
      </c>
      <c r="P464" s="161">
        <f>N464*O464</f>
        <v>44679.8</v>
      </c>
      <c r="Q464" s="160"/>
      <c r="R464" s="160"/>
      <c r="S464" s="7"/>
      <c r="T464" s="7"/>
      <c r="U464" s="7"/>
      <c r="V464" s="161">
        <f>T464*U464</f>
        <v>0</v>
      </c>
    </row>
    <row r="465" spans="1:22" s="179" customFormat="1" x14ac:dyDescent="0.25">
      <c r="A465" s="6"/>
      <c r="C465" s="69" t="s">
        <v>124</v>
      </c>
      <c r="D465" s="160">
        <f>G465*E465</f>
        <v>6894.14</v>
      </c>
      <c r="E465" s="160">
        <v>313.37</v>
      </c>
      <c r="F465" s="160">
        <v>1.1000000000000001</v>
      </c>
      <c r="G465" s="161">
        <f>G464*F465</f>
        <v>22</v>
      </c>
      <c r="H465" s="1"/>
      <c r="I465" s="1"/>
      <c r="J465" s="25"/>
      <c r="K465" s="26"/>
      <c r="L465" s="46"/>
      <c r="M465" s="42"/>
      <c r="N465" s="2"/>
      <c r="O465" s="1"/>
      <c r="P465" s="161"/>
      <c r="Q465" s="160"/>
      <c r="R465" s="160"/>
      <c r="S465" s="7"/>
      <c r="T465" s="7"/>
      <c r="U465" s="7"/>
      <c r="V465" s="161">
        <f t="shared" ref="V465" si="17">T465*U465</f>
        <v>0</v>
      </c>
    </row>
    <row r="466" spans="1:22" s="179" customFormat="1" x14ac:dyDescent="0.25">
      <c r="A466" s="6"/>
      <c r="C466" s="10" t="s">
        <v>4</v>
      </c>
      <c r="D466" s="161">
        <f>SUM(D464:D465)</f>
        <v>22388.74</v>
      </c>
      <c r="E466" s="161">
        <f>SUM(E464:E465)</f>
        <v>1088.0999999999999</v>
      </c>
      <c r="F466" s="10"/>
      <c r="G466" s="165">
        <f>SUM(G464:G465)</f>
        <v>42</v>
      </c>
      <c r="I466" s="165">
        <f>SUM(I464:I465)</f>
        <v>0</v>
      </c>
      <c r="L466" s="47">
        <f>SUM(L464:L465)</f>
        <v>2617.12</v>
      </c>
      <c r="N466" s="165">
        <f>SUM(N464:N465)</f>
        <v>50600</v>
      </c>
      <c r="P466" s="165">
        <f>SUM(P464:P465)</f>
        <v>44679.8</v>
      </c>
      <c r="R466" s="165">
        <f>SUM(R464:R465)</f>
        <v>0</v>
      </c>
      <c r="V466" s="165">
        <f>SUM(V464:V465)</f>
        <v>0</v>
      </c>
    </row>
    <row r="467" spans="1:22" s="179" customFormat="1" x14ac:dyDescent="0.25">
      <c r="C467" s="4"/>
      <c r="D467" s="3"/>
      <c r="E467" s="3"/>
      <c r="F467" s="3"/>
      <c r="G467" s="4"/>
      <c r="H467" s="4"/>
      <c r="I467" s="4"/>
      <c r="M467" s="182"/>
      <c r="N467" s="4"/>
      <c r="O467" s="4"/>
      <c r="P467" s="4"/>
      <c r="Q467" s="4"/>
      <c r="R467" s="4"/>
      <c r="S467" s="4"/>
      <c r="T467" s="4"/>
      <c r="U467" s="4"/>
      <c r="V467" s="4"/>
    </row>
    <row r="468" spans="1:22" s="179" customFormat="1" x14ac:dyDescent="0.25">
      <c r="C468" s="4"/>
      <c r="D468" s="3"/>
      <c r="E468" s="3"/>
      <c r="F468" s="3"/>
      <c r="G468" s="4"/>
      <c r="H468" s="4"/>
      <c r="K468" s="162" t="s">
        <v>133</v>
      </c>
      <c r="L468" s="96">
        <f>(T470/G464)*100</f>
        <v>50</v>
      </c>
      <c r="M468" s="182"/>
      <c r="O468" s="4"/>
      <c r="P468" s="4"/>
      <c r="Q468" s="4"/>
      <c r="R468" s="4"/>
      <c r="S468" s="4"/>
    </row>
    <row r="469" spans="1:22" s="179" customFormat="1" x14ac:dyDescent="0.25">
      <c r="C469" s="4"/>
      <c r="D469" s="3"/>
      <c r="E469" s="3"/>
      <c r="F469" s="3"/>
      <c r="G469" s="4"/>
      <c r="H469" s="4"/>
      <c r="K469" s="159" t="s">
        <v>134</v>
      </c>
      <c r="L469" s="97">
        <f>(S470/(E466)*100)</f>
        <v>82.518150905247694</v>
      </c>
      <c r="M469" s="182"/>
      <c r="R469" s="5" t="s">
        <v>11</v>
      </c>
      <c r="S469" s="5" t="s">
        <v>12</v>
      </c>
      <c r="T469" s="5" t="s">
        <v>0</v>
      </c>
    </row>
    <row r="470" spans="1:22" s="179" customFormat="1" x14ac:dyDescent="0.25">
      <c r="C470" s="4"/>
      <c r="D470" s="3"/>
      <c r="E470" s="3"/>
      <c r="F470" s="3"/>
      <c r="G470" s="4"/>
      <c r="H470" s="4"/>
      <c r="K470" s="162" t="s">
        <v>135</v>
      </c>
      <c r="L470" s="96">
        <f>(R470/D466)*100</f>
        <v>40.104088037111509</v>
      </c>
      <c r="P470" s="4"/>
      <c r="Q470" s="5" t="s">
        <v>3</v>
      </c>
      <c r="R470" s="9">
        <f>T470*S470</f>
        <v>8978.7999999999993</v>
      </c>
      <c r="S470" s="9">
        <v>897.88</v>
      </c>
      <c r="T470" s="22">
        <f>G464*0.5</f>
        <v>10</v>
      </c>
    </row>
    <row r="471" spans="1:22" s="179" customFormat="1" ht="17.25" x14ac:dyDescent="0.25">
      <c r="C471" s="4"/>
      <c r="D471" s="3"/>
      <c r="E471" s="3"/>
      <c r="F471" s="3"/>
      <c r="G471" s="4"/>
      <c r="H471" s="4"/>
      <c r="K471" s="159" t="s">
        <v>136</v>
      </c>
      <c r="L471" s="13">
        <f>(D466+I466+L466+P466+R466+V466)/R470</f>
        <v>7.7611328908094634</v>
      </c>
      <c r="O471" s="4"/>
      <c r="P471" s="4"/>
      <c r="S471" s="181"/>
      <c r="T471" s="3"/>
    </row>
    <row r="472" spans="1:22" s="179" customFormat="1" ht="17.25" x14ac:dyDescent="0.25">
      <c r="C472" s="4"/>
      <c r="D472" s="3"/>
      <c r="E472" s="3"/>
      <c r="F472" s="3"/>
      <c r="G472" s="4"/>
      <c r="H472" s="4"/>
      <c r="I472" s="4"/>
      <c r="K472" s="163" t="s">
        <v>137</v>
      </c>
      <c r="L472" s="15">
        <f>(D466+I466+L466)/R470</f>
        <v>2.7849890854011674</v>
      </c>
      <c r="N472" s="163" t="s">
        <v>139</v>
      </c>
      <c r="O472" s="93">
        <f>G464/N466*1000</f>
        <v>0.39525691699604742</v>
      </c>
      <c r="P472" s="4"/>
      <c r="S472" s="4"/>
    </row>
    <row r="473" spans="1:22" s="179" customFormat="1" ht="17.25" x14ac:dyDescent="0.25">
      <c r="C473" s="4"/>
      <c r="D473" s="3"/>
      <c r="E473" s="3"/>
      <c r="F473" s="3"/>
      <c r="G473" s="4"/>
      <c r="H473" s="4"/>
      <c r="I473" s="4"/>
      <c r="K473" s="164" t="s">
        <v>138</v>
      </c>
      <c r="L473" s="16">
        <f>(P466+V466)/R470</f>
        <v>4.976143805408296</v>
      </c>
      <c r="M473" s="4"/>
      <c r="N473" s="4"/>
      <c r="O473" s="4"/>
      <c r="P473" s="4"/>
      <c r="U473" s="4"/>
      <c r="V473" s="4"/>
    </row>
    <row r="474" spans="1:22" s="179" customFormat="1" x14ac:dyDescent="0.25">
      <c r="C474" s="6"/>
      <c r="E474" s="3"/>
      <c r="F474" s="3"/>
      <c r="G474" s="4"/>
      <c r="H474" s="4"/>
      <c r="I474" s="4"/>
      <c r="K474" s="4"/>
      <c r="M474" s="4"/>
      <c r="P474" s="4"/>
      <c r="Q474" s="4"/>
      <c r="R474" s="4"/>
      <c r="S474" s="4"/>
      <c r="T474" s="4"/>
      <c r="U474" s="4"/>
      <c r="V474" s="4"/>
    </row>
    <row r="475" spans="1:22" s="179" customFormat="1" x14ac:dyDescent="0.25">
      <c r="C475" s="6"/>
      <c r="E475" s="3"/>
      <c r="F475" s="3"/>
      <c r="G475" s="4"/>
      <c r="H475" s="4"/>
      <c r="I475" s="4"/>
      <c r="M475" s="4"/>
      <c r="N475" s="4"/>
      <c r="O475" s="4"/>
      <c r="P475" s="4"/>
      <c r="Q475" s="4"/>
      <c r="R475" s="4"/>
      <c r="S475" s="4"/>
      <c r="T475" s="4"/>
      <c r="U475" s="4"/>
      <c r="V475" s="4"/>
    </row>
    <row r="476" spans="1:22" s="180" customFormat="1" ht="18" x14ac:dyDescent="0.3">
      <c r="A476" s="184" t="s">
        <v>165</v>
      </c>
      <c r="D476" s="169"/>
      <c r="E476" s="169"/>
      <c r="F476" s="169"/>
    </row>
    <row r="477" spans="1:22" s="179" customFormat="1" x14ac:dyDescent="0.25">
      <c r="B477" s="4"/>
      <c r="C477" s="6" t="s">
        <v>26</v>
      </c>
      <c r="D477" s="181"/>
      <c r="E477" s="181"/>
      <c r="F477" s="181"/>
    </row>
    <row r="478" spans="1:22" s="179" customFormat="1" ht="34.5" x14ac:dyDescent="0.25">
      <c r="C478" s="17" t="s">
        <v>14</v>
      </c>
      <c r="D478" s="20" t="s">
        <v>21</v>
      </c>
      <c r="E478" s="20" t="s">
        <v>94</v>
      </c>
      <c r="F478" s="17" t="s">
        <v>13</v>
      </c>
      <c r="G478" s="17" t="s">
        <v>15</v>
      </c>
      <c r="H478" s="18" t="s">
        <v>1</v>
      </c>
      <c r="I478" s="19" t="s">
        <v>25</v>
      </c>
      <c r="J478" s="17" t="s">
        <v>2</v>
      </c>
      <c r="K478" s="20" t="s">
        <v>94</v>
      </c>
      <c r="L478" s="20" t="s">
        <v>22</v>
      </c>
      <c r="M478" s="19" t="s">
        <v>8</v>
      </c>
      <c r="N478" s="19" t="s">
        <v>16</v>
      </c>
      <c r="O478" s="19" t="s">
        <v>17</v>
      </c>
      <c r="P478" s="19" t="s">
        <v>18</v>
      </c>
      <c r="Q478" s="20" t="s">
        <v>10</v>
      </c>
      <c r="R478" s="20" t="s">
        <v>23</v>
      </c>
      <c r="S478" s="19" t="s">
        <v>9</v>
      </c>
      <c r="T478" s="19" t="s">
        <v>19</v>
      </c>
      <c r="U478" s="19" t="s">
        <v>20</v>
      </c>
      <c r="V478" s="19" t="s">
        <v>24</v>
      </c>
    </row>
    <row r="479" spans="1:22" s="179" customFormat="1" x14ac:dyDescent="0.25">
      <c r="A479" s="6" t="s">
        <v>184</v>
      </c>
      <c r="C479" s="176" t="s">
        <v>57</v>
      </c>
      <c r="D479" s="56">
        <f>G479*E479</f>
        <v>4244</v>
      </c>
      <c r="E479" s="160">
        <v>212.2</v>
      </c>
      <c r="F479" s="160">
        <v>1</v>
      </c>
      <c r="G479" s="161">
        <v>20</v>
      </c>
      <c r="H479" s="7"/>
      <c r="I479" s="7"/>
      <c r="J479" s="160" t="s">
        <v>48</v>
      </c>
      <c r="K479" s="160">
        <v>126.92</v>
      </c>
      <c r="L479" s="46">
        <f>G480*K479</f>
        <v>2792.2400000000002</v>
      </c>
      <c r="M479" s="42" t="s">
        <v>27</v>
      </c>
      <c r="N479" s="45">
        <v>50600</v>
      </c>
      <c r="O479" s="1">
        <v>0.88300000000000001</v>
      </c>
      <c r="P479" s="161">
        <f>N479*O479</f>
        <v>44679.8</v>
      </c>
      <c r="Q479" s="160"/>
      <c r="R479" s="160"/>
      <c r="S479" s="7"/>
      <c r="T479" s="7"/>
      <c r="U479" s="7"/>
      <c r="V479" s="161">
        <f>T479*U479</f>
        <v>0</v>
      </c>
    </row>
    <row r="480" spans="1:22" s="179" customFormat="1" x14ac:dyDescent="0.25">
      <c r="A480" s="6"/>
      <c r="C480" s="160" t="s">
        <v>59</v>
      </c>
      <c r="D480" s="160">
        <f>G480*E480</f>
        <v>4274.16</v>
      </c>
      <c r="E480" s="160">
        <v>194.28</v>
      </c>
      <c r="F480" s="160">
        <v>1.1000000000000001</v>
      </c>
      <c r="G480" s="161">
        <f>G479*1.1</f>
        <v>22</v>
      </c>
      <c r="H480" s="1"/>
      <c r="I480" s="1"/>
      <c r="J480" s="25"/>
      <c r="K480" s="26"/>
      <c r="L480" s="46"/>
      <c r="M480" s="42"/>
      <c r="N480" s="2"/>
      <c r="O480" s="1"/>
      <c r="P480" s="161"/>
      <c r="Q480" s="160"/>
      <c r="R480" s="160"/>
      <c r="S480" s="7"/>
      <c r="T480" s="7"/>
      <c r="U480" s="7"/>
      <c r="V480" s="161">
        <f t="shared" ref="V480" si="18">T480*U480</f>
        <v>0</v>
      </c>
    </row>
    <row r="481" spans="1:22" s="179" customFormat="1" x14ac:dyDescent="0.25">
      <c r="A481" s="6"/>
      <c r="C481" s="10" t="s">
        <v>4</v>
      </c>
      <c r="D481" s="161">
        <f>SUM(D479:D480)</f>
        <v>8518.16</v>
      </c>
      <c r="E481" s="161">
        <f>SUM(E479:E480)</f>
        <v>406.48</v>
      </c>
      <c r="F481" s="10"/>
      <c r="G481" s="165">
        <f>SUM(G479:G480)</f>
        <v>42</v>
      </c>
      <c r="I481" s="165">
        <f>SUM(I479:I480)</f>
        <v>0</v>
      </c>
      <c r="L481" s="47">
        <f>SUM(L479:L480)</f>
        <v>2792.2400000000002</v>
      </c>
      <c r="N481" s="165">
        <f>SUM(N479:N480)</f>
        <v>50600</v>
      </c>
      <c r="P481" s="165">
        <f>SUM(P479:P480)</f>
        <v>44679.8</v>
      </c>
      <c r="R481" s="165">
        <f>SUM(R479:R480)</f>
        <v>0</v>
      </c>
      <c r="V481" s="165">
        <f>SUM(V479:V480)</f>
        <v>0</v>
      </c>
    </row>
    <row r="482" spans="1:22" s="179" customFormat="1" x14ac:dyDescent="0.25">
      <c r="A482" s="6"/>
      <c r="C482" s="4"/>
      <c r="D482" s="3"/>
      <c r="E482" s="3"/>
      <c r="F482" s="3"/>
      <c r="G482" s="4"/>
      <c r="H482" s="4"/>
      <c r="I482" s="4"/>
      <c r="M482" s="182"/>
      <c r="N482" s="4"/>
      <c r="O482" s="4"/>
      <c r="P482" s="4"/>
      <c r="Q482" s="4"/>
      <c r="R482" s="4"/>
      <c r="S482" s="4"/>
      <c r="T482" s="4"/>
      <c r="U482" s="4"/>
      <c r="V482" s="4"/>
    </row>
    <row r="483" spans="1:22" s="179" customFormat="1" x14ac:dyDescent="0.25">
      <c r="A483" s="6"/>
      <c r="C483" s="4"/>
      <c r="D483" s="3"/>
      <c r="E483" s="3"/>
      <c r="F483" s="3"/>
      <c r="G483" s="4"/>
      <c r="H483" s="4"/>
      <c r="K483" s="162" t="s">
        <v>133</v>
      </c>
      <c r="L483" s="96">
        <f>(T485/G479)*100</f>
        <v>50</v>
      </c>
      <c r="M483" s="182"/>
      <c r="O483" s="4"/>
      <c r="P483" s="4"/>
      <c r="Q483" s="4"/>
      <c r="R483" s="4"/>
      <c r="S483" s="4"/>
    </row>
    <row r="484" spans="1:22" s="179" customFormat="1" x14ac:dyDescent="0.25">
      <c r="A484" s="6"/>
      <c r="C484" s="4"/>
      <c r="D484" s="3"/>
      <c r="E484" s="3"/>
      <c r="F484" s="3"/>
      <c r="G484" s="4"/>
      <c r="H484" s="4"/>
      <c r="K484" s="159" t="s">
        <v>134</v>
      </c>
      <c r="L484" s="97">
        <f>(S485/(E481)*100)</f>
        <v>95.566817555599286</v>
      </c>
      <c r="M484" s="182"/>
      <c r="R484" s="5" t="s">
        <v>11</v>
      </c>
      <c r="S484" s="5" t="s">
        <v>12</v>
      </c>
      <c r="T484" s="5" t="s">
        <v>0</v>
      </c>
    </row>
    <row r="485" spans="1:22" s="179" customFormat="1" x14ac:dyDescent="0.25">
      <c r="A485" s="6"/>
      <c r="C485" s="4"/>
      <c r="D485" s="3"/>
      <c r="E485" s="3"/>
      <c r="F485" s="3"/>
      <c r="G485" s="4"/>
      <c r="H485" s="4"/>
      <c r="K485" s="162" t="s">
        <v>135</v>
      </c>
      <c r="L485" s="96">
        <f>(R485/D481)*100</f>
        <v>45.603745409806812</v>
      </c>
      <c r="P485" s="4"/>
      <c r="Q485" s="5" t="s">
        <v>3</v>
      </c>
      <c r="R485" s="9">
        <f>T485*S485</f>
        <v>3884.6</v>
      </c>
      <c r="S485" s="9">
        <v>388.46</v>
      </c>
      <c r="T485" s="22">
        <f>G479*0.5</f>
        <v>10</v>
      </c>
    </row>
    <row r="486" spans="1:22" s="179" customFormat="1" ht="17.25" x14ac:dyDescent="0.25">
      <c r="A486" s="6"/>
      <c r="C486" s="4"/>
      <c r="D486" s="3"/>
      <c r="E486" s="3"/>
      <c r="F486" s="3"/>
      <c r="G486" s="4"/>
      <c r="H486" s="4"/>
      <c r="K486" s="159" t="s">
        <v>136</v>
      </c>
      <c r="L486" s="13">
        <f>(D481+I481+L481+P481+R481+V481)/R485</f>
        <v>14.413375894558</v>
      </c>
      <c r="O486" s="4"/>
      <c r="P486" s="4"/>
      <c r="S486" s="181"/>
      <c r="T486" s="3"/>
    </row>
    <row r="487" spans="1:22" s="179" customFormat="1" ht="17.25" x14ac:dyDescent="0.25">
      <c r="A487" s="6"/>
      <c r="C487" s="4"/>
      <c r="D487" s="3"/>
      <c r="E487" s="3"/>
      <c r="F487" s="3"/>
      <c r="G487" s="4"/>
      <c r="H487" s="4"/>
      <c r="I487" s="4"/>
      <c r="K487" s="163" t="s">
        <v>137</v>
      </c>
      <c r="L487" s="15">
        <f>(D481+I481+L481)/R485</f>
        <v>2.9115996498996037</v>
      </c>
      <c r="N487" s="163" t="s">
        <v>139</v>
      </c>
      <c r="O487" s="93">
        <f>G479/N481*1000</f>
        <v>0.39525691699604742</v>
      </c>
      <c r="P487" s="4"/>
      <c r="S487" s="4"/>
    </row>
    <row r="488" spans="1:22" s="179" customFormat="1" ht="17.25" x14ac:dyDescent="0.25">
      <c r="A488" s="6"/>
      <c r="C488" s="4"/>
      <c r="D488" s="3"/>
      <c r="E488" s="3"/>
      <c r="F488" s="3"/>
      <c r="G488" s="4"/>
      <c r="H488" s="4"/>
      <c r="I488" s="4"/>
      <c r="K488" s="164" t="s">
        <v>138</v>
      </c>
      <c r="L488" s="16">
        <f>(P481+V481)/R485</f>
        <v>11.501776244658396</v>
      </c>
      <c r="M488" s="4"/>
      <c r="N488" s="4"/>
      <c r="O488" s="4"/>
      <c r="P488" s="4"/>
      <c r="U488" s="4"/>
      <c r="V488" s="4"/>
    </row>
    <row r="489" spans="1:22" s="179" customFormat="1" x14ac:dyDescent="0.25">
      <c r="A489" s="6"/>
      <c r="C489" s="6"/>
      <c r="E489" s="3"/>
      <c r="F489" s="3"/>
      <c r="G489" s="4"/>
      <c r="H489" s="4"/>
      <c r="I489" s="4"/>
      <c r="K489" s="4"/>
      <c r="M489" s="4"/>
      <c r="P489" s="4"/>
      <c r="Q489" s="4"/>
      <c r="R489" s="4"/>
      <c r="S489" s="4"/>
      <c r="T489" s="4"/>
      <c r="U489" s="4"/>
      <c r="V489" s="4"/>
    </row>
    <row r="490" spans="1:22" s="179" customFormat="1" x14ac:dyDescent="0.25">
      <c r="A490" s="6"/>
      <c r="B490" s="4"/>
      <c r="C490" s="6" t="s">
        <v>26</v>
      </c>
      <c r="D490" s="181"/>
      <c r="E490" s="181"/>
      <c r="F490" s="181"/>
    </row>
    <row r="491" spans="1:22" s="179" customFormat="1" ht="34.5" x14ac:dyDescent="0.25">
      <c r="A491" s="6"/>
      <c r="C491" s="17" t="s">
        <v>14</v>
      </c>
      <c r="D491" s="20" t="s">
        <v>21</v>
      </c>
      <c r="E491" s="20" t="s">
        <v>94</v>
      </c>
      <c r="F491" s="17" t="s">
        <v>13</v>
      </c>
      <c r="G491" s="17" t="s">
        <v>15</v>
      </c>
      <c r="H491" s="18" t="s">
        <v>1</v>
      </c>
      <c r="I491" s="19" t="s">
        <v>25</v>
      </c>
      <c r="J491" s="17" t="s">
        <v>2</v>
      </c>
      <c r="K491" s="20" t="s">
        <v>94</v>
      </c>
      <c r="L491" s="20" t="s">
        <v>22</v>
      </c>
      <c r="M491" s="19" t="s">
        <v>8</v>
      </c>
      <c r="N491" s="19" t="s">
        <v>16</v>
      </c>
      <c r="O491" s="19" t="s">
        <v>17</v>
      </c>
      <c r="P491" s="19" t="s">
        <v>18</v>
      </c>
      <c r="Q491" s="20" t="s">
        <v>10</v>
      </c>
      <c r="R491" s="20" t="s">
        <v>23</v>
      </c>
      <c r="S491" s="19" t="s">
        <v>9</v>
      </c>
      <c r="T491" s="19" t="s">
        <v>19</v>
      </c>
      <c r="U491" s="19" t="s">
        <v>20</v>
      </c>
      <c r="V491" s="19" t="s">
        <v>24</v>
      </c>
    </row>
    <row r="492" spans="1:22" s="179" customFormat="1" x14ac:dyDescent="0.25">
      <c r="A492" s="6" t="s">
        <v>197</v>
      </c>
      <c r="C492" s="172" t="s">
        <v>119</v>
      </c>
      <c r="D492" s="56">
        <f>G492*E492</f>
        <v>15494.6</v>
      </c>
      <c r="E492" s="160">
        <v>774.73</v>
      </c>
      <c r="F492" s="160">
        <v>1</v>
      </c>
      <c r="G492" s="161">
        <v>20</v>
      </c>
      <c r="H492" s="7"/>
      <c r="I492" s="7"/>
      <c r="J492" s="160" t="s">
        <v>48</v>
      </c>
      <c r="K492" s="160">
        <v>126.92</v>
      </c>
      <c r="L492" s="46">
        <f>G493*K492</f>
        <v>2792.2400000000002</v>
      </c>
      <c r="M492" s="42" t="s">
        <v>27</v>
      </c>
      <c r="N492" s="45">
        <v>50600</v>
      </c>
      <c r="O492" s="1">
        <v>0.88300000000000001</v>
      </c>
      <c r="P492" s="161">
        <f>N492*O492</f>
        <v>44679.8</v>
      </c>
      <c r="Q492" s="160"/>
      <c r="R492" s="160"/>
      <c r="S492" s="7"/>
      <c r="T492" s="7"/>
      <c r="U492" s="7"/>
      <c r="V492" s="161">
        <f>T492*U492</f>
        <v>0</v>
      </c>
    </row>
    <row r="493" spans="1:22" s="179" customFormat="1" ht="15.75" customHeight="1" x14ac:dyDescent="0.25">
      <c r="A493" s="6"/>
      <c r="C493" s="69" t="s">
        <v>124</v>
      </c>
      <c r="D493" s="160">
        <f>G493*E493</f>
        <v>6894.14</v>
      </c>
      <c r="E493" s="160">
        <v>313.37</v>
      </c>
      <c r="F493" s="160">
        <v>1.1000000000000001</v>
      </c>
      <c r="G493" s="161">
        <f>G492*F493</f>
        <v>22</v>
      </c>
      <c r="H493" s="1"/>
      <c r="I493" s="1"/>
      <c r="J493" s="25"/>
      <c r="K493" s="26"/>
      <c r="L493" s="46"/>
      <c r="M493" s="42"/>
      <c r="N493" s="2"/>
      <c r="O493" s="1"/>
      <c r="P493" s="161"/>
      <c r="Q493" s="160"/>
      <c r="R493" s="160"/>
      <c r="S493" s="7"/>
      <c r="T493" s="7"/>
      <c r="U493" s="7"/>
      <c r="V493" s="161">
        <f t="shared" ref="V493" si="19">T493*U493</f>
        <v>0</v>
      </c>
    </row>
    <row r="494" spans="1:22" s="179" customFormat="1" x14ac:dyDescent="0.25">
      <c r="A494" s="6"/>
      <c r="C494" s="10" t="s">
        <v>4</v>
      </c>
      <c r="D494" s="161">
        <f>SUM(D492:D493)</f>
        <v>22388.74</v>
      </c>
      <c r="E494" s="161">
        <f>SUM(E492:E493)</f>
        <v>1088.0999999999999</v>
      </c>
      <c r="F494" s="10"/>
      <c r="G494" s="165">
        <f>SUM(G492:G493)</f>
        <v>42</v>
      </c>
      <c r="I494" s="165">
        <f>SUM(I492:I493)</f>
        <v>0</v>
      </c>
      <c r="L494" s="47">
        <f>SUM(L492:L493)</f>
        <v>2792.2400000000002</v>
      </c>
      <c r="N494" s="165">
        <f>SUM(N492:N493)</f>
        <v>50600</v>
      </c>
      <c r="P494" s="165">
        <f>SUM(P492:P493)</f>
        <v>44679.8</v>
      </c>
      <c r="R494" s="165">
        <f>SUM(R492:R493)</f>
        <v>0</v>
      </c>
      <c r="V494" s="165">
        <f>SUM(V492:V493)</f>
        <v>0</v>
      </c>
    </row>
    <row r="495" spans="1:22" s="179" customFormat="1" x14ac:dyDescent="0.25">
      <c r="C495" s="4"/>
      <c r="D495" s="3"/>
      <c r="E495" s="3"/>
      <c r="F495" s="3"/>
      <c r="G495" s="4"/>
      <c r="H495" s="4"/>
      <c r="I495" s="4"/>
      <c r="M495" s="182"/>
      <c r="N495" s="4"/>
      <c r="O495" s="4"/>
      <c r="P495" s="4"/>
      <c r="Q495" s="4"/>
      <c r="R495" s="4"/>
      <c r="S495" s="4"/>
      <c r="T495" s="4"/>
      <c r="U495" s="4"/>
      <c r="V495" s="4"/>
    </row>
    <row r="496" spans="1:22" s="179" customFormat="1" x14ac:dyDescent="0.25">
      <c r="C496" s="4"/>
      <c r="D496" s="3"/>
      <c r="E496" s="3"/>
      <c r="F496" s="3"/>
      <c r="G496" s="4"/>
      <c r="H496" s="4"/>
      <c r="K496" s="162" t="s">
        <v>133</v>
      </c>
      <c r="L496" s="96">
        <f>(T498/G492)*100</f>
        <v>50</v>
      </c>
      <c r="M496" s="182"/>
      <c r="O496" s="4"/>
      <c r="P496" s="4"/>
      <c r="Q496" s="4"/>
      <c r="R496" s="4"/>
      <c r="S496" s="4"/>
    </row>
    <row r="497" spans="1:22" s="179" customFormat="1" x14ac:dyDescent="0.25">
      <c r="C497" s="4"/>
      <c r="D497" s="3"/>
      <c r="E497" s="3"/>
      <c r="F497" s="3"/>
      <c r="G497" s="4"/>
      <c r="H497" s="4"/>
      <c r="K497" s="159" t="s">
        <v>134</v>
      </c>
      <c r="L497" s="97">
        <f>(S498/(E494)*100)</f>
        <v>82.518150905247694</v>
      </c>
      <c r="M497" s="182"/>
      <c r="R497" s="5" t="s">
        <v>11</v>
      </c>
      <c r="S497" s="5" t="s">
        <v>12</v>
      </c>
      <c r="T497" s="5" t="s">
        <v>0</v>
      </c>
    </row>
    <row r="498" spans="1:22" s="179" customFormat="1" x14ac:dyDescent="0.25">
      <c r="C498" s="4"/>
      <c r="D498" s="3"/>
      <c r="E498" s="3"/>
      <c r="F498" s="3"/>
      <c r="G498" s="4"/>
      <c r="H498" s="4"/>
      <c r="K498" s="162" t="s">
        <v>135</v>
      </c>
      <c r="L498" s="96">
        <f>(R498/D494)*100</f>
        <v>40.104088037111509</v>
      </c>
      <c r="P498" s="4"/>
      <c r="Q498" s="5" t="s">
        <v>3</v>
      </c>
      <c r="R498" s="9">
        <f>T498*S498</f>
        <v>8978.7999999999993</v>
      </c>
      <c r="S498" s="9">
        <v>897.88</v>
      </c>
      <c r="T498" s="22">
        <f>G492*0.5</f>
        <v>10</v>
      </c>
    </row>
    <row r="499" spans="1:22" s="179" customFormat="1" ht="17.25" x14ac:dyDescent="0.25">
      <c r="C499" s="4"/>
      <c r="D499" s="3"/>
      <c r="E499" s="3"/>
      <c r="F499" s="3"/>
      <c r="G499" s="4"/>
      <c r="H499" s="4"/>
      <c r="K499" s="159" t="s">
        <v>136</v>
      </c>
      <c r="L499" s="13">
        <f>(D494+I494+L494+P494+R494+V494)/R498</f>
        <v>7.7806366106829428</v>
      </c>
      <c r="O499" s="4"/>
      <c r="P499" s="4"/>
      <c r="S499" s="181"/>
      <c r="T499" s="3"/>
    </row>
    <row r="500" spans="1:22" s="179" customFormat="1" ht="17.25" x14ac:dyDescent="0.25">
      <c r="C500" s="4"/>
      <c r="D500" s="3"/>
      <c r="E500" s="3"/>
      <c r="F500" s="3"/>
      <c r="G500" s="4"/>
      <c r="H500" s="4"/>
      <c r="I500" s="4"/>
      <c r="K500" s="163" t="s">
        <v>137</v>
      </c>
      <c r="L500" s="15">
        <f>(D494+I494+L494)/R498</f>
        <v>2.8044928052746476</v>
      </c>
      <c r="N500" s="163" t="s">
        <v>139</v>
      </c>
      <c r="O500" s="93">
        <f>G492/N494*1000</f>
        <v>0.39525691699604742</v>
      </c>
      <c r="P500" s="4"/>
      <c r="S500" s="4"/>
    </row>
    <row r="501" spans="1:22" s="179" customFormat="1" ht="17.25" x14ac:dyDescent="0.25">
      <c r="C501" s="4"/>
      <c r="D501" s="3"/>
      <c r="E501" s="3"/>
      <c r="F501" s="3"/>
      <c r="G501" s="4"/>
      <c r="H501" s="4"/>
      <c r="I501" s="4"/>
      <c r="K501" s="164" t="s">
        <v>138</v>
      </c>
      <c r="L501" s="16">
        <f>(P494+V494)/R498</f>
        <v>4.976143805408296</v>
      </c>
      <c r="M501" s="4"/>
      <c r="N501" s="4"/>
      <c r="O501" s="4"/>
      <c r="P501" s="4"/>
      <c r="U501" s="4"/>
      <c r="V501" s="4"/>
    </row>
    <row r="502" spans="1:22" s="179" customFormat="1" x14ac:dyDescent="0.25">
      <c r="C502" s="6"/>
      <c r="E502" s="3"/>
      <c r="F502" s="3"/>
      <c r="G502" s="4"/>
      <c r="H502" s="4"/>
      <c r="I502" s="4"/>
      <c r="K502" s="4"/>
      <c r="M502" s="4"/>
      <c r="P502" s="4"/>
      <c r="Q502" s="4"/>
      <c r="R502" s="4"/>
      <c r="S502" s="4"/>
      <c r="T502" s="4"/>
      <c r="U502" s="4"/>
      <c r="V502" s="4"/>
    </row>
    <row r="503" spans="1:22" s="179" customFormat="1" x14ac:dyDescent="0.25">
      <c r="C503" s="6"/>
      <c r="E503" s="3"/>
      <c r="F503" s="3"/>
      <c r="G503" s="4"/>
      <c r="H503" s="4"/>
      <c r="I503" s="4"/>
      <c r="M503" s="4"/>
      <c r="N503" s="4"/>
      <c r="O503" s="4"/>
      <c r="P503" s="4"/>
      <c r="Q503" s="4"/>
      <c r="R503" s="4"/>
      <c r="S503" s="4"/>
      <c r="T503" s="4"/>
      <c r="U503" s="4"/>
      <c r="V503" s="4"/>
    </row>
    <row r="504" spans="1:22" s="180" customFormat="1" ht="17.25" x14ac:dyDescent="0.25">
      <c r="A504" s="184" t="s">
        <v>166</v>
      </c>
      <c r="D504" s="169"/>
      <c r="E504" s="169"/>
      <c r="F504" s="169"/>
    </row>
    <row r="505" spans="1:22" s="179" customFormat="1" x14ac:dyDescent="0.25">
      <c r="B505" s="4"/>
      <c r="C505" s="6" t="s">
        <v>26</v>
      </c>
      <c r="D505" s="181"/>
      <c r="E505" s="181"/>
      <c r="F505" s="181"/>
    </row>
    <row r="506" spans="1:22" s="179" customFormat="1" ht="34.5" x14ac:dyDescent="0.25">
      <c r="C506" s="17" t="s">
        <v>14</v>
      </c>
      <c r="D506" s="20" t="s">
        <v>21</v>
      </c>
      <c r="E506" s="20" t="s">
        <v>94</v>
      </c>
      <c r="F506" s="17" t="s">
        <v>13</v>
      </c>
      <c r="G506" s="17" t="s">
        <v>15</v>
      </c>
      <c r="H506" s="18" t="s">
        <v>1</v>
      </c>
      <c r="I506" s="19" t="s">
        <v>25</v>
      </c>
      <c r="J506" s="17" t="s">
        <v>2</v>
      </c>
      <c r="K506" s="20" t="s">
        <v>94</v>
      </c>
      <c r="L506" s="20" t="s">
        <v>22</v>
      </c>
      <c r="M506" s="19" t="s">
        <v>8</v>
      </c>
      <c r="N506" s="19" t="s">
        <v>16</v>
      </c>
      <c r="O506" s="19" t="s">
        <v>17</v>
      </c>
      <c r="P506" s="19" t="s">
        <v>18</v>
      </c>
      <c r="Q506" s="20" t="s">
        <v>10</v>
      </c>
      <c r="R506" s="20" t="s">
        <v>23</v>
      </c>
      <c r="S506" s="19" t="s">
        <v>9</v>
      </c>
      <c r="T506" s="19" t="s">
        <v>19</v>
      </c>
      <c r="U506" s="19" t="s">
        <v>20</v>
      </c>
      <c r="V506" s="19" t="s">
        <v>24</v>
      </c>
    </row>
    <row r="507" spans="1:22" s="179" customFormat="1" x14ac:dyDescent="0.25">
      <c r="A507" s="6" t="s">
        <v>184</v>
      </c>
      <c r="C507" s="176" t="s">
        <v>57</v>
      </c>
      <c r="D507" s="56">
        <f>G507*E507</f>
        <v>4244</v>
      </c>
      <c r="E507" s="160">
        <v>212.2</v>
      </c>
      <c r="F507" s="160">
        <v>1</v>
      </c>
      <c r="G507" s="161">
        <v>20</v>
      </c>
      <c r="H507" s="7"/>
      <c r="I507" s="7"/>
      <c r="J507" s="160" t="s">
        <v>58</v>
      </c>
      <c r="K507" s="160">
        <v>162.15</v>
      </c>
      <c r="L507" s="46">
        <f>G508*K507</f>
        <v>3567.3</v>
      </c>
      <c r="M507" s="42" t="s">
        <v>27</v>
      </c>
      <c r="N507" s="45">
        <v>50600</v>
      </c>
      <c r="O507" s="1">
        <v>0.88300000000000001</v>
      </c>
      <c r="P507" s="161">
        <f>N507*O507</f>
        <v>44679.8</v>
      </c>
      <c r="Q507" s="160"/>
      <c r="R507" s="160"/>
      <c r="S507" s="7"/>
      <c r="T507" s="7"/>
      <c r="U507" s="7"/>
      <c r="V507" s="161">
        <f>T507*U507</f>
        <v>0</v>
      </c>
    </row>
    <row r="508" spans="1:22" s="179" customFormat="1" x14ac:dyDescent="0.25">
      <c r="A508" s="6"/>
      <c r="C508" s="160" t="s">
        <v>59</v>
      </c>
      <c r="D508" s="160">
        <f>G508*E508</f>
        <v>4274.16</v>
      </c>
      <c r="E508" s="160">
        <v>194.28</v>
      </c>
      <c r="F508" s="160">
        <v>1.1000000000000001</v>
      </c>
      <c r="G508" s="161">
        <f>G507*1.1</f>
        <v>22</v>
      </c>
      <c r="H508" s="1"/>
      <c r="I508" s="1"/>
      <c r="J508" s="25"/>
      <c r="K508" s="26"/>
      <c r="L508" s="46"/>
      <c r="M508" s="42"/>
      <c r="N508" s="2"/>
      <c r="O508" s="1"/>
      <c r="P508" s="161"/>
      <c r="Q508" s="160"/>
      <c r="R508" s="160"/>
      <c r="S508" s="7"/>
      <c r="T508" s="7"/>
      <c r="U508" s="7"/>
      <c r="V508" s="161">
        <f t="shared" ref="V508" si="20">T508*U508</f>
        <v>0</v>
      </c>
    </row>
    <row r="509" spans="1:22" s="179" customFormat="1" x14ac:dyDescent="0.25">
      <c r="A509" s="6"/>
      <c r="C509" s="10" t="s">
        <v>4</v>
      </c>
      <c r="D509" s="161">
        <f>SUM(D507:D508)</f>
        <v>8518.16</v>
      </c>
      <c r="E509" s="161">
        <f>SUM(E507:E508)</f>
        <v>406.48</v>
      </c>
      <c r="F509" s="10"/>
      <c r="G509" s="165">
        <f>SUM(G507:G508)</f>
        <v>42</v>
      </c>
      <c r="I509" s="165">
        <f>SUM(I507:I508)</f>
        <v>0</v>
      </c>
      <c r="L509" s="47">
        <f>SUM(L507:L508)</f>
        <v>3567.3</v>
      </c>
      <c r="N509" s="165">
        <f>SUM(N507:N508)</f>
        <v>50600</v>
      </c>
      <c r="P509" s="165">
        <f>SUM(P507:P508)</f>
        <v>44679.8</v>
      </c>
      <c r="R509" s="165">
        <f>SUM(R507:R508)</f>
        <v>0</v>
      </c>
      <c r="V509" s="165">
        <f>SUM(V507:V508)</f>
        <v>0</v>
      </c>
    </row>
    <row r="510" spans="1:22" s="179" customFormat="1" x14ac:dyDescent="0.25">
      <c r="A510" s="6"/>
      <c r="C510" s="4"/>
      <c r="D510" s="3"/>
      <c r="E510" s="3"/>
      <c r="F510" s="3"/>
      <c r="G510" s="4"/>
      <c r="H510" s="4"/>
      <c r="I510" s="4"/>
      <c r="M510" s="182"/>
      <c r="N510" s="4"/>
      <c r="O510" s="4"/>
      <c r="P510" s="4"/>
      <c r="Q510" s="4"/>
      <c r="R510" s="4"/>
      <c r="S510" s="4"/>
      <c r="T510" s="4"/>
      <c r="U510" s="4"/>
      <c r="V510" s="4"/>
    </row>
    <row r="511" spans="1:22" s="179" customFormat="1" x14ac:dyDescent="0.25">
      <c r="A511" s="6"/>
      <c r="C511" s="4"/>
      <c r="D511" s="3"/>
      <c r="E511" s="3"/>
      <c r="F511" s="3"/>
      <c r="G511" s="4"/>
      <c r="H511" s="4"/>
      <c r="K511" s="162" t="s">
        <v>133</v>
      </c>
      <c r="L511" s="96">
        <f>(T513/G507)*100</f>
        <v>50</v>
      </c>
      <c r="M511" s="182"/>
      <c r="O511" s="4"/>
      <c r="P511" s="4"/>
      <c r="Q511" s="4"/>
      <c r="R511" s="4"/>
      <c r="S511" s="4"/>
    </row>
    <row r="512" spans="1:22" s="179" customFormat="1" x14ac:dyDescent="0.25">
      <c r="A512" s="6"/>
      <c r="C512" s="4"/>
      <c r="D512" s="3"/>
      <c r="E512" s="3"/>
      <c r="F512" s="3"/>
      <c r="G512" s="4"/>
      <c r="H512" s="4"/>
      <c r="K512" s="159" t="s">
        <v>134</v>
      </c>
      <c r="L512" s="97">
        <f>(S513/(E509)*100)</f>
        <v>95.566817555599286</v>
      </c>
      <c r="M512" s="182"/>
      <c r="R512" s="5" t="s">
        <v>11</v>
      </c>
      <c r="S512" s="5" t="s">
        <v>12</v>
      </c>
      <c r="T512" s="5" t="s">
        <v>0</v>
      </c>
    </row>
    <row r="513" spans="1:22" s="179" customFormat="1" x14ac:dyDescent="0.25">
      <c r="A513" s="6"/>
      <c r="C513" s="4"/>
      <c r="D513" s="3"/>
      <c r="E513" s="3"/>
      <c r="F513" s="3"/>
      <c r="G513" s="4"/>
      <c r="H513" s="4"/>
      <c r="K513" s="162" t="s">
        <v>135</v>
      </c>
      <c r="L513" s="96">
        <f>(R513/D509)*100</f>
        <v>45.603745409806812</v>
      </c>
      <c r="P513" s="4"/>
      <c r="Q513" s="5" t="s">
        <v>3</v>
      </c>
      <c r="R513" s="9">
        <f>T513*S513</f>
        <v>3884.6</v>
      </c>
      <c r="S513" s="9">
        <v>388.46</v>
      </c>
      <c r="T513" s="22">
        <f>G507*0.5</f>
        <v>10</v>
      </c>
    </row>
    <row r="514" spans="1:22" s="179" customFormat="1" ht="17.25" x14ac:dyDescent="0.25">
      <c r="A514" s="6"/>
      <c r="C514" s="4"/>
      <c r="D514" s="3"/>
      <c r="E514" s="3"/>
      <c r="F514" s="3"/>
      <c r="G514" s="4"/>
      <c r="H514" s="4"/>
      <c r="K514" s="159" t="s">
        <v>136</v>
      </c>
      <c r="L514" s="13">
        <f>(D509+I509+L509+P509+R509+V509)/R513</f>
        <v>14.612897080780519</v>
      </c>
      <c r="O514" s="4"/>
      <c r="P514" s="4"/>
      <c r="S514" s="181"/>
      <c r="T514" s="3"/>
    </row>
    <row r="515" spans="1:22" s="179" customFormat="1" ht="17.25" x14ac:dyDescent="0.25">
      <c r="A515" s="6"/>
      <c r="C515" s="4"/>
      <c r="D515" s="3"/>
      <c r="E515" s="3"/>
      <c r="F515" s="3"/>
      <c r="G515" s="4"/>
      <c r="H515" s="4"/>
      <c r="I515" s="4"/>
      <c r="K515" s="163" t="s">
        <v>137</v>
      </c>
      <c r="L515" s="15">
        <f>(D509+I509+L509)/R513</f>
        <v>3.1111208361221232</v>
      </c>
      <c r="N515" s="163" t="s">
        <v>139</v>
      </c>
      <c r="O515" s="93">
        <f>G507/N509*1000</f>
        <v>0.39525691699604742</v>
      </c>
      <c r="P515" s="4"/>
      <c r="S515" s="4"/>
    </row>
    <row r="516" spans="1:22" s="179" customFormat="1" ht="17.25" x14ac:dyDescent="0.25">
      <c r="A516" s="6"/>
      <c r="C516" s="4"/>
      <c r="D516" s="3"/>
      <c r="E516" s="3"/>
      <c r="F516" s="3"/>
      <c r="G516" s="4"/>
      <c r="H516" s="4"/>
      <c r="I516" s="4"/>
      <c r="K516" s="164" t="s">
        <v>138</v>
      </c>
      <c r="L516" s="16">
        <f>(P509+V509)/R513</f>
        <v>11.501776244658396</v>
      </c>
      <c r="M516" s="4"/>
      <c r="N516" s="4"/>
      <c r="O516" s="4"/>
      <c r="P516" s="4"/>
      <c r="U516" s="4"/>
      <c r="V516" s="4"/>
    </row>
    <row r="517" spans="1:22" s="179" customFormat="1" x14ac:dyDescent="0.25">
      <c r="A517" s="6"/>
      <c r="C517" s="6"/>
      <c r="E517" s="3"/>
      <c r="F517" s="3"/>
      <c r="G517" s="4"/>
      <c r="H517" s="4"/>
      <c r="I517" s="4"/>
      <c r="K517" s="4"/>
      <c r="M517" s="4"/>
      <c r="P517" s="4"/>
      <c r="Q517" s="4"/>
      <c r="R517" s="4"/>
      <c r="S517" s="4"/>
      <c r="T517" s="4"/>
      <c r="U517" s="4"/>
      <c r="V517" s="4"/>
    </row>
    <row r="518" spans="1:22" s="179" customFormat="1" x14ac:dyDescent="0.25">
      <c r="A518" s="6"/>
      <c r="B518" s="4"/>
      <c r="C518" s="6" t="s">
        <v>26</v>
      </c>
      <c r="D518" s="181"/>
      <c r="E518" s="181"/>
      <c r="F518" s="181"/>
    </row>
    <row r="519" spans="1:22" s="179" customFormat="1" ht="34.5" x14ac:dyDescent="0.25">
      <c r="A519" s="6"/>
      <c r="C519" s="17" t="s">
        <v>14</v>
      </c>
      <c r="D519" s="20" t="s">
        <v>21</v>
      </c>
      <c r="E519" s="20" t="s">
        <v>94</v>
      </c>
      <c r="F519" s="17" t="s">
        <v>13</v>
      </c>
      <c r="G519" s="17" t="s">
        <v>15</v>
      </c>
      <c r="H519" s="18" t="s">
        <v>1</v>
      </c>
      <c r="I519" s="19" t="s">
        <v>25</v>
      </c>
      <c r="J519" s="17" t="s">
        <v>2</v>
      </c>
      <c r="K519" s="20" t="s">
        <v>94</v>
      </c>
      <c r="L519" s="20" t="s">
        <v>22</v>
      </c>
      <c r="M519" s="19" t="s">
        <v>8</v>
      </c>
      <c r="N519" s="19" t="s">
        <v>16</v>
      </c>
      <c r="O519" s="19" t="s">
        <v>17</v>
      </c>
      <c r="P519" s="19" t="s">
        <v>18</v>
      </c>
      <c r="Q519" s="20" t="s">
        <v>10</v>
      </c>
      <c r="R519" s="20" t="s">
        <v>23</v>
      </c>
      <c r="S519" s="19" t="s">
        <v>9</v>
      </c>
      <c r="T519" s="19" t="s">
        <v>19</v>
      </c>
      <c r="U519" s="19" t="s">
        <v>20</v>
      </c>
      <c r="V519" s="19" t="s">
        <v>24</v>
      </c>
    </row>
    <row r="520" spans="1:22" s="179" customFormat="1" x14ac:dyDescent="0.25">
      <c r="A520" s="6" t="s">
        <v>197</v>
      </c>
      <c r="C520" s="172" t="s">
        <v>119</v>
      </c>
      <c r="D520" s="56">
        <f>G520*E520</f>
        <v>15494.6</v>
      </c>
      <c r="E520" s="160">
        <v>774.73</v>
      </c>
      <c r="F520" s="160">
        <v>1</v>
      </c>
      <c r="G520" s="161">
        <v>20</v>
      </c>
      <c r="H520" s="7"/>
      <c r="I520" s="7"/>
      <c r="J520" s="160" t="s">
        <v>58</v>
      </c>
      <c r="K520" s="160">
        <v>162.15</v>
      </c>
      <c r="L520" s="46">
        <f>G521*K520</f>
        <v>3567.3</v>
      </c>
      <c r="M520" s="42" t="s">
        <v>27</v>
      </c>
      <c r="N520" s="45">
        <v>50600</v>
      </c>
      <c r="O520" s="1">
        <v>0.88300000000000001</v>
      </c>
      <c r="P520" s="161">
        <f>N520*O520</f>
        <v>44679.8</v>
      </c>
      <c r="Q520" s="160"/>
      <c r="R520" s="160"/>
      <c r="S520" s="7"/>
      <c r="T520" s="7"/>
      <c r="U520" s="7"/>
      <c r="V520" s="161">
        <f>T520*U520</f>
        <v>0</v>
      </c>
    </row>
    <row r="521" spans="1:22" s="179" customFormat="1" x14ac:dyDescent="0.25">
      <c r="A521" s="6"/>
      <c r="C521" s="69" t="s">
        <v>124</v>
      </c>
      <c r="D521" s="160">
        <f>G521*E521</f>
        <v>6894.14</v>
      </c>
      <c r="E521" s="160">
        <v>313.37</v>
      </c>
      <c r="F521" s="160">
        <v>1.1000000000000001</v>
      </c>
      <c r="G521" s="161">
        <f>G520*F521</f>
        <v>22</v>
      </c>
      <c r="H521" s="1"/>
      <c r="I521" s="1"/>
      <c r="J521" s="25"/>
      <c r="K521" s="26"/>
      <c r="L521" s="46"/>
      <c r="M521" s="42"/>
      <c r="N521" s="2"/>
      <c r="O521" s="1"/>
      <c r="P521" s="161"/>
      <c r="Q521" s="160"/>
      <c r="R521" s="160"/>
      <c r="S521" s="7"/>
      <c r="T521" s="7"/>
      <c r="U521" s="7"/>
      <c r="V521" s="161">
        <f t="shared" ref="V521" si="21">T521*U521</f>
        <v>0</v>
      </c>
    </row>
    <row r="522" spans="1:22" s="179" customFormat="1" x14ac:dyDescent="0.25">
      <c r="A522" s="6"/>
      <c r="C522" s="10" t="s">
        <v>4</v>
      </c>
      <c r="D522" s="161">
        <f>SUM(D520:D521)</f>
        <v>22388.74</v>
      </c>
      <c r="E522" s="161">
        <f>SUM(E520:E521)</f>
        <v>1088.0999999999999</v>
      </c>
      <c r="F522" s="10"/>
      <c r="G522" s="165">
        <f>SUM(G520:G521)</f>
        <v>42</v>
      </c>
      <c r="I522" s="165">
        <f>SUM(I520:I521)</f>
        <v>0</v>
      </c>
      <c r="L522" s="47">
        <f>SUM(L520:L521)</f>
        <v>3567.3</v>
      </c>
      <c r="N522" s="165">
        <f>SUM(N520:N521)</f>
        <v>50600</v>
      </c>
      <c r="P522" s="165">
        <f>SUM(P520:P521)</f>
        <v>44679.8</v>
      </c>
      <c r="R522" s="165">
        <f>SUM(R520:R521)</f>
        <v>0</v>
      </c>
      <c r="V522" s="165">
        <f>SUM(V520:V521)</f>
        <v>0</v>
      </c>
    </row>
    <row r="523" spans="1:22" s="179" customFormat="1" x14ac:dyDescent="0.25">
      <c r="C523" s="4"/>
      <c r="D523" s="3"/>
      <c r="E523" s="3"/>
      <c r="F523" s="3"/>
      <c r="G523" s="4"/>
      <c r="H523" s="4"/>
      <c r="I523" s="4"/>
      <c r="M523" s="182"/>
      <c r="N523" s="4"/>
      <c r="O523" s="4"/>
      <c r="P523" s="4"/>
      <c r="Q523" s="4"/>
      <c r="R523" s="4"/>
      <c r="S523" s="4"/>
      <c r="T523" s="4"/>
      <c r="U523" s="4"/>
      <c r="V523" s="4"/>
    </row>
    <row r="524" spans="1:22" s="179" customFormat="1" x14ac:dyDescent="0.25">
      <c r="C524" s="4"/>
      <c r="D524" s="3"/>
      <c r="E524" s="3"/>
      <c r="F524" s="3"/>
      <c r="G524" s="4"/>
      <c r="H524" s="4"/>
      <c r="K524" s="162" t="s">
        <v>133</v>
      </c>
      <c r="L524" s="96">
        <f>(T526/G520)*100</f>
        <v>50</v>
      </c>
      <c r="M524" s="182"/>
      <c r="O524" s="4"/>
      <c r="P524" s="4"/>
      <c r="Q524" s="4"/>
      <c r="R524" s="4"/>
      <c r="S524" s="4"/>
    </row>
    <row r="525" spans="1:22" s="179" customFormat="1" x14ac:dyDescent="0.25">
      <c r="C525" s="4"/>
      <c r="D525" s="3"/>
      <c r="E525" s="3"/>
      <c r="F525" s="3"/>
      <c r="G525" s="4"/>
      <c r="H525" s="4"/>
      <c r="K525" s="159" t="s">
        <v>134</v>
      </c>
      <c r="L525" s="97">
        <f>(S526/(E522)*100)</f>
        <v>82.518150905247694</v>
      </c>
      <c r="M525" s="182"/>
      <c r="R525" s="5" t="s">
        <v>11</v>
      </c>
      <c r="S525" s="5" t="s">
        <v>12</v>
      </c>
      <c r="T525" s="5" t="s">
        <v>0</v>
      </c>
    </row>
    <row r="526" spans="1:22" s="179" customFormat="1" x14ac:dyDescent="0.25">
      <c r="C526" s="4"/>
      <c r="D526" s="3"/>
      <c r="E526" s="3"/>
      <c r="F526" s="3"/>
      <c r="G526" s="4"/>
      <c r="H526" s="4"/>
      <c r="K526" s="162" t="s">
        <v>135</v>
      </c>
      <c r="L526" s="96">
        <f>(R526/D522)*100</f>
        <v>40.104088037111509</v>
      </c>
      <c r="P526" s="4"/>
      <c r="Q526" s="5" t="s">
        <v>3</v>
      </c>
      <c r="R526" s="9">
        <f>T526*S526</f>
        <v>8978.7999999999993</v>
      </c>
      <c r="S526" s="9">
        <v>897.88</v>
      </c>
      <c r="T526" s="22">
        <f>G520*0.5</f>
        <v>10</v>
      </c>
    </row>
    <row r="527" spans="1:22" s="179" customFormat="1" ht="17.25" x14ac:dyDescent="0.25">
      <c r="C527" s="4"/>
      <c r="D527" s="3"/>
      <c r="E527" s="3"/>
      <c r="F527" s="3"/>
      <c r="G527" s="4"/>
      <c r="H527" s="4"/>
      <c r="K527" s="159" t="s">
        <v>136</v>
      </c>
      <c r="L527" s="13">
        <f>(D522+I522+L522+P522+R522+V522)/R526</f>
        <v>7.8669577226355418</v>
      </c>
      <c r="O527" s="4"/>
      <c r="P527" s="4"/>
      <c r="S527" s="181"/>
      <c r="T527" s="3"/>
    </row>
    <row r="528" spans="1:22" s="179" customFormat="1" ht="17.25" x14ac:dyDescent="0.25">
      <c r="C528" s="4"/>
      <c r="D528" s="3"/>
      <c r="E528" s="3"/>
      <c r="F528" s="3"/>
      <c r="G528" s="4"/>
      <c r="H528" s="4"/>
      <c r="I528" s="4"/>
      <c r="K528" s="163" t="s">
        <v>137</v>
      </c>
      <c r="L528" s="15">
        <f>(D522+I522+L522)/R526</f>
        <v>2.8908139172272467</v>
      </c>
      <c r="N528" s="163" t="s">
        <v>139</v>
      </c>
      <c r="O528" s="93">
        <f>G520/N522*1000</f>
        <v>0.39525691699604742</v>
      </c>
      <c r="P528" s="4"/>
      <c r="S528" s="4"/>
    </row>
    <row r="529" spans="1:22" s="179" customFormat="1" ht="17.25" x14ac:dyDescent="0.25">
      <c r="C529" s="4"/>
      <c r="D529" s="3"/>
      <c r="E529" s="3"/>
      <c r="F529" s="3"/>
      <c r="G529" s="4"/>
      <c r="H529" s="4"/>
      <c r="I529" s="4"/>
      <c r="K529" s="164" t="s">
        <v>138</v>
      </c>
      <c r="L529" s="16">
        <f>(P522+V522)/R526</f>
        <v>4.976143805408296</v>
      </c>
      <c r="M529" s="4"/>
      <c r="N529" s="4"/>
      <c r="O529" s="4"/>
      <c r="P529" s="4"/>
      <c r="U529" s="4"/>
      <c r="V529" s="4"/>
    </row>
    <row r="530" spans="1:22" s="179" customFormat="1" x14ac:dyDescent="0.25">
      <c r="C530" s="6"/>
      <c r="E530" s="3"/>
      <c r="F530" s="3"/>
      <c r="G530" s="4"/>
      <c r="H530" s="4"/>
      <c r="I530" s="4"/>
      <c r="K530" s="4"/>
      <c r="M530" s="4"/>
      <c r="P530" s="4"/>
      <c r="Q530" s="4"/>
      <c r="R530" s="4"/>
      <c r="S530" s="4"/>
      <c r="T530" s="4"/>
      <c r="U530" s="4"/>
      <c r="V530" s="4"/>
    </row>
    <row r="531" spans="1:22" s="179" customFormat="1" x14ac:dyDescent="0.25">
      <c r="C531" s="6"/>
      <c r="E531" s="3"/>
      <c r="F531" s="3"/>
      <c r="G531" s="4"/>
      <c r="H531" s="4"/>
      <c r="I531" s="4"/>
      <c r="M531" s="4"/>
      <c r="N531" s="4"/>
      <c r="O531" s="4"/>
      <c r="P531" s="4"/>
      <c r="Q531" s="4"/>
      <c r="R531" s="4"/>
      <c r="S531" s="4"/>
      <c r="T531" s="4"/>
      <c r="U531" s="4"/>
      <c r="V531" s="4"/>
    </row>
    <row r="532" spans="1:22" s="180" customFormat="1" ht="17.25" x14ac:dyDescent="0.25">
      <c r="A532" s="184" t="s">
        <v>167</v>
      </c>
      <c r="D532" s="169"/>
      <c r="E532" s="169"/>
      <c r="F532" s="169"/>
    </row>
    <row r="533" spans="1:22" s="179" customFormat="1" x14ac:dyDescent="0.25">
      <c r="B533" s="4"/>
      <c r="C533" s="6" t="s">
        <v>26</v>
      </c>
      <c r="D533" s="181"/>
      <c r="E533" s="181"/>
      <c r="F533" s="181"/>
    </row>
    <row r="534" spans="1:22" s="179" customFormat="1" ht="34.5" x14ac:dyDescent="0.25">
      <c r="C534" s="17" t="s">
        <v>14</v>
      </c>
      <c r="D534" s="20" t="s">
        <v>21</v>
      </c>
      <c r="E534" s="20" t="s">
        <v>94</v>
      </c>
      <c r="F534" s="17" t="s">
        <v>13</v>
      </c>
      <c r="G534" s="17" t="s">
        <v>15</v>
      </c>
      <c r="H534" s="18" t="s">
        <v>1</v>
      </c>
      <c r="I534" s="19" t="s">
        <v>25</v>
      </c>
      <c r="J534" s="17" t="s">
        <v>2</v>
      </c>
      <c r="K534" s="20" t="s">
        <v>94</v>
      </c>
      <c r="L534" s="20" t="s">
        <v>22</v>
      </c>
      <c r="M534" s="19" t="s">
        <v>8</v>
      </c>
      <c r="N534" s="19" t="s">
        <v>16</v>
      </c>
      <c r="O534" s="19" t="s">
        <v>17</v>
      </c>
      <c r="P534" s="19" t="s">
        <v>18</v>
      </c>
      <c r="Q534" s="20" t="s">
        <v>10</v>
      </c>
      <c r="R534" s="20" t="s">
        <v>23</v>
      </c>
      <c r="S534" s="19" t="s">
        <v>9</v>
      </c>
      <c r="T534" s="19" t="s">
        <v>19</v>
      </c>
      <c r="U534" s="19" t="s">
        <v>20</v>
      </c>
      <c r="V534" s="19" t="s">
        <v>24</v>
      </c>
    </row>
    <row r="535" spans="1:22" s="179" customFormat="1" x14ac:dyDescent="0.25">
      <c r="A535" s="6" t="s">
        <v>184</v>
      </c>
      <c r="C535" s="176" t="s">
        <v>57</v>
      </c>
      <c r="D535" s="56">
        <f>G535*E535</f>
        <v>4244</v>
      </c>
      <c r="E535" s="160">
        <v>212.2</v>
      </c>
      <c r="F535" s="160">
        <v>1</v>
      </c>
      <c r="G535" s="161">
        <v>20</v>
      </c>
      <c r="H535" s="7"/>
      <c r="I535" s="7"/>
      <c r="J535" s="25" t="s">
        <v>66</v>
      </c>
      <c r="K535" s="26">
        <v>206.33</v>
      </c>
      <c r="L535" s="46">
        <f>G536*K535</f>
        <v>4539.26</v>
      </c>
      <c r="M535" s="42" t="s">
        <v>27</v>
      </c>
      <c r="N535" s="45">
        <v>50600</v>
      </c>
      <c r="O535" s="1">
        <v>0.88300000000000001</v>
      </c>
      <c r="P535" s="161">
        <f>N535*O535</f>
        <v>44679.8</v>
      </c>
      <c r="Q535" s="160"/>
      <c r="R535" s="160"/>
      <c r="S535" s="7"/>
      <c r="T535" s="7"/>
      <c r="U535" s="7"/>
      <c r="V535" s="161">
        <f>T535*U535</f>
        <v>0</v>
      </c>
    </row>
    <row r="536" spans="1:22" s="179" customFormat="1" x14ac:dyDescent="0.25">
      <c r="A536" s="6"/>
      <c r="C536" s="160" t="s">
        <v>59</v>
      </c>
      <c r="D536" s="160">
        <f>G536*E536</f>
        <v>4274.16</v>
      </c>
      <c r="E536" s="160">
        <v>194.28</v>
      </c>
      <c r="F536" s="160">
        <v>1.1000000000000001</v>
      </c>
      <c r="G536" s="161">
        <f>G535*1.1</f>
        <v>22</v>
      </c>
      <c r="H536" s="1"/>
      <c r="I536" s="1"/>
      <c r="J536" s="25"/>
      <c r="K536" s="26"/>
      <c r="L536" s="46">
        <f>G536*K536</f>
        <v>0</v>
      </c>
      <c r="M536" s="42"/>
      <c r="N536" s="2"/>
      <c r="O536" s="1"/>
      <c r="P536" s="161"/>
      <c r="Q536" s="160"/>
      <c r="R536" s="160"/>
      <c r="S536" s="7"/>
      <c r="T536" s="7"/>
      <c r="U536" s="7"/>
      <c r="V536" s="161">
        <f t="shared" ref="V536" si="22">T536*U536</f>
        <v>0</v>
      </c>
    </row>
    <row r="537" spans="1:22" s="179" customFormat="1" x14ac:dyDescent="0.25">
      <c r="A537" s="6"/>
      <c r="C537" s="10" t="s">
        <v>4</v>
      </c>
      <c r="D537" s="161">
        <f>SUM(D535:D536)</f>
        <v>8518.16</v>
      </c>
      <c r="E537" s="161">
        <f>SUM(E535:E536)</f>
        <v>406.48</v>
      </c>
      <c r="F537" s="10"/>
      <c r="G537" s="165">
        <f>SUM(G535:G536)</f>
        <v>42</v>
      </c>
      <c r="I537" s="165">
        <f>SUM(I535:I536)</f>
        <v>0</v>
      </c>
      <c r="L537" s="47">
        <f>SUM(L535:L536)</f>
        <v>4539.26</v>
      </c>
      <c r="N537" s="165">
        <f>SUM(N535:N536)</f>
        <v>50600</v>
      </c>
      <c r="P537" s="165">
        <f>SUM(P535:P536)</f>
        <v>44679.8</v>
      </c>
      <c r="R537" s="165">
        <f>SUM(R535:R536)</f>
        <v>0</v>
      </c>
      <c r="V537" s="165">
        <f>SUM(V535:V536)</f>
        <v>0</v>
      </c>
    </row>
    <row r="538" spans="1:22" s="179" customFormat="1" x14ac:dyDescent="0.25">
      <c r="A538" s="6"/>
      <c r="C538" s="4"/>
      <c r="D538" s="3"/>
      <c r="E538" s="3"/>
      <c r="F538" s="3"/>
      <c r="G538" s="4"/>
      <c r="H538" s="4"/>
      <c r="I538" s="4"/>
      <c r="M538" s="182"/>
      <c r="N538" s="4"/>
      <c r="O538" s="4"/>
      <c r="P538" s="4"/>
      <c r="Q538" s="4"/>
      <c r="R538" s="4"/>
      <c r="S538" s="4"/>
      <c r="T538" s="4"/>
      <c r="U538" s="4"/>
      <c r="V538" s="4"/>
    </row>
    <row r="539" spans="1:22" s="179" customFormat="1" x14ac:dyDescent="0.25">
      <c r="A539" s="6"/>
      <c r="C539" s="4"/>
      <c r="D539" s="3"/>
      <c r="E539" s="3"/>
      <c r="F539" s="3"/>
      <c r="G539" s="4"/>
      <c r="H539" s="4"/>
      <c r="K539" s="162" t="s">
        <v>133</v>
      </c>
      <c r="L539" s="96">
        <f>(T541/G535)*100</f>
        <v>50</v>
      </c>
      <c r="M539" s="182"/>
      <c r="O539" s="4"/>
      <c r="P539" s="4"/>
      <c r="Q539" s="4"/>
      <c r="R539" s="4"/>
      <c r="S539" s="4"/>
    </row>
    <row r="540" spans="1:22" s="179" customFormat="1" x14ac:dyDescent="0.25">
      <c r="A540" s="6"/>
      <c r="C540" s="4"/>
      <c r="D540" s="3"/>
      <c r="E540" s="3"/>
      <c r="F540" s="3"/>
      <c r="G540" s="4"/>
      <c r="H540" s="4"/>
      <c r="K540" s="159" t="s">
        <v>134</v>
      </c>
      <c r="L540" s="97">
        <f>(S541/(E537)*100)</f>
        <v>95.566817555599286</v>
      </c>
      <c r="M540" s="182"/>
      <c r="R540" s="5" t="s">
        <v>11</v>
      </c>
      <c r="S540" s="5" t="s">
        <v>12</v>
      </c>
      <c r="T540" s="5" t="s">
        <v>0</v>
      </c>
    </row>
    <row r="541" spans="1:22" s="179" customFormat="1" x14ac:dyDescent="0.25">
      <c r="A541" s="6"/>
      <c r="C541" s="4"/>
      <c r="D541" s="3"/>
      <c r="E541" s="3"/>
      <c r="F541" s="3"/>
      <c r="G541" s="4"/>
      <c r="H541" s="4"/>
      <c r="K541" s="162" t="s">
        <v>135</v>
      </c>
      <c r="L541" s="96">
        <f>(R541/D537)*100</f>
        <v>45.603745409806812</v>
      </c>
      <c r="P541" s="4"/>
      <c r="Q541" s="5" t="s">
        <v>3</v>
      </c>
      <c r="R541" s="9">
        <f>T541*S541</f>
        <v>3884.6</v>
      </c>
      <c r="S541" s="9">
        <v>388.46</v>
      </c>
      <c r="T541" s="22">
        <f>G535*0.5</f>
        <v>10</v>
      </c>
    </row>
    <row r="542" spans="1:22" s="179" customFormat="1" ht="17.25" x14ac:dyDescent="0.25">
      <c r="A542" s="6"/>
      <c r="C542" s="4"/>
      <c r="D542" s="3"/>
      <c r="E542" s="3"/>
      <c r="F542" s="3"/>
      <c r="G542" s="4"/>
      <c r="H542" s="4"/>
      <c r="K542" s="159" t="s">
        <v>136</v>
      </c>
      <c r="L542" s="13">
        <f>(D537+I537+L537+P537+R537+V537)/R541</f>
        <v>14.863105596457808</v>
      </c>
      <c r="O542" s="4"/>
      <c r="P542" s="4"/>
      <c r="S542" s="181"/>
      <c r="T542" s="3"/>
    </row>
    <row r="543" spans="1:22" s="179" customFormat="1" ht="17.25" x14ac:dyDescent="0.25">
      <c r="A543" s="6"/>
      <c r="C543" s="4"/>
      <c r="D543" s="3"/>
      <c r="E543" s="3"/>
      <c r="F543" s="3"/>
      <c r="G543" s="4"/>
      <c r="H543" s="4"/>
      <c r="I543" s="4"/>
      <c r="K543" s="163" t="s">
        <v>137</v>
      </c>
      <c r="L543" s="15">
        <f>(D537+I537+L537)/R541</f>
        <v>3.3613293517994132</v>
      </c>
      <c r="N543" s="163" t="s">
        <v>139</v>
      </c>
      <c r="O543" s="93">
        <f>G535/N537*1000</f>
        <v>0.39525691699604742</v>
      </c>
      <c r="P543" s="4"/>
      <c r="S543" s="4"/>
    </row>
    <row r="544" spans="1:22" s="179" customFormat="1" ht="17.25" x14ac:dyDescent="0.25">
      <c r="A544" s="6"/>
      <c r="C544" s="4"/>
      <c r="D544" s="3"/>
      <c r="E544" s="3"/>
      <c r="F544" s="3"/>
      <c r="G544" s="4"/>
      <c r="H544" s="4"/>
      <c r="I544" s="4"/>
      <c r="K544" s="164" t="s">
        <v>138</v>
      </c>
      <c r="L544" s="16">
        <f>(P537+V537)/R541</f>
        <v>11.501776244658396</v>
      </c>
      <c r="M544" s="4"/>
      <c r="N544" s="4"/>
      <c r="O544" s="4"/>
      <c r="P544" s="4"/>
      <c r="U544" s="4"/>
      <c r="V544" s="4"/>
    </row>
    <row r="545" spans="1:22" s="179" customFormat="1" x14ac:dyDescent="0.25">
      <c r="A545" s="6"/>
      <c r="C545" s="6"/>
      <c r="E545" s="3"/>
      <c r="F545" s="3"/>
      <c r="G545" s="4"/>
      <c r="H545" s="4"/>
      <c r="I545" s="4"/>
      <c r="K545" s="4"/>
      <c r="M545" s="4"/>
      <c r="P545" s="4"/>
      <c r="Q545" s="4"/>
      <c r="R545" s="4"/>
      <c r="S545" s="4"/>
      <c r="T545" s="4"/>
      <c r="U545" s="4"/>
      <c r="V545" s="4"/>
    </row>
    <row r="546" spans="1:22" s="179" customFormat="1" x14ac:dyDescent="0.25">
      <c r="A546" s="6"/>
      <c r="B546" s="4"/>
      <c r="C546" s="6" t="s">
        <v>26</v>
      </c>
      <c r="D546" s="181"/>
      <c r="E546" s="181"/>
      <c r="F546" s="181"/>
    </row>
    <row r="547" spans="1:22" s="179" customFormat="1" ht="34.5" x14ac:dyDescent="0.25">
      <c r="A547" s="6"/>
      <c r="C547" s="17" t="s">
        <v>14</v>
      </c>
      <c r="D547" s="20" t="s">
        <v>21</v>
      </c>
      <c r="E547" s="20" t="s">
        <v>94</v>
      </c>
      <c r="F547" s="17" t="s">
        <v>13</v>
      </c>
      <c r="G547" s="17" t="s">
        <v>15</v>
      </c>
      <c r="H547" s="18" t="s">
        <v>1</v>
      </c>
      <c r="I547" s="19" t="s">
        <v>25</v>
      </c>
      <c r="J547" s="17" t="s">
        <v>2</v>
      </c>
      <c r="K547" s="20" t="s">
        <v>94</v>
      </c>
      <c r="L547" s="20" t="s">
        <v>22</v>
      </c>
      <c r="M547" s="19" t="s">
        <v>8</v>
      </c>
      <c r="N547" s="19" t="s">
        <v>16</v>
      </c>
      <c r="O547" s="19" t="s">
        <v>17</v>
      </c>
      <c r="P547" s="19" t="s">
        <v>18</v>
      </c>
      <c r="Q547" s="20" t="s">
        <v>10</v>
      </c>
      <c r="R547" s="20" t="s">
        <v>23</v>
      </c>
      <c r="S547" s="19" t="s">
        <v>9</v>
      </c>
      <c r="T547" s="19" t="s">
        <v>19</v>
      </c>
      <c r="U547" s="19" t="s">
        <v>20</v>
      </c>
      <c r="V547" s="19" t="s">
        <v>24</v>
      </c>
    </row>
    <row r="548" spans="1:22" s="179" customFormat="1" x14ac:dyDescent="0.25">
      <c r="A548" s="6" t="s">
        <v>197</v>
      </c>
      <c r="C548" s="172" t="s">
        <v>119</v>
      </c>
      <c r="D548" s="56">
        <f>G548*E548</f>
        <v>15494.6</v>
      </c>
      <c r="E548" s="160">
        <v>774.73</v>
      </c>
      <c r="F548" s="160">
        <v>1</v>
      </c>
      <c r="G548" s="161">
        <v>20</v>
      </c>
      <c r="H548" s="7"/>
      <c r="I548" s="7"/>
      <c r="J548" s="25" t="s">
        <v>66</v>
      </c>
      <c r="K548" s="26">
        <v>206.33</v>
      </c>
      <c r="L548" s="46">
        <f>G549*K548</f>
        <v>4539.26</v>
      </c>
      <c r="M548" s="42" t="s">
        <v>27</v>
      </c>
      <c r="N548" s="45">
        <v>50600</v>
      </c>
      <c r="O548" s="1">
        <v>0.88300000000000001</v>
      </c>
      <c r="P548" s="161">
        <f>N548*O548</f>
        <v>44679.8</v>
      </c>
      <c r="Q548" s="160"/>
      <c r="R548" s="160"/>
      <c r="S548" s="7"/>
      <c r="T548" s="7"/>
      <c r="U548" s="7"/>
      <c r="V548" s="161">
        <f>T548*U548</f>
        <v>0</v>
      </c>
    </row>
    <row r="549" spans="1:22" s="179" customFormat="1" x14ac:dyDescent="0.25">
      <c r="A549" s="6"/>
      <c r="C549" s="69" t="s">
        <v>124</v>
      </c>
      <c r="D549" s="160">
        <f>G549*E549</f>
        <v>6894.14</v>
      </c>
      <c r="E549" s="160">
        <v>313.37</v>
      </c>
      <c r="F549" s="160">
        <v>1.1000000000000001</v>
      </c>
      <c r="G549" s="161">
        <f>G548*F549</f>
        <v>22</v>
      </c>
      <c r="H549" s="1"/>
      <c r="I549" s="1"/>
      <c r="J549" s="25"/>
      <c r="K549" s="26"/>
      <c r="L549" s="46">
        <f>G549*K549</f>
        <v>0</v>
      </c>
      <c r="M549" s="42"/>
      <c r="N549" s="2"/>
      <c r="O549" s="1"/>
      <c r="P549" s="161"/>
      <c r="Q549" s="160"/>
      <c r="R549" s="160"/>
      <c r="S549" s="7"/>
      <c r="T549" s="7"/>
      <c r="U549" s="7"/>
      <c r="V549" s="161">
        <f t="shared" ref="V549" si="23">T549*U549</f>
        <v>0</v>
      </c>
    </row>
    <row r="550" spans="1:22" s="179" customFormat="1" x14ac:dyDescent="0.25">
      <c r="A550" s="6"/>
      <c r="C550" s="10" t="s">
        <v>4</v>
      </c>
      <c r="D550" s="161">
        <f>SUM(D548:D549)</f>
        <v>22388.74</v>
      </c>
      <c r="E550" s="161">
        <f>SUM(E548:E549)</f>
        <v>1088.0999999999999</v>
      </c>
      <c r="F550" s="10"/>
      <c r="G550" s="165">
        <f>SUM(G548:G549)</f>
        <v>42</v>
      </c>
      <c r="I550" s="165">
        <f>SUM(I548:I549)</f>
        <v>0</v>
      </c>
      <c r="L550" s="47">
        <f>SUM(L548:L549)</f>
        <v>4539.26</v>
      </c>
      <c r="N550" s="165">
        <f>SUM(N548:N549)</f>
        <v>50600</v>
      </c>
      <c r="P550" s="165">
        <f>SUM(P548:P549)</f>
        <v>44679.8</v>
      </c>
      <c r="R550" s="165">
        <f>SUM(R548:R549)</f>
        <v>0</v>
      </c>
      <c r="V550" s="165">
        <f>SUM(V548:V549)</f>
        <v>0</v>
      </c>
    </row>
    <row r="551" spans="1:22" s="179" customFormat="1" x14ac:dyDescent="0.25">
      <c r="C551" s="4"/>
      <c r="D551" s="3"/>
      <c r="E551" s="3"/>
      <c r="F551" s="3"/>
      <c r="G551" s="4"/>
      <c r="H551" s="4"/>
      <c r="I551" s="4"/>
      <c r="M551" s="182"/>
      <c r="N551" s="4"/>
      <c r="O551" s="4"/>
      <c r="P551" s="4"/>
      <c r="Q551" s="4"/>
      <c r="R551" s="4"/>
      <c r="S551" s="4"/>
      <c r="T551" s="4"/>
      <c r="U551" s="4"/>
      <c r="V551" s="4"/>
    </row>
    <row r="552" spans="1:22" s="179" customFormat="1" x14ac:dyDescent="0.25">
      <c r="C552" s="4"/>
      <c r="D552" s="3"/>
      <c r="E552" s="3"/>
      <c r="F552" s="3"/>
      <c r="G552" s="4"/>
      <c r="H552" s="4"/>
      <c r="K552" s="162" t="s">
        <v>133</v>
      </c>
      <c r="L552" s="96">
        <f>(T554/G548)*100</f>
        <v>50</v>
      </c>
      <c r="M552" s="182"/>
      <c r="O552" s="4"/>
      <c r="P552" s="4"/>
      <c r="Q552" s="4"/>
      <c r="R552" s="4"/>
      <c r="S552" s="4"/>
    </row>
    <row r="553" spans="1:22" s="179" customFormat="1" x14ac:dyDescent="0.25">
      <c r="C553" s="4"/>
      <c r="D553" s="3"/>
      <c r="E553" s="3"/>
      <c r="F553" s="3"/>
      <c r="G553" s="4"/>
      <c r="H553" s="4"/>
      <c r="K553" s="159" t="s">
        <v>134</v>
      </c>
      <c r="L553" s="97">
        <f>(S554/(E550)*100)</f>
        <v>82.518150905247694</v>
      </c>
      <c r="M553" s="182"/>
      <c r="R553" s="5" t="s">
        <v>11</v>
      </c>
      <c r="S553" s="5" t="s">
        <v>12</v>
      </c>
      <c r="T553" s="5" t="s">
        <v>0</v>
      </c>
    </row>
    <row r="554" spans="1:22" s="179" customFormat="1" x14ac:dyDescent="0.25">
      <c r="C554" s="4"/>
      <c r="D554" s="3"/>
      <c r="E554" s="3"/>
      <c r="F554" s="3"/>
      <c r="G554" s="4"/>
      <c r="H554" s="4"/>
      <c r="K554" s="162" t="s">
        <v>135</v>
      </c>
      <c r="L554" s="96">
        <f>(R554/D550)*100</f>
        <v>40.104088037111509</v>
      </c>
      <c r="P554" s="4"/>
      <c r="Q554" s="5" t="s">
        <v>3</v>
      </c>
      <c r="R554" s="9">
        <f>T554*S554</f>
        <v>8978.7999999999993</v>
      </c>
      <c r="S554" s="9">
        <v>897.88</v>
      </c>
      <c r="T554" s="22">
        <f>G548*0.5</f>
        <v>10</v>
      </c>
    </row>
    <row r="555" spans="1:22" s="179" customFormat="1" ht="17.25" x14ac:dyDescent="0.25">
      <c r="C555" s="4"/>
      <c r="D555" s="3"/>
      <c r="E555" s="3"/>
      <c r="F555" s="3"/>
      <c r="G555" s="4"/>
      <c r="H555" s="4"/>
      <c r="K555" s="159" t="s">
        <v>136</v>
      </c>
      <c r="L555" s="13">
        <f>(D550+I550+L550+P550+R550+V550)/R554</f>
        <v>7.9752082683654839</v>
      </c>
      <c r="O555" s="4"/>
      <c r="P555" s="4"/>
      <c r="S555" s="181"/>
      <c r="T555" s="3"/>
    </row>
    <row r="556" spans="1:22" s="179" customFormat="1" ht="17.25" x14ac:dyDescent="0.25">
      <c r="C556" s="4"/>
      <c r="D556" s="3"/>
      <c r="E556" s="3"/>
      <c r="F556" s="3"/>
      <c r="G556" s="4"/>
      <c r="H556" s="4"/>
      <c r="I556" s="4"/>
      <c r="K556" s="163" t="s">
        <v>137</v>
      </c>
      <c r="L556" s="15">
        <f>(D550+I550+L550)/R554</f>
        <v>2.9990644629571883</v>
      </c>
      <c r="N556" s="163" t="s">
        <v>139</v>
      </c>
      <c r="O556" s="93">
        <f>G548/N550*1000</f>
        <v>0.39525691699604742</v>
      </c>
      <c r="P556" s="4"/>
      <c r="S556" s="4"/>
    </row>
    <row r="557" spans="1:22" s="179" customFormat="1" ht="17.25" x14ac:dyDescent="0.25">
      <c r="C557" s="4"/>
      <c r="D557" s="3"/>
      <c r="E557" s="3"/>
      <c r="F557" s="3"/>
      <c r="G557" s="4"/>
      <c r="H557" s="4"/>
      <c r="I557" s="4"/>
      <c r="K557" s="164" t="s">
        <v>138</v>
      </c>
      <c r="L557" s="16">
        <f>(P550+V550)/R554</f>
        <v>4.976143805408296</v>
      </c>
      <c r="M557" s="4"/>
      <c r="N557" s="4"/>
      <c r="O557" s="4"/>
      <c r="P557" s="4"/>
      <c r="U557" s="4"/>
      <c r="V557" s="4"/>
    </row>
    <row r="558" spans="1:22" s="179" customFormat="1" x14ac:dyDescent="0.25">
      <c r="C558" s="6"/>
      <c r="E558" s="3"/>
      <c r="F558" s="3"/>
      <c r="G558" s="4"/>
      <c r="H558" s="4"/>
      <c r="I558" s="4"/>
      <c r="K558" s="4"/>
      <c r="M558" s="4"/>
      <c r="P558" s="4"/>
      <c r="Q558" s="4"/>
      <c r="R558" s="4"/>
      <c r="S558" s="4"/>
      <c r="T558" s="4"/>
      <c r="U558" s="4"/>
      <c r="V558" s="4"/>
    </row>
    <row r="559" spans="1:22" s="179" customFormat="1" x14ac:dyDescent="0.25">
      <c r="C559" s="6"/>
      <c r="E559" s="3"/>
      <c r="F559" s="3"/>
      <c r="G559" s="4"/>
      <c r="H559" s="4"/>
      <c r="I559" s="4"/>
      <c r="M559" s="4"/>
      <c r="N559" s="4"/>
      <c r="O559" s="4"/>
      <c r="P559" s="4"/>
      <c r="Q559" s="4"/>
      <c r="R559" s="4"/>
      <c r="S559" s="4"/>
      <c r="T559" s="4"/>
      <c r="U559" s="4"/>
      <c r="V559" s="4"/>
    </row>
    <row r="560" spans="1:22" s="180" customFormat="1" ht="17.25" x14ac:dyDescent="0.25">
      <c r="A560" s="199" t="s">
        <v>168</v>
      </c>
      <c r="B560" s="200"/>
      <c r="C560" s="200"/>
      <c r="D560" s="200"/>
      <c r="E560" s="169"/>
      <c r="F560" s="169"/>
    </row>
    <row r="561" spans="1:22" s="179" customFormat="1" x14ac:dyDescent="0.25">
      <c r="B561" s="4"/>
      <c r="C561" s="6" t="s">
        <v>26</v>
      </c>
      <c r="D561" s="181"/>
      <c r="E561" s="181"/>
      <c r="F561" s="181"/>
    </row>
    <row r="562" spans="1:22" s="179" customFormat="1" ht="34.5" x14ac:dyDescent="0.25">
      <c r="C562" s="17" t="s">
        <v>14</v>
      </c>
      <c r="D562" s="20" t="s">
        <v>21</v>
      </c>
      <c r="E562" s="20" t="s">
        <v>94</v>
      </c>
      <c r="F562" s="17" t="s">
        <v>13</v>
      </c>
      <c r="G562" s="17" t="s">
        <v>15</v>
      </c>
      <c r="H562" s="18" t="s">
        <v>1</v>
      </c>
      <c r="I562" s="19" t="s">
        <v>25</v>
      </c>
      <c r="J562" s="17" t="s">
        <v>2</v>
      </c>
      <c r="K562" s="20" t="s">
        <v>94</v>
      </c>
      <c r="L562" s="20" t="s">
        <v>22</v>
      </c>
      <c r="M562" s="19" t="s">
        <v>8</v>
      </c>
      <c r="N562" s="19" t="s">
        <v>16</v>
      </c>
      <c r="O562" s="19" t="s">
        <v>17</v>
      </c>
      <c r="P562" s="19" t="s">
        <v>18</v>
      </c>
      <c r="Q562" s="20" t="s">
        <v>10</v>
      </c>
      <c r="R562" s="20" t="s">
        <v>23</v>
      </c>
      <c r="S562" s="19" t="s">
        <v>9</v>
      </c>
      <c r="T562" s="19" t="s">
        <v>19</v>
      </c>
      <c r="U562" s="19" t="s">
        <v>20</v>
      </c>
      <c r="V562" s="19" t="s">
        <v>24</v>
      </c>
    </row>
    <row r="563" spans="1:22" s="179" customFormat="1" x14ac:dyDescent="0.25">
      <c r="A563" s="6" t="s">
        <v>184</v>
      </c>
      <c r="C563" s="176" t="s">
        <v>57</v>
      </c>
      <c r="D563" s="56">
        <f>G563*E563</f>
        <v>4244</v>
      </c>
      <c r="E563" s="160">
        <v>212.2</v>
      </c>
      <c r="F563" s="160">
        <v>1</v>
      </c>
      <c r="G563" s="161">
        <v>20</v>
      </c>
      <c r="H563" s="7"/>
      <c r="I563" s="7"/>
      <c r="J563" s="25" t="s">
        <v>77</v>
      </c>
      <c r="K563" s="26">
        <v>191.7</v>
      </c>
      <c r="L563" s="46">
        <f>G564*K563</f>
        <v>4217.3999999999996</v>
      </c>
      <c r="M563" s="42" t="s">
        <v>27</v>
      </c>
      <c r="N563" s="45">
        <v>50600</v>
      </c>
      <c r="O563" s="1">
        <v>0.88300000000000001</v>
      </c>
      <c r="P563" s="161">
        <f>N563*O563</f>
        <v>44679.8</v>
      </c>
      <c r="Q563" s="160"/>
      <c r="R563" s="160"/>
      <c r="S563" s="7"/>
      <c r="T563" s="7"/>
      <c r="U563" s="7"/>
      <c r="V563" s="161">
        <f>T563*U563</f>
        <v>0</v>
      </c>
    </row>
    <row r="564" spans="1:22" s="179" customFormat="1" x14ac:dyDescent="0.25">
      <c r="A564" s="6"/>
      <c r="C564" s="160" t="s">
        <v>59</v>
      </c>
      <c r="D564" s="160">
        <f>G564*E564</f>
        <v>4274.16</v>
      </c>
      <c r="E564" s="160">
        <v>194.28</v>
      </c>
      <c r="F564" s="160">
        <v>1.1000000000000001</v>
      </c>
      <c r="G564" s="161">
        <f>G563*1.1</f>
        <v>22</v>
      </c>
      <c r="H564" s="1"/>
      <c r="I564" s="1"/>
      <c r="J564" s="25"/>
      <c r="K564" s="26"/>
      <c r="L564" s="46">
        <f>G564*K564</f>
        <v>0</v>
      </c>
      <c r="M564" s="42"/>
      <c r="N564" s="2"/>
      <c r="O564" s="1"/>
      <c r="P564" s="161"/>
      <c r="Q564" s="160"/>
      <c r="R564" s="160"/>
      <c r="S564" s="7"/>
      <c r="T564" s="7"/>
      <c r="U564" s="7"/>
      <c r="V564" s="161">
        <f t="shared" ref="V564" si="24">T564*U564</f>
        <v>0</v>
      </c>
    </row>
    <row r="565" spans="1:22" s="179" customFormat="1" x14ac:dyDescent="0.25">
      <c r="A565" s="6"/>
      <c r="C565" s="10" t="s">
        <v>4</v>
      </c>
      <c r="D565" s="161">
        <f>SUM(D563:D564)</f>
        <v>8518.16</v>
      </c>
      <c r="E565" s="161">
        <f>SUM(E563:E564)</f>
        <v>406.48</v>
      </c>
      <c r="F565" s="10"/>
      <c r="G565" s="165">
        <f>SUM(G563:G564)</f>
        <v>42</v>
      </c>
      <c r="I565" s="165">
        <f>SUM(I563:I564)</f>
        <v>0</v>
      </c>
      <c r="L565" s="47">
        <f>SUM(L563:L564)</f>
        <v>4217.3999999999996</v>
      </c>
      <c r="N565" s="165">
        <f>SUM(N563:N564)</f>
        <v>50600</v>
      </c>
      <c r="P565" s="165">
        <f>SUM(P563:P564)</f>
        <v>44679.8</v>
      </c>
      <c r="R565" s="165">
        <f>SUM(R563:R564)</f>
        <v>0</v>
      </c>
      <c r="V565" s="165">
        <f>SUM(V563:V564)</f>
        <v>0</v>
      </c>
    </row>
    <row r="566" spans="1:22" s="179" customFormat="1" x14ac:dyDescent="0.25">
      <c r="A566" s="6"/>
      <c r="C566" s="4"/>
      <c r="D566" s="3"/>
      <c r="E566" s="3"/>
      <c r="F566" s="3"/>
      <c r="G566" s="4"/>
      <c r="H566" s="4"/>
      <c r="I566" s="4"/>
      <c r="M566" s="182"/>
      <c r="N566" s="4"/>
      <c r="O566" s="4"/>
      <c r="P566" s="4"/>
      <c r="Q566" s="4"/>
      <c r="R566" s="4"/>
      <c r="S566" s="4"/>
      <c r="T566" s="4"/>
      <c r="U566" s="4"/>
      <c r="V566" s="4"/>
    </row>
    <row r="567" spans="1:22" s="179" customFormat="1" x14ac:dyDescent="0.25">
      <c r="A567" s="6"/>
      <c r="C567" s="4"/>
      <c r="D567" s="3"/>
      <c r="E567" s="3"/>
      <c r="F567" s="3"/>
      <c r="G567" s="4"/>
      <c r="H567" s="4"/>
      <c r="K567" s="162" t="s">
        <v>133</v>
      </c>
      <c r="L567" s="96">
        <f>(T569/G563)*100</f>
        <v>50</v>
      </c>
      <c r="M567" s="182"/>
      <c r="O567" s="4"/>
      <c r="P567" s="4"/>
      <c r="Q567" s="4"/>
      <c r="R567" s="4"/>
      <c r="S567" s="4"/>
    </row>
    <row r="568" spans="1:22" s="179" customFormat="1" x14ac:dyDescent="0.25">
      <c r="A568" s="6"/>
      <c r="C568" s="4"/>
      <c r="D568" s="3"/>
      <c r="E568" s="3"/>
      <c r="F568" s="3"/>
      <c r="G568" s="4"/>
      <c r="H568" s="4"/>
      <c r="K568" s="159" t="s">
        <v>134</v>
      </c>
      <c r="L568" s="97">
        <f>(S569/(E565)*100)</f>
        <v>95.566817555599286</v>
      </c>
      <c r="M568" s="182"/>
      <c r="R568" s="5" t="s">
        <v>11</v>
      </c>
      <c r="S568" s="5" t="s">
        <v>12</v>
      </c>
      <c r="T568" s="5" t="s">
        <v>0</v>
      </c>
    </row>
    <row r="569" spans="1:22" s="179" customFormat="1" x14ac:dyDescent="0.25">
      <c r="A569" s="6"/>
      <c r="C569" s="4"/>
      <c r="D569" s="3"/>
      <c r="E569" s="3"/>
      <c r="F569" s="3"/>
      <c r="G569" s="4"/>
      <c r="H569" s="4"/>
      <c r="K569" s="162" t="s">
        <v>135</v>
      </c>
      <c r="L569" s="96">
        <f>(R569/D565)*100</f>
        <v>45.603745409806812</v>
      </c>
      <c r="P569" s="4"/>
      <c r="Q569" s="5" t="s">
        <v>3</v>
      </c>
      <c r="R569" s="9">
        <f>T569*S569</f>
        <v>3884.6</v>
      </c>
      <c r="S569" s="9">
        <v>388.46</v>
      </c>
      <c r="T569" s="22">
        <f>G563*0.5</f>
        <v>10</v>
      </c>
    </row>
    <row r="570" spans="1:22" s="179" customFormat="1" ht="17.25" x14ac:dyDescent="0.25">
      <c r="A570" s="6"/>
      <c r="C570" s="4"/>
      <c r="D570" s="3"/>
      <c r="E570" s="3"/>
      <c r="F570" s="3"/>
      <c r="G570" s="4"/>
      <c r="H570" s="4"/>
      <c r="K570" s="159" t="s">
        <v>136</v>
      </c>
      <c r="L570" s="13">
        <f>(D565+I565+L565+P565+R565+V565)/R569</f>
        <v>14.780250218812748</v>
      </c>
      <c r="O570" s="4"/>
      <c r="P570" s="4"/>
      <c r="S570" s="181"/>
      <c r="T570" s="3"/>
    </row>
    <row r="571" spans="1:22" s="179" customFormat="1" ht="17.25" x14ac:dyDescent="0.25">
      <c r="A571" s="6"/>
      <c r="C571" s="4"/>
      <c r="D571" s="3"/>
      <c r="E571" s="3"/>
      <c r="F571" s="3"/>
      <c r="G571" s="4"/>
      <c r="H571" s="4"/>
      <c r="I571" s="4"/>
      <c r="K571" s="163" t="s">
        <v>137</v>
      </c>
      <c r="L571" s="15">
        <f>(D565+I565+L565)/R569</f>
        <v>3.2784739741543532</v>
      </c>
      <c r="N571" s="163" t="s">
        <v>139</v>
      </c>
      <c r="O571" s="93">
        <f>G563/N565*1000</f>
        <v>0.39525691699604742</v>
      </c>
      <c r="P571" s="4"/>
      <c r="S571" s="4"/>
    </row>
    <row r="572" spans="1:22" s="179" customFormat="1" ht="17.25" x14ac:dyDescent="0.25">
      <c r="A572" s="6"/>
      <c r="C572" s="4"/>
      <c r="D572" s="3"/>
      <c r="E572" s="3"/>
      <c r="F572" s="3"/>
      <c r="G572" s="4"/>
      <c r="H572" s="4"/>
      <c r="I572" s="4"/>
      <c r="K572" s="164" t="s">
        <v>138</v>
      </c>
      <c r="L572" s="16">
        <f>(P565+V565)/R569</f>
        <v>11.501776244658396</v>
      </c>
      <c r="M572" s="4"/>
      <c r="N572" s="4"/>
      <c r="O572" s="4"/>
      <c r="P572" s="4"/>
      <c r="U572" s="4"/>
      <c r="V572" s="4"/>
    </row>
    <row r="573" spans="1:22" s="179" customFormat="1" x14ac:dyDescent="0.25">
      <c r="A573" s="6"/>
      <c r="C573" s="6"/>
      <c r="E573" s="3"/>
      <c r="F573" s="3"/>
      <c r="G573" s="4"/>
      <c r="H573" s="4"/>
      <c r="I573" s="4"/>
      <c r="K573" s="4"/>
      <c r="M573" s="4"/>
      <c r="P573" s="4"/>
      <c r="Q573" s="4"/>
      <c r="R573" s="4"/>
      <c r="S573" s="4"/>
      <c r="T573" s="4"/>
      <c r="U573" s="4"/>
      <c r="V573" s="4"/>
    </row>
    <row r="574" spans="1:22" s="179" customFormat="1" x14ac:dyDescent="0.25">
      <c r="A574" s="6"/>
      <c r="B574" s="4"/>
      <c r="C574" s="6" t="s">
        <v>26</v>
      </c>
      <c r="D574" s="181"/>
      <c r="E574" s="181"/>
      <c r="F574" s="181"/>
    </row>
    <row r="575" spans="1:22" s="179" customFormat="1" ht="34.5" x14ac:dyDescent="0.25">
      <c r="A575" s="6"/>
      <c r="C575" s="17" t="s">
        <v>14</v>
      </c>
      <c r="D575" s="20" t="s">
        <v>21</v>
      </c>
      <c r="E575" s="20" t="s">
        <v>94</v>
      </c>
      <c r="F575" s="17" t="s">
        <v>13</v>
      </c>
      <c r="G575" s="17" t="s">
        <v>15</v>
      </c>
      <c r="H575" s="18" t="s">
        <v>1</v>
      </c>
      <c r="I575" s="19" t="s">
        <v>25</v>
      </c>
      <c r="J575" s="17" t="s">
        <v>2</v>
      </c>
      <c r="K575" s="20" t="s">
        <v>94</v>
      </c>
      <c r="L575" s="20" t="s">
        <v>22</v>
      </c>
      <c r="M575" s="19" t="s">
        <v>8</v>
      </c>
      <c r="N575" s="19" t="s">
        <v>16</v>
      </c>
      <c r="O575" s="19" t="s">
        <v>17</v>
      </c>
      <c r="P575" s="19" t="s">
        <v>18</v>
      </c>
      <c r="Q575" s="20" t="s">
        <v>10</v>
      </c>
      <c r="R575" s="20" t="s">
        <v>23</v>
      </c>
      <c r="S575" s="19" t="s">
        <v>9</v>
      </c>
      <c r="T575" s="19" t="s">
        <v>19</v>
      </c>
      <c r="U575" s="19" t="s">
        <v>20</v>
      </c>
      <c r="V575" s="19" t="s">
        <v>24</v>
      </c>
    </row>
    <row r="576" spans="1:22" s="179" customFormat="1" x14ac:dyDescent="0.25">
      <c r="A576" s="6" t="s">
        <v>197</v>
      </c>
      <c r="C576" s="172" t="s">
        <v>119</v>
      </c>
      <c r="D576" s="56">
        <f>G576*E576</f>
        <v>15494.6</v>
      </c>
      <c r="E576" s="160">
        <v>774.73</v>
      </c>
      <c r="F576" s="160">
        <v>1</v>
      </c>
      <c r="G576" s="161">
        <v>20</v>
      </c>
      <c r="H576" s="7"/>
      <c r="I576" s="7"/>
      <c r="J576" s="25" t="s">
        <v>77</v>
      </c>
      <c r="K576" s="26">
        <v>191.7</v>
      </c>
      <c r="L576" s="46">
        <f>G577*K576</f>
        <v>4217.3999999999996</v>
      </c>
      <c r="M576" s="42" t="s">
        <v>27</v>
      </c>
      <c r="N576" s="45">
        <v>50600</v>
      </c>
      <c r="O576" s="1">
        <v>0.88300000000000001</v>
      </c>
      <c r="P576" s="161">
        <f>N576*O576</f>
        <v>44679.8</v>
      </c>
      <c r="Q576" s="160"/>
      <c r="R576" s="160"/>
      <c r="S576" s="7"/>
      <c r="T576" s="7"/>
      <c r="U576" s="7"/>
      <c r="V576" s="161">
        <f>T576*U576</f>
        <v>0</v>
      </c>
    </row>
    <row r="577" spans="1:22" s="179" customFormat="1" x14ac:dyDescent="0.25">
      <c r="A577" s="6"/>
      <c r="C577" s="69" t="s">
        <v>124</v>
      </c>
      <c r="D577" s="160">
        <f>G577*E577</f>
        <v>6894.14</v>
      </c>
      <c r="E577" s="160">
        <v>313.37</v>
      </c>
      <c r="F577" s="160">
        <v>1.1000000000000001</v>
      </c>
      <c r="G577" s="161">
        <f>G576*F577</f>
        <v>22</v>
      </c>
      <c r="H577" s="1"/>
      <c r="I577" s="1"/>
      <c r="J577" s="25"/>
      <c r="K577" s="26"/>
      <c r="L577" s="46">
        <f>G577*K577</f>
        <v>0</v>
      </c>
      <c r="M577" s="42"/>
      <c r="N577" s="2"/>
      <c r="O577" s="1"/>
      <c r="P577" s="161"/>
      <c r="Q577" s="160"/>
      <c r="R577" s="160"/>
      <c r="S577" s="7"/>
      <c r="T577" s="7"/>
      <c r="U577" s="7"/>
      <c r="V577" s="161">
        <f t="shared" ref="V577" si="25">T577*U577</f>
        <v>0</v>
      </c>
    </row>
    <row r="578" spans="1:22" s="179" customFormat="1" x14ac:dyDescent="0.25">
      <c r="A578" s="6"/>
      <c r="C578" s="10" t="s">
        <v>4</v>
      </c>
      <c r="D578" s="161">
        <f>SUM(D576:D577)</f>
        <v>22388.74</v>
      </c>
      <c r="E578" s="161">
        <f>SUM(E576:E577)</f>
        <v>1088.0999999999999</v>
      </c>
      <c r="F578" s="10"/>
      <c r="G578" s="165">
        <f>SUM(G576:G577)</f>
        <v>42</v>
      </c>
      <c r="I578" s="165">
        <f>SUM(I576:I577)</f>
        <v>0</v>
      </c>
      <c r="L578" s="47">
        <f>SUM(L576:L577)</f>
        <v>4217.3999999999996</v>
      </c>
      <c r="N578" s="165">
        <f>SUM(N576:N577)</f>
        <v>50600</v>
      </c>
      <c r="P578" s="165">
        <f>SUM(P576:P577)</f>
        <v>44679.8</v>
      </c>
      <c r="R578" s="165">
        <f>SUM(R576:R577)</f>
        <v>0</v>
      </c>
      <c r="V578" s="165">
        <f>SUM(V576:V577)</f>
        <v>0</v>
      </c>
    </row>
    <row r="579" spans="1:22" s="179" customFormat="1" x14ac:dyDescent="0.25">
      <c r="C579" s="4"/>
      <c r="D579" s="3"/>
      <c r="E579" s="3"/>
      <c r="F579" s="3"/>
      <c r="G579" s="4"/>
      <c r="H579" s="4"/>
      <c r="I579" s="4"/>
      <c r="M579" s="182"/>
      <c r="N579" s="4"/>
      <c r="O579" s="4"/>
      <c r="P579" s="4"/>
      <c r="Q579" s="4"/>
      <c r="R579" s="4"/>
      <c r="S579" s="4"/>
      <c r="T579" s="4"/>
      <c r="U579" s="4"/>
      <c r="V579" s="4"/>
    </row>
    <row r="580" spans="1:22" s="179" customFormat="1" x14ac:dyDescent="0.25">
      <c r="C580" s="4"/>
      <c r="D580" s="3"/>
      <c r="E580" s="3"/>
      <c r="F580" s="3"/>
      <c r="G580" s="4"/>
      <c r="H580" s="4"/>
      <c r="K580" s="162" t="s">
        <v>133</v>
      </c>
      <c r="L580" s="96">
        <f>(T582/G576)*100</f>
        <v>50</v>
      </c>
      <c r="M580" s="182"/>
      <c r="O580" s="4"/>
      <c r="P580" s="4"/>
      <c r="Q580" s="4"/>
      <c r="R580" s="4"/>
      <c r="S580" s="4"/>
    </row>
    <row r="581" spans="1:22" s="179" customFormat="1" x14ac:dyDescent="0.25">
      <c r="C581" s="4"/>
      <c r="D581" s="3"/>
      <c r="E581" s="3"/>
      <c r="F581" s="3"/>
      <c r="G581" s="4"/>
      <c r="H581" s="4"/>
      <c r="K581" s="159" t="s">
        <v>134</v>
      </c>
      <c r="L581" s="97">
        <f>(S582/(E578)*100)</f>
        <v>82.518150905247694</v>
      </c>
      <c r="M581" s="182"/>
      <c r="R581" s="5" t="s">
        <v>11</v>
      </c>
      <c r="S581" s="5" t="s">
        <v>12</v>
      </c>
      <c r="T581" s="5" t="s">
        <v>0</v>
      </c>
    </row>
    <row r="582" spans="1:22" s="179" customFormat="1" x14ac:dyDescent="0.25">
      <c r="C582" s="4"/>
      <c r="D582" s="3"/>
      <c r="E582" s="3"/>
      <c r="F582" s="3"/>
      <c r="G582" s="4"/>
      <c r="H582" s="4"/>
      <c r="K582" s="162" t="s">
        <v>135</v>
      </c>
      <c r="L582" s="96">
        <f>(R582/D578)*100</f>
        <v>40.104088037111509</v>
      </c>
      <c r="P582" s="4"/>
      <c r="Q582" s="5" t="s">
        <v>3</v>
      </c>
      <c r="R582" s="9">
        <f>T582*S582</f>
        <v>8978.7999999999993</v>
      </c>
      <c r="S582" s="9">
        <v>897.88</v>
      </c>
      <c r="T582" s="22">
        <f>G576*0.5</f>
        <v>10</v>
      </c>
    </row>
    <row r="583" spans="1:22" s="179" customFormat="1" ht="17.25" x14ac:dyDescent="0.25">
      <c r="C583" s="4"/>
      <c r="D583" s="3"/>
      <c r="E583" s="3"/>
      <c r="F583" s="3"/>
      <c r="G583" s="4"/>
      <c r="H583" s="4"/>
      <c r="K583" s="159" t="s">
        <v>136</v>
      </c>
      <c r="L583" s="13">
        <f>(D578+I578+L578+P578+R578+V578)/R582</f>
        <v>7.9393616073417395</v>
      </c>
      <c r="O583" s="4"/>
      <c r="P583" s="4"/>
      <c r="S583" s="181"/>
      <c r="T583" s="3"/>
    </row>
    <row r="584" spans="1:22" s="179" customFormat="1" ht="17.25" x14ac:dyDescent="0.25">
      <c r="C584" s="4"/>
      <c r="D584" s="3"/>
      <c r="E584" s="3"/>
      <c r="F584" s="3"/>
      <c r="G584" s="4"/>
      <c r="H584" s="4"/>
      <c r="I584" s="4"/>
      <c r="K584" s="163" t="s">
        <v>137</v>
      </c>
      <c r="L584" s="15">
        <f>(D578+I578+L578)/R582</f>
        <v>2.9632178019334434</v>
      </c>
      <c r="N584" s="163" t="s">
        <v>139</v>
      </c>
      <c r="O584" s="93">
        <f>G576/N578*1000</f>
        <v>0.39525691699604742</v>
      </c>
      <c r="P584" s="4"/>
      <c r="S584" s="4"/>
    </row>
    <row r="585" spans="1:22" s="179" customFormat="1" ht="17.25" x14ac:dyDescent="0.25">
      <c r="C585" s="4"/>
      <c r="D585" s="3"/>
      <c r="E585" s="3"/>
      <c r="F585" s="3"/>
      <c r="G585" s="4"/>
      <c r="H585" s="4"/>
      <c r="I585" s="4"/>
      <c r="K585" s="164" t="s">
        <v>138</v>
      </c>
      <c r="L585" s="16">
        <f>(P578+V578)/R582</f>
        <v>4.976143805408296</v>
      </c>
      <c r="M585" s="4"/>
      <c r="N585" s="4"/>
      <c r="O585" s="4"/>
      <c r="P585" s="4"/>
      <c r="U585" s="4"/>
      <c r="V585" s="4"/>
    </row>
    <row r="586" spans="1:22" s="179" customFormat="1" x14ac:dyDescent="0.25">
      <c r="C586" s="6"/>
      <c r="E586" s="3"/>
      <c r="F586" s="3"/>
      <c r="G586" s="4"/>
      <c r="H586" s="4"/>
      <c r="I586" s="4"/>
      <c r="K586" s="4"/>
      <c r="M586" s="4"/>
      <c r="P586" s="4"/>
      <c r="Q586" s="4"/>
      <c r="R586" s="4"/>
      <c r="S586" s="4"/>
      <c r="T586" s="4"/>
      <c r="U586" s="4"/>
      <c r="V586" s="4"/>
    </row>
    <row r="587" spans="1:22" s="179" customFormat="1" x14ac:dyDescent="0.25">
      <c r="D587" s="181"/>
      <c r="E587" s="181"/>
      <c r="F587" s="181"/>
    </row>
    <row r="588" spans="1:22" s="180" customFormat="1" ht="17.25" x14ac:dyDescent="0.25">
      <c r="A588" s="167" t="s">
        <v>169</v>
      </c>
      <c r="D588" s="169"/>
      <c r="E588" s="169"/>
      <c r="F588" s="169"/>
    </row>
    <row r="589" spans="1:22" s="179" customFormat="1" x14ac:dyDescent="0.25">
      <c r="B589" s="4"/>
      <c r="C589" s="6" t="s">
        <v>26</v>
      </c>
      <c r="D589" s="181"/>
      <c r="E589" s="181"/>
      <c r="F589" s="181"/>
    </row>
    <row r="590" spans="1:22" s="179" customFormat="1" ht="34.5" x14ac:dyDescent="0.25">
      <c r="C590" s="17" t="s">
        <v>14</v>
      </c>
      <c r="D590" s="20" t="s">
        <v>21</v>
      </c>
      <c r="E590" s="20" t="s">
        <v>94</v>
      </c>
      <c r="F590" s="17" t="s">
        <v>13</v>
      </c>
      <c r="G590" s="17" t="s">
        <v>15</v>
      </c>
      <c r="H590" s="18" t="s">
        <v>1</v>
      </c>
      <c r="I590" s="19" t="s">
        <v>25</v>
      </c>
      <c r="J590" s="17" t="s">
        <v>2</v>
      </c>
      <c r="K590" s="20" t="s">
        <v>94</v>
      </c>
      <c r="L590" s="20" t="s">
        <v>22</v>
      </c>
      <c r="M590" s="19" t="s">
        <v>8</v>
      </c>
      <c r="N590" s="19" t="s">
        <v>16</v>
      </c>
      <c r="O590" s="19" t="s">
        <v>17</v>
      </c>
      <c r="P590" s="19" t="s">
        <v>18</v>
      </c>
      <c r="Q590" s="20" t="s">
        <v>10</v>
      </c>
      <c r="R590" s="20" t="s">
        <v>23</v>
      </c>
      <c r="S590" s="19" t="s">
        <v>9</v>
      </c>
      <c r="T590" s="19" t="s">
        <v>19</v>
      </c>
      <c r="U590" s="19" t="s">
        <v>20</v>
      </c>
      <c r="V590" s="19" t="s">
        <v>24</v>
      </c>
    </row>
    <row r="591" spans="1:22" s="179" customFormat="1" x14ac:dyDescent="0.25">
      <c r="A591" s="6" t="s">
        <v>184</v>
      </c>
      <c r="C591" s="176" t="s">
        <v>57</v>
      </c>
      <c r="D591" s="56">
        <f>G591*E591</f>
        <v>4244</v>
      </c>
      <c r="E591" s="160">
        <v>212.2</v>
      </c>
      <c r="F591" s="160">
        <v>1</v>
      </c>
      <c r="G591" s="161">
        <v>20</v>
      </c>
      <c r="H591" s="7"/>
      <c r="I591" s="7"/>
      <c r="J591" s="25" t="s">
        <v>81</v>
      </c>
      <c r="K591" s="26">
        <v>120.58</v>
      </c>
      <c r="L591" s="46">
        <f>G592*K591</f>
        <v>2652.7599999999998</v>
      </c>
      <c r="M591" s="42" t="s">
        <v>27</v>
      </c>
      <c r="N591" s="45">
        <v>50600</v>
      </c>
      <c r="O591" s="1">
        <v>0.88300000000000001</v>
      </c>
      <c r="P591" s="161">
        <f>N591*O591</f>
        <v>44679.8</v>
      </c>
      <c r="Q591" s="160"/>
      <c r="R591" s="160"/>
      <c r="S591" s="7"/>
      <c r="T591" s="7"/>
      <c r="U591" s="7"/>
      <c r="V591" s="161">
        <f>T591*U591</f>
        <v>0</v>
      </c>
    </row>
    <row r="592" spans="1:22" s="179" customFormat="1" x14ac:dyDescent="0.25">
      <c r="A592" s="6"/>
      <c r="C592" s="160" t="s">
        <v>59</v>
      </c>
      <c r="D592" s="160">
        <f>G592*E592</f>
        <v>4274.16</v>
      </c>
      <c r="E592" s="160">
        <v>194.28</v>
      </c>
      <c r="F592" s="160">
        <v>1.1000000000000001</v>
      </c>
      <c r="G592" s="161">
        <f>G591*1.1</f>
        <v>22</v>
      </c>
      <c r="H592" s="1"/>
      <c r="I592" s="1"/>
      <c r="J592" s="25"/>
      <c r="K592" s="26"/>
      <c r="L592" s="46">
        <f>G592*K592</f>
        <v>0</v>
      </c>
      <c r="M592" s="42"/>
      <c r="N592" s="2"/>
      <c r="O592" s="1"/>
      <c r="P592" s="161"/>
      <c r="Q592" s="160"/>
      <c r="R592" s="160"/>
      <c r="S592" s="7"/>
      <c r="T592" s="7"/>
      <c r="U592" s="7"/>
      <c r="V592" s="161">
        <f t="shared" ref="V592" si="26">T592*U592</f>
        <v>0</v>
      </c>
    </row>
    <row r="593" spans="1:22" s="179" customFormat="1" x14ac:dyDescent="0.25">
      <c r="A593" s="6"/>
      <c r="C593" s="10" t="s">
        <v>4</v>
      </c>
      <c r="D593" s="161">
        <f>SUM(D591:D592)</f>
        <v>8518.16</v>
      </c>
      <c r="E593" s="161">
        <f>SUM(E591:E592)</f>
        <v>406.48</v>
      </c>
      <c r="F593" s="10"/>
      <c r="G593" s="165">
        <f>SUM(G591:G592)</f>
        <v>42</v>
      </c>
      <c r="I593" s="165">
        <f>SUM(I591:I592)</f>
        <v>0</v>
      </c>
      <c r="L593" s="47">
        <f>SUM(L591:L592)</f>
        <v>2652.7599999999998</v>
      </c>
      <c r="N593" s="165">
        <f>SUM(N591:N592)</f>
        <v>50600</v>
      </c>
      <c r="P593" s="165">
        <f>SUM(P591:P592)</f>
        <v>44679.8</v>
      </c>
      <c r="R593" s="165">
        <f>SUM(R591:R592)</f>
        <v>0</v>
      </c>
      <c r="V593" s="165">
        <f>SUM(V591:V592)</f>
        <v>0</v>
      </c>
    </row>
    <row r="594" spans="1:22" s="179" customFormat="1" x14ac:dyDescent="0.25">
      <c r="A594" s="6"/>
      <c r="C594" s="4"/>
      <c r="D594" s="3"/>
      <c r="E594" s="3"/>
      <c r="F594" s="3"/>
      <c r="G594" s="4"/>
      <c r="H594" s="4"/>
      <c r="I594" s="4"/>
      <c r="M594" s="182"/>
      <c r="N594" s="4"/>
      <c r="O594" s="4"/>
      <c r="P594" s="4"/>
      <c r="Q594" s="4"/>
      <c r="R594" s="4"/>
      <c r="S594" s="4"/>
      <c r="T594" s="4"/>
      <c r="U594" s="4"/>
      <c r="V594" s="4"/>
    </row>
    <row r="595" spans="1:22" s="179" customFormat="1" x14ac:dyDescent="0.25">
      <c r="A595" s="6"/>
      <c r="C595" s="4"/>
      <c r="D595" s="3"/>
      <c r="E595" s="3"/>
      <c r="F595" s="3"/>
      <c r="G595" s="4"/>
      <c r="H595" s="4"/>
      <c r="K595" s="162" t="s">
        <v>133</v>
      </c>
      <c r="L595" s="96">
        <f>(T597/G591)*100</f>
        <v>50</v>
      </c>
      <c r="M595" s="182"/>
      <c r="O595" s="4"/>
      <c r="P595" s="4"/>
      <c r="Q595" s="4"/>
      <c r="R595" s="4"/>
      <c r="S595" s="4"/>
    </row>
    <row r="596" spans="1:22" s="179" customFormat="1" x14ac:dyDescent="0.25">
      <c r="A596" s="6"/>
      <c r="C596" s="4"/>
      <c r="D596" s="3"/>
      <c r="E596" s="3"/>
      <c r="F596" s="3"/>
      <c r="G596" s="4"/>
      <c r="H596" s="4"/>
      <c r="K596" s="159" t="s">
        <v>134</v>
      </c>
      <c r="L596" s="97">
        <f>(S597/(E593)*100)</f>
        <v>95.566817555599286</v>
      </c>
      <c r="M596" s="182"/>
      <c r="R596" s="5" t="s">
        <v>11</v>
      </c>
      <c r="S596" s="5" t="s">
        <v>12</v>
      </c>
      <c r="T596" s="5" t="s">
        <v>0</v>
      </c>
    </row>
    <row r="597" spans="1:22" s="179" customFormat="1" x14ac:dyDescent="0.25">
      <c r="A597" s="6"/>
      <c r="C597" s="4"/>
      <c r="D597" s="3"/>
      <c r="E597" s="3"/>
      <c r="F597" s="3"/>
      <c r="G597" s="4"/>
      <c r="H597" s="4"/>
      <c r="K597" s="162" t="s">
        <v>135</v>
      </c>
      <c r="L597" s="96">
        <f>(R597/D593)*100</f>
        <v>45.603745409806812</v>
      </c>
      <c r="P597" s="4"/>
      <c r="Q597" s="5" t="s">
        <v>3</v>
      </c>
      <c r="R597" s="9">
        <f>T597*S597</f>
        <v>3884.6</v>
      </c>
      <c r="S597" s="9">
        <v>388.46</v>
      </c>
      <c r="T597" s="22">
        <f>G591*0.5</f>
        <v>10</v>
      </c>
    </row>
    <row r="598" spans="1:22" s="179" customFormat="1" ht="17.25" x14ac:dyDescent="0.25">
      <c r="A598" s="6"/>
      <c r="C598" s="4"/>
      <c r="D598" s="3"/>
      <c r="E598" s="3"/>
      <c r="F598" s="3"/>
      <c r="G598" s="4"/>
      <c r="H598" s="4"/>
      <c r="K598" s="159" t="s">
        <v>136</v>
      </c>
      <c r="L598" s="13">
        <f>(D593+I593+L593+P593+R593+V593)/R597</f>
        <v>14.377470009782218</v>
      </c>
      <c r="O598" s="4"/>
      <c r="P598" s="4"/>
      <c r="S598" s="181"/>
      <c r="T598" s="3"/>
    </row>
    <row r="599" spans="1:22" s="179" customFormat="1" ht="17.25" x14ac:dyDescent="0.25">
      <c r="A599" s="6"/>
      <c r="C599" s="4"/>
      <c r="D599" s="3"/>
      <c r="E599" s="3"/>
      <c r="F599" s="3"/>
      <c r="G599" s="4"/>
      <c r="H599" s="4"/>
      <c r="I599" s="4"/>
      <c r="K599" s="163" t="s">
        <v>137</v>
      </c>
      <c r="L599" s="15">
        <f>(D593+I593+L593)/R597</f>
        <v>2.8756937651238226</v>
      </c>
      <c r="N599" s="163" t="s">
        <v>139</v>
      </c>
      <c r="O599" s="93">
        <f>G591/N593*1000</f>
        <v>0.39525691699604742</v>
      </c>
      <c r="P599" s="4"/>
      <c r="S599" s="4"/>
    </row>
    <row r="600" spans="1:22" s="179" customFormat="1" ht="17.25" x14ac:dyDescent="0.25">
      <c r="A600" s="6"/>
      <c r="C600" s="4"/>
      <c r="D600" s="3"/>
      <c r="E600" s="3"/>
      <c r="F600" s="3"/>
      <c r="G600" s="4"/>
      <c r="H600" s="4"/>
      <c r="I600" s="4"/>
      <c r="K600" s="164" t="s">
        <v>138</v>
      </c>
      <c r="L600" s="16">
        <f>(P593+V593)/R597</f>
        <v>11.501776244658396</v>
      </c>
      <c r="M600" s="4"/>
      <c r="N600" s="4"/>
      <c r="O600" s="4"/>
      <c r="P600" s="4"/>
      <c r="U600" s="4"/>
      <c r="V600" s="4"/>
    </row>
    <row r="601" spans="1:22" s="179" customFormat="1" x14ac:dyDescent="0.25">
      <c r="A601" s="6"/>
      <c r="C601" s="6"/>
      <c r="E601" s="3"/>
      <c r="F601" s="3"/>
      <c r="G601" s="4"/>
      <c r="H601" s="4"/>
      <c r="I601" s="4"/>
      <c r="K601" s="4"/>
      <c r="M601" s="4"/>
      <c r="P601" s="4"/>
      <c r="Q601" s="4"/>
      <c r="R601" s="4"/>
      <c r="S601" s="4"/>
      <c r="T601" s="4"/>
      <c r="U601" s="4"/>
      <c r="V601" s="4"/>
    </row>
    <row r="602" spans="1:22" s="179" customFormat="1" x14ac:dyDescent="0.25">
      <c r="A602" s="6"/>
      <c r="B602" s="4"/>
      <c r="C602" s="6" t="s">
        <v>26</v>
      </c>
      <c r="D602" s="181"/>
      <c r="E602" s="181"/>
      <c r="F602" s="181"/>
    </row>
    <row r="603" spans="1:22" s="179" customFormat="1" ht="34.5" x14ac:dyDescent="0.25">
      <c r="A603" s="6"/>
      <c r="C603" s="17" t="s">
        <v>14</v>
      </c>
      <c r="D603" s="20" t="s">
        <v>21</v>
      </c>
      <c r="E603" s="20" t="s">
        <v>94</v>
      </c>
      <c r="F603" s="17" t="s">
        <v>13</v>
      </c>
      <c r="G603" s="17" t="s">
        <v>15</v>
      </c>
      <c r="H603" s="18" t="s">
        <v>1</v>
      </c>
      <c r="I603" s="19" t="s">
        <v>25</v>
      </c>
      <c r="J603" s="17" t="s">
        <v>2</v>
      </c>
      <c r="K603" s="20" t="s">
        <v>94</v>
      </c>
      <c r="L603" s="20" t="s">
        <v>22</v>
      </c>
      <c r="M603" s="19" t="s">
        <v>8</v>
      </c>
      <c r="N603" s="19" t="s">
        <v>16</v>
      </c>
      <c r="O603" s="19" t="s">
        <v>17</v>
      </c>
      <c r="P603" s="19" t="s">
        <v>18</v>
      </c>
      <c r="Q603" s="20" t="s">
        <v>10</v>
      </c>
      <c r="R603" s="20" t="s">
        <v>23</v>
      </c>
      <c r="S603" s="19" t="s">
        <v>9</v>
      </c>
      <c r="T603" s="19" t="s">
        <v>19</v>
      </c>
      <c r="U603" s="19" t="s">
        <v>20</v>
      </c>
      <c r="V603" s="19" t="s">
        <v>24</v>
      </c>
    </row>
    <row r="604" spans="1:22" s="179" customFormat="1" x14ac:dyDescent="0.25">
      <c r="A604" s="6" t="s">
        <v>197</v>
      </c>
      <c r="C604" s="172" t="s">
        <v>119</v>
      </c>
      <c r="D604" s="56">
        <f>G604*E604</f>
        <v>15494.6</v>
      </c>
      <c r="E604" s="160">
        <v>774.73</v>
      </c>
      <c r="F604" s="160">
        <v>1</v>
      </c>
      <c r="G604" s="161">
        <v>20</v>
      </c>
      <c r="H604" s="7"/>
      <c r="I604" s="7"/>
      <c r="J604" s="25" t="s">
        <v>81</v>
      </c>
      <c r="K604" s="26">
        <v>120.58</v>
      </c>
      <c r="L604" s="46">
        <f>G605*K604</f>
        <v>2652.7599999999998</v>
      </c>
      <c r="M604" s="42" t="s">
        <v>27</v>
      </c>
      <c r="N604" s="45">
        <v>50600</v>
      </c>
      <c r="O604" s="1">
        <v>0.88300000000000001</v>
      </c>
      <c r="P604" s="161">
        <f>N604*O604</f>
        <v>44679.8</v>
      </c>
      <c r="Q604" s="160"/>
      <c r="R604" s="160"/>
      <c r="S604" s="7"/>
      <c r="T604" s="7"/>
      <c r="U604" s="7"/>
      <c r="V604" s="161">
        <f>T604*U604</f>
        <v>0</v>
      </c>
    </row>
    <row r="605" spans="1:22" s="179" customFormat="1" x14ac:dyDescent="0.25">
      <c r="A605" s="6"/>
      <c r="C605" s="69" t="s">
        <v>124</v>
      </c>
      <c r="D605" s="160">
        <f>G605*E605</f>
        <v>6894.14</v>
      </c>
      <c r="E605" s="160">
        <v>313.37</v>
      </c>
      <c r="F605" s="160">
        <v>1.1000000000000001</v>
      </c>
      <c r="G605" s="161">
        <f>G604*F605</f>
        <v>22</v>
      </c>
      <c r="H605" s="1"/>
      <c r="I605" s="1"/>
      <c r="J605" s="25"/>
      <c r="K605" s="26"/>
      <c r="L605" s="46">
        <f>G605*K605</f>
        <v>0</v>
      </c>
      <c r="M605" s="42"/>
      <c r="N605" s="2"/>
      <c r="O605" s="1"/>
      <c r="P605" s="161"/>
      <c r="Q605" s="160"/>
      <c r="R605" s="160"/>
      <c r="S605" s="7"/>
      <c r="T605" s="7"/>
      <c r="U605" s="7"/>
      <c r="V605" s="161">
        <f t="shared" ref="V605" si="27">T605*U605</f>
        <v>0</v>
      </c>
    </row>
    <row r="606" spans="1:22" s="179" customFormat="1" x14ac:dyDescent="0.25">
      <c r="A606" s="6"/>
      <c r="C606" s="10" t="s">
        <v>4</v>
      </c>
      <c r="D606" s="161">
        <f>SUM(D604:D605)</f>
        <v>22388.74</v>
      </c>
      <c r="E606" s="161">
        <f>SUM(E604:E605)</f>
        <v>1088.0999999999999</v>
      </c>
      <c r="F606" s="10"/>
      <c r="G606" s="165">
        <f>SUM(G604:G605)</f>
        <v>42</v>
      </c>
      <c r="I606" s="165">
        <f>SUM(I604:I605)</f>
        <v>0</v>
      </c>
      <c r="L606" s="47">
        <f>SUM(L604:L605)</f>
        <v>2652.7599999999998</v>
      </c>
      <c r="N606" s="165">
        <f>SUM(N604:N605)</f>
        <v>50600</v>
      </c>
      <c r="P606" s="165">
        <f>SUM(P604:P605)</f>
        <v>44679.8</v>
      </c>
      <c r="R606" s="165">
        <f>SUM(R604:R605)</f>
        <v>0</v>
      </c>
      <c r="V606" s="165">
        <f>SUM(V604:V605)</f>
        <v>0</v>
      </c>
    </row>
    <row r="607" spans="1:22" s="179" customFormat="1" x14ac:dyDescent="0.25">
      <c r="C607" s="4"/>
      <c r="D607" s="3"/>
      <c r="E607" s="3"/>
      <c r="F607" s="3"/>
      <c r="G607" s="4"/>
      <c r="H607" s="4"/>
      <c r="I607" s="4"/>
      <c r="M607" s="182"/>
      <c r="N607" s="4"/>
      <c r="O607" s="4"/>
      <c r="P607" s="4"/>
      <c r="Q607" s="4"/>
      <c r="R607" s="4"/>
      <c r="S607" s="4"/>
      <c r="T607" s="4"/>
      <c r="U607" s="4"/>
      <c r="V607" s="4"/>
    </row>
    <row r="608" spans="1:22" s="179" customFormat="1" x14ac:dyDescent="0.25">
      <c r="C608" s="4"/>
      <c r="D608" s="3"/>
      <c r="E608" s="3"/>
      <c r="F608" s="3"/>
      <c r="G608" s="4"/>
      <c r="H608" s="4"/>
      <c r="K608" s="162" t="s">
        <v>133</v>
      </c>
      <c r="L608" s="96">
        <f>(T610/G604)*100</f>
        <v>50</v>
      </c>
      <c r="M608" s="182"/>
      <c r="O608" s="4"/>
      <c r="P608" s="4"/>
      <c r="Q608" s="4"/>
      <c r="R608" s="4"/>
      <c r="S608" s="4"/>
    </row>
    <row r="609" spans="1:22" s="179" customFormat="1" x14ac:dyDescent="0.25">
      <c r="C609" s="4"/>
      <c r="D609" s="3"/>
      <c r="E609" s="3"/>
      <c r="F609" s="3"/>
      <c r="G609" s="4"/>
      <c r="H609" s="4"/>
      <c r="K609" s="159" t="s">
        <v>134</v>
      </c>
      <c r="L609" s="97">
        <f>(S610/(E606)*100)</f>
        <v>82.518150905247694</v>
      </c>
      <c r="M609" s="182"/>
      <c r="R609" s="5" t="s">
        <v>11</v>
      </c>
      <c r="S609" s="5" t="s">
        <v>12</v>
      </c>
      <c r="T609" s="5" t="s">
        <v>0</v>
      </c>
    </row>
    <row r="610" spans="1:22" s="179" customFormat="1" x14ac:dyDescent="0.25">
      <c r="C610" s="4"/>
      <c r="D610" s="3"/>
      <c r="E610" s="3"/>
      <c r="F610" s="3"/>
      <c r="G610" s="4"/>
      <c r="H610" s="4"/>
      <c r="K610" s="162" t="s">
        <v>135</v>
      </c>
      <c r="L610" s="96">
        <f>(R610/D606)*100</f>
        <v>40.104088037111509</v>
      </c>
      <c r="P610" s="4"/>
      <c r="Q610" s="5" t="s">
        <v>3</v>
      </c>
      <c r="R610" s="9">
        <f>T610*S610</f>
        <v>8978.7999999999993</v>
      </c>
      <c r="S610" s="9">
        <v>897.88</v>
      </c>
      <c r="T610" s="22">
        <f>G604*0.5</f>
        <v>10</v>
      </c>
    </row>
    <row r="611" spans="1:22" s="179" customFormat="1" ht="17.25" x14ac:dyDescent="0.25">
      <c r="C611" s="4"/>
      <c r="D611" s="3"/>
      <c r="E611" s="3"/>
      <c r="F611" s="3"/>
      <c r="G611" s="4"/>
      <c r="H611" s="4"/>
      <c r="K611" s="159" t="s">
        <v>136</v>
      </c>
      <c r="L611" s="13">
        <f>(D606+I606+L606+P606+R606+V606)/R610</f>
        <v>7.7651022408339658</v>
      </c>
      <c r="O611" s="4"/>
      <c r="P611" s="4"/>
      <c r="S611" s="181"/>
      <c r="T611" s="3"/>
    </row>
    <row r="612" spans="1:22" s="179" customFormat="1" ht="17.25" x14ac:dyDescent="0.25">
      <c r="C612" s="4"/>
      <c r="D612" s="3"/>
      <c r="E612" s="3"/>
      <c r="F612" s="3"/>
      <c r="G612" s="4"/>
      <c r="H612" s="4"/>
      <c r="I612" s="4"/>
      <c r="K612" s="163" t="s">
        <v>137</v>
      </c>
      <c r="L612" s="15">
        <f>(D606+I606+L606)/R610</f>
        <v>2.7889584354256698</v>
      </c>
      <c r="N612" s="163" t="s">
        <v>139</v>
      </c>
      <c r="O612" s="93">
        <f>G604/N606*1000</f>
        <v>0.39525691699604742</v>
      </c>
      <c r="P612" s="4"/>
      <c r="S612" s="4"/>
    </row>
    <row r="613" spans="1:22" s="179" customFormat="1" ht="17.25" x14ac:dyDescent="0.25">
      <c r="C613" s="4"/>
      <c r="D613" s="3"/>
      <c r="E613" s="3"/>
      <c r="F613" s="3"/>
      <c r="G613" s="4"/>
      <c r="H613" s="4"/>
      <c r="I613" s="4"/>
      <c r="K613" s="164" t="s">
        <v>138</v>
      </c>
      <c r="L613" s="16">
        <f>(P606+V606)/R610</f>
        <v>4.976143805408296</v>
      </c>
      <c r="M613" s="4"/>
      <c r="N613" s="4"/>
      <c r="O613" s="4"/>
      <c r="P613" s="4"/>
      <c r="U613" s="4"/>
      <c r="V613" s="4"/>
    </row>
    <row r="614" spans="1:22" s="179" customFormat="1" x14ac:dyDescent="0.25">
      <c r="C614" s="6"/>
      <c r="E614" s="3"/>
      <c r="F614" s="3"/>
      <c r="G614" s="4"/>
      <c r="H614" s="4"/>
      <c r="I614" s="4"/>
      <c r="K614" s="4"/>
      <c r="M614" s="4"/>
      <c r="P614" s="4"/>
      <c r="Q614" s="4"/>
      <c r="R614" s="4"/>
      <c r="S614" s="4"/>
      <c r="T614" s="4"/>
      <c r="U614" s="4"/>
      <c r="V614" s="4"/>
    </row>
    <row r="615" spans="1:22" s="179" customFormat="1" x14ac:dyDescent="0.25">
      <c r="C615" s="6"/>
      <c r="E615" s="3"/>
      <c r="F615" s="3"/>
      <c r="G615" s="4"/>
      <c r="H615" s="4"/>
      <c r="I615" s="4"/>
      <c r="M615" s="4"/>
      <c r="N615" s="4"/>
      <c r="O615" s="4"/>
      <c r="P615" s="4"/>
      <c r="Q615" s="4"/>
      <c r="R615" s="4"/>
      <c r="S615" s="4"/>
      <c r="T615" s="4"/>
      <c r="U615" s="4"/>
      <c r="V615" s="4"/>
    </row>
    <row r="616" spans="1:22" s="180" customFormat="1" ht="17.25" x14ac:dyDescent="0.25">
      <c r="A616" s="184" t="s">
        <v>170</v>
      </c>
      <c r="D616" s="169"/>
      <c r="E616" s="169"/>
      <c r="F616" s="169"/>
    </row>
    <row r="617" spans="1:22" s="179" customFormat="1" x14ac:dyDescent="0.25">
      <c r="B617" s="4"/>
      <c r="C617" s="6" t="s">
        <v>26</v>
      </c>
      <c r="D617" s="181"/>
      <c r="E617" s="181"/>
      <c r="F617" s="181"/>
    </row>
    <row r="618" spans="1:22" s="179" customFormat="1" ht="34.5" x14ac:dyDescent="0.25">
      <c r="C618" s="17" t="s">
        <v>14</v>
      </c>
      <c r="D618" s="20" t="s">
        <v>21</v>
      </c>
      <c r="E618" s="20" t="s">
        <v>94</v>
      </c>
      <c r="F618" s="17" t="s">
        <v>13</v>
      </c>
      <c r="G618" s="17" t="s">
        <v>15</v>
      </c>
      <c r="H618" s="18" t="s">
        <v>1</v>
      </c>
      <c r="I618" s="19" t="s">
        <v>25</v>
      </c>
      <c r="J618" s="17" t="s">
        <v>2</v>
      </c>
      <c r="K618" s="20" t="s">
        <v>94</v>
      </c>
      <c r="L618" s="20" t="s">
        <v>22</v>
      </c>
      <c r="M618" s="19" t="s">
        <v>8</v>
      </c>
      <c r="N618" s="19" t="s">
        <v>16</v>
      </c>
      <c r="O618" s="19" t="s">
        <v>17</v>
      </c>
      <c r="P618" s="19" t="s">
        <v>18</v>
      </c>
      <c r="Q618" s="20" t="s">
        <v>10</v>
      </c>
      <c r="R618" s="20" t="s">
        <v>23</v>
      </c>
      <c r="S618" s="19" t="s">
        <v>9</v>
      </c>
      <c r="T618" s="19" t="s">
        <v>19</v>
      </c>
      <c r="U618" s="19" t="s">
        <v>20</v>
      </c>
      <c r="V618" s="19" t="s">
        <v>24</v>
      </c>
    </row>
    <row r="619" spans="1:22" s="179" customFormat="1" x14ac:dyDescent="0.25">
      <c r="A619" s="6" t="s">
        <v>184</v>
      </c>
      <c r="C619" s="176" t="s">
        <v>57</v>
      </c>
      <c r="D619" s="56">
        <f>G619*E619</f>
        <v>4244</v>
      </c>
      <c r="E619" s="160">
        <v>212.2</v>
      </c>
      <c r="F619" s="160">
        <v>1</v>
      </c>
      <c r="G619" s="161">
        <v>20</v>
      </c>
      <c r="H619" s="7"/>
      <c r="I619" s="7"/>
      <c r="J619" s="25" t="s">
        <v>87</v>
      </c>
      <c r="K619" s="26">
        <v>136.58000000000001</v>
      </c>
      <c r="L619" s="46">
        <f>G620*K619</f>
        <v>3004.76</v>
      </c>
      <c r="M619" s="42" t="s">
        <v>27</v>
      </c>
      <c r="N619" s="45">
        <v>50600</v>
      </c>
      <c r="O619" s="1">
        <v>0.88300000000000001</v>
      </c>
      <c r="P619" s="161">
        <f>N619*O619</f>
        <v>44679.8</v>
      </c>
      <c r="Q619" s="160"/>
      <c r="R619" s="160"/>
      <c r="S619" s="7"/>
      <c r="T619" s="7"/>
      <c r="U619" s="7"/>
      <c r="V619" s="161">
        <f>T619*U619</f>
        <v>0</v>
      </c>
    </row>
    <row r="620" spans="1:22" s="179" customFormat="1" x14ac:dyDescent="0.25">
      <c r="A620" s="6"/>
      <c r="C620" s="160" t="s">
        <v>59</v>
      </c>
      <c r="D620" s="160">
        <f>G620*E620</f>
        <v>4274.16</v>
      </c>
      <c r="E620" s="160">
        <v>194.28</v>
      </c>
      <c r="F620" s="160">
        <v>1.1000000000000001</v>
      </c>
      <c r="G620" s="161">
        <f>G619*1.1</f>
        <v>22</v>
      </c>
      <c r="H620" s="1"/>
      <c r="I620" s="1"/>
      <c r="J620" s="25"/>
      <c r="K620" s="26"/>
      <c r="L620" s="46">
        <f>G620*K620</f>
        <v>0</v>
      </c>
      <c r="M620" s="42"/>
      <c r="N620" s="2"/>
      <c r="O620" s="1"/>
      <c r="P620" s="161"/>
      <c r="Q620" s="160"/>
      <c r="R620" s="160"/>
      <c r="S620" s="7"/>
      <c r="T620" s="7"/>
      <c r="U620" s="7"/>
      <c r="V620" s="161">
        <f t="shared" ref="V620" si="28">T620*U620</f>
        <v>0</v>
      </c>
    </row>
    <row r="621" spans="1:22" s="179" customFormat="1" x14ac:dyDescent="0.25">
      <c r="A621" s="6"/>
      <c r="C621" s="10" t="s">
        <v>4</v>
      </c>
      <c r="D621" s="161">
        <f>SUM(D619:D620)</f>
        <v>8518.16</v>
      </c>
      <c r="E621" s="161">
        <f>SUM(E619:E620)</f>
        <v>406.48</v>
      </c>
      <c r="F621" s="10"/>
      <c r="G621" s="165">
        <f>SUM(G619:G620)</f>
        <v>42</v>
      </c>
      <c r="I621" s="165">
        <f>SUM(I619:I620)</f>
        <v>0</v>
      </c>
      <c r="L621" s="47">
        <f>SUM(L619:L620)</f>
        <v>3004.76</v>
      </c>
      <c r="N621" s="165">
        <f>SUM(N619:N620)</f>
        <v>50600</v>
      </c>
      <c r="P621" s="165">
        <f>SUM(P619:P620)</f>
        <v>44679.8</v>
      </c>
      <c r="R621" s="165">
        <f>SUM(R619:R620)</f>
        <v>0</v>
      </c>
      <c r="V621" s="165">
        <f>SUM(V619:V620)</f>
        <v>0</v>
      </c>
    </row>
    <row r="622" spans="1:22" s="179" customFormat="1" x14ac:dyDescent="0.25">
      <c r="A622" s="6"/>
      <c r="C622" s="4"/>
      <c r="D622" s="3"/>
      <c r="E622" s="3"/>
      <c r="F622" s="3"/>
      <c r="G622" s="4"/>
      <c r="H622" s="4"/>
      <c r="I622" s="4"/>
      <c r="M622" s="182"/>
      <c r="N622" s="4"/>
      <c r="O622" s="4"/>
      <c r="P622" s="4"/>
      <c r="Q622" s="4"/>
      <c r="R622" s="4"/>
      <c r="S622" s="4"/>
      <c r="T622" s="4"/>
      <c r="U622" s="4"/>
      <c r="V622" s="4"/>
    </row>
    <row r="623" spans="1:22" s="179" customFormat="1" x14ac:dyDescent="0.25">
      <c r="A623" s="6"/>
      <c r="C623" s="4"/>
      <c r="D623" s="3"/>
      <c r="E623" s="3"/>
      <c r="F623" s="3"/>
      <c r="G623" s="4"/>
      <c r="H623" s="4"/>
      <c r="K623" s="162" t="s">
        <v>133</v>
      </c>
      <c r="L623" s="96">
        <f>(T625/G619)*100</f>
        <v>50</v>
      </c>
      <c r="M623" s="182"/>
      <c r="O623" s="4"/>
      <c r="P623" s="4"/>
      <c r="Q623" s="4"/>
      <c r="R623" s="4"/>
      <c r="S623" s="4"/>
    </row>
    <row r="624" spans="1:22" s="179" customFormat="1" x14ac:dyDescent="0.25">
      <c r="A624" s="6"/>
      <c r="C624" s="4"/>
      <c r="D624" s="3"/>
      <c r="E624" s="3"/>
      <c r="F624" s="3"/>
      <c r="G624" s="4"/>
      <c r="H624" s="4"/>
      <c r="K624" s="159" t="s">
        <v>134</v>
      </c>
      <c r="L624" s="97">
        <f>(S625/(E621)*100)</f>
        <v>95.566817555599286</v>
      </c>
      <c r="M624" s="182"/>
      <c r="R624" s="5" t="s">
        <v>11</v>
      </c>
      <c r="S624" s="5" t="s">
        <v>12</v>
      </c>
      <c r="T624" s="5" t="s">
        <v>0</v>
      </c>
    </row>
    <row r="625" spans="1:22" s="179" customFormat="1" x14ac:dyDescent="0.25">
      <c r="A625" s="6"/>
      <c r="C625" s="4"/>
      <c r="D625" s="3"/>
      <c r="E625" s="3"/>
      <c r="F625" s="3"/>
      <c r="G625" s="4"/>
      <c r="H625" s="4"/>
      <c r="K625" s="162" t="s">
        <v>135</v>
      </c>
      <c r="L625" s="96">
        <f>(R625/D621)*100</f>
        <v>45.603745409806812</v>
      </c>
      <c r="P625" s="4"/>
      <c r="Q625" s="5" t="s">
        <v>3</v>
      </c>
      <c r="R625" s="9">
        <f>T625*S625</f>
        <v>3884.6</v>
      </c>
      <c r="S625" s="9">
        <v>388.46</v>
      </c>
      <c r="T625" s="22">
        <f>G619*0.5</f>
        <v>10</v>
      </c>
    </row>
    <row r="626" spans="1:22" s="179" customFormat="1" ht="17.25" x14ac:dyDescent="0.25">
      <c r="A626" s="6"/>
      <c r="C626" s="4"/>
      <c r="D626" s="3"/>
      <c r="E626" s="3"/>
      <c r="F626" s="3"/>
      <c r="G626" s="4"/>
      <c r="H626" s="4"/>
      <c r="K626" s="159" t="s">
        <v>136</v>
      </c>
      <c r="L626" s="13">
        <f>(D621+I621+L621+P621+R621+V621)/R625</f>
        <v>14.468084230036554</v>
      </c>
      <c r="O626" s="4"/>
      <c r="P626" s="4"/>
      <c r="S626" s="181"/>
      <c r="T626" s="3"/>
    </row>
    <row r="627" spans="1:22" s="179" customFormat="1" ht="17.25" x14ac:dyDescent="0.25">
      <c r="A627" s="6"/>
      <c r="C627" s="4"/>
      <c r="D627" s="3"/>
      <c r="E627" s="3"/>
      <c r="F627" s="3"/>
      <c r="G627" s="4"/>
      <c r="H627" s="4"/>
      <c r="I627" s="4"/>
      <c r="K627" s="163" t="s">
        <v>137</v>
      </c>
      <c r="L627" s="15">
        <f>(D621+I621+L621)/R625</f>
        <v>2.96630798537816</v>
      </c>
      <c r="N627" s="163" t="s">
        <v>139</v>
      </c>
      <c r="O627" s="93">
        <f>G619/N621*1000</f>
        <v>0.39525691699604742</v>
      </c>
      <c r="P627" s="4"/>
      <c r="S627" s="4"/>
    </row>
    <row r="628" spans="1:22" s="179" customFormat="1" ht="17.25" x14ac:dyDescent="0.25">
      <c r="A628" s="6"/>
      <c r="C628" s="4"/>
      <c r="D628" s="3"/>
      <c r="E628" s="3"/>
      <c r="F628" s="3"/>
      <c r="G628" s="4"/>
      <c r="H628" s="4"/>
      <c r="I628" s="4"/>
      <c r="K628" s="164" t="s">
        <v>138</v>
      </c>
      <c r="L628" s="16">
        <f>(P621+V621)/R625</f>
        <v>11.501776244658396</v>
      </c>
      <c r="M628" s="4"/>
      <c r="N628" s="4"/>
      <c r="O628" s="4"/>
      <c r="P628" s="4"/>
      <c r="U628" s="4"/>
      <c r="V628" s="4"/>
    </row>
    <row r="629" spans="1:22" s="179" customFormat="1" x14ac:dyDescent="0.25">
      <c r="A629" s="6"/>
      <c r="C629" s="6"/>
      <c r="E629" s="3"/>
      <c r="F629" s="3"/>
      <c r="G629" s="4"/>
      <c r="H629" s="4"/>
      <c r="I629" s="4"/>
      <c r="K629" s="4"/>
      <c r="M629" s="4"/>
      <c r="P629" s="4"/>
      <c r="Q629" s="4"/>
      <c r="R629" s="4"/>
      <c r="S629" s="4"/>
      <c r="T629" s="4"/>
      <c r="U629" s="4"/>
      <c r="V629" s="4"/>
    </row>
    <row r="630" spans="1:22" s="179" customFormat="1" x14ac:dyDescent="0.25">
      <c r="A630" s="6"/>
      <c r="B630" s="4"/>
      <c r="C630" s="6" t="s">
        <v>26</v>
      </c>
      <c r="D630" s="181"/>
      <c r="E630" s="181"/>
      <c r="F630" s="181"/>
    </row>
    <row r="631" spans="1:22" s="179" customFormat="1" ht="34.5" x14ac:dyDescent="0.25">
      <c r="A631" s="6"/>
      <c r="C631" s="17" t="s">
        <v>14</v>
      </c>
      <c r="D631" s="20" t="s">
        <v>21</v>
      </c>
      <c r="E631" s="20" t="s">
        <v>94</v>
      </c>
      <c r="F631" s="17" t="s">
        <v>13</v>
      </c>
      <c r="G631" s="17" t="s">
        <v>15</v>
      </c>
      <c r="H631" s="18" t="s">
        <v>1</v>
      </c>
      <c r="I631" s="19" t="s">
        <v>25</v>
      </c>
      <c r="J631" s="17" t="s">
        <v>2</v>
      </c>
      <c r="K631" s="20" t="s">
        <v>94</v>
      </c>
      <c r="L631" s="20" t="s">
        <v>22</v>
      </c>
      <c r="M631" s="19" t="s">
        <v>8</v>
      </c>
      <c r="N631" s="19" t="s">
        <v>16</v>
      </c>
      <c r="O631" s="19" t="s">
        <v>17</v>
      </c>
      <c r="P631" s="19" t="s">
        <v>18</v>
      </c>
      <c r="Q631" s="20" t="s">
        <v>10</v>
      </c>
      <c r="R631" s="20" t="s">
        <v>23</v>
      </c>
      <c r="S631" s="19" t="s">
        <v>9</v>
      </c>
      <c r="T631" s="19" t="s">
        <v>19</v>
      </c>
      <c r="U631" s="19" t="s">
        <v>20</v>
      </c>
      <c r="V631" s="19" t="s">
        <v>24</v>
      </c>
    </row>
    <row r="632" spans="1:22" s="179" customFormat="1" x14ac:dyDescent="0.25">
      <c r="A632" s="6" t="s">
        <v>197</v>
      </c>
      <c r="C632" s="172" t="s">
        <v>119</v>
      </c>
      <c r="D632" s="56">
        <f>G632*E632</f>
        <v>15494.6</v>
      </c>
      <c r="E632" s="160">
        <v>774.73</v>
      </c>
      <c r="F632" s="160">
        <v>1</v>
      </c>
      <c r="G632" s="161">
        <v>20</v>
      </c>
      <c r="H632" s="7"/>
      <c r="I632" s="7"/>
      <c r="J632" s="25" t="s">
        <v>87</v>
      </c>
      <c r="K632" s="26">
        <v>136.58000000000001</v>
      </c>
      <c r="L632" s="46">
        <f>G633*K632</f>
        <v>3004.76</v>
      </c>
      <c r="M632" s="42" t="s">
        <v>27</v>
      </c>
      <c r="N632" s="45">
        <v>50600</v>
      </c>
      <c r="O632" s="1">
        <v>0.88300000000000001</v>
      </c>
      <c r="P632" s="161">
        <f>N632*O632</f>
        <v>44679.8</v>
      </c>
      <c r="Q632" s="160"/>
      <c r="R632" s="160"/>
      <c r="S632" s="7"/>
      <c r="T632" s="7"/>
      <c r="U632" s="7"/>
      <c r="V632" s="161">
        <f>T632*U632</f>
        <v>0</v>
      </c>
    </row>
    <row r="633" spans="1:22" s="179" customFormat="1" x14ac:dyDescent="0.25">
      <c r="A633" s="6"/>
      <c r="C633" s="69" t="s">
        <v>124</v>
      </c>
      <c r="D633" s="160">
        <f>G633*E633</f>
        <v>6894.14</v>
      </c>
      <c r="E633" s="160">
        <v>313.37</v>
      </c>
      <c r="F633" s="160">
        <v>1.1000000000000001</v>
      </c>
      <c r="G633" s="161">
        <f>G632*F633</f>
        <v>22</v>
      </c>
      <c r="H633" s="1"/>
      <c r="I633" s="1"/>
      <c r="J633" s="25"/>
      <c r="K633" s="26"/>
      <c r="L633" s="46"/>
      <c r="M633" s="42"/>
      <c r="N633" s="2"/>
      <c r="O633" s="1"/>
      <c r="P633" s="161"/>
      <c r="Q633" s="160"/>
      <c r="R633" s="160"/>
      <c r="S633" s="7"/>
      <c r="T633" s="7"/>
      <c r="U633" s="7"/>
      <c r="V633" s="161">
        <f t="shared" ref="V633" si="29">T633*U633</f>
        <v>0</v>
      </c>
    </row>
    <row r="634" spans="1:22" s="179" customFormat="1" x14ac:dyDescent="0.25">
      <c r="A634" s="6"/>
      <c r="C634" s="10" t="s">
        <v>4</v>
      </c>
      <c r="D634" s="161">
        <f>SUM(D632:D633)</f>
        <v>22388.74</v>
      </c>
      <c r="E634" s="161">
        <f>SUM(E632:E633)</f>
        <v>1088.0999999999999</v>
      </c>
      <c r="F634" s="10"/>
      <c r="G634" s="165">
        <f>SUM(G632:G633)</f>
        <v>42</v>
      </c>
      <c r="I634" s="165">
        <f>SUM(I632:I633)</f>
        <v>0</v>
      </c>
      <c r="L634" s="47">
        <f>SUM(L632:L633)</f>
        <v>3004.76</v>
      </c>
      <c r="N634" s="89">
        <f>SUM(N632:N633)</f>
        <v>50600</v>
      </c>
      <c r="P634" s="165">
        <f>SUM(P632:P633)</f>
        <v>44679.8</v>
      </c>
      <c r="R634" s="165">
        <f>SUM(R632:R633)</f>
        <v>0</v>
      </c>
      <c r="V634" s="165">
        <f>SUM(V632:V633)</f>
        <v>0</v>
      </c>
    </row>
    <row r="635" spans="1:22" s="179" customFormat="1" x14ac:dyDescent="0.25">
      <c r="C635" s="4"/>
      <c r="D635" s="3"/>
      <c r="E635" s="3"/>
      <c r="F635" s="3"/>
      <c r="G635" s="4"/>
      <c r="H635" s="4"/>
      <c r="I635" s="4"/>
      <c r="M635" s="182"/>
      <c r="N635" s="4"/>
      <c r="O635" s="4"/>
      <c r="P635" s="4"/>
      <c r="Q635" s="4"/>
      <c r="R635" s="4"/>
      <c r="S635" s="4"/>
      <c r="T635" s="4"/>
      <c r="U635" s="4"/>
      <c r="V635" s="4"/>
    </row>
    <row r="636" spans="1:22" s="179" customFormat="1" x14ac:dyDescent="0.25">
      <c r="C636" s="4"/>
      <c r="D636" s="3"/>
      <c r="E636" s="3"/>
      <c r="F636" s="3"/>
      <c r="G636" s="4"/>
      <c r="H636" s="4"/>
      <c r="K636" s="162" t="s">
        <v>133</v>
      </c>
      <c r="L636" s="96">
        <f>(T638/G632)*100</f>
        <v>50</v>
      </c>
      <c r="M636" s="182"/>
      <c r="O636" s="4"/>
      <c r="P636" s="4"/>
      <c r="Q636" s="4"/>
      <c r="R636" s="4"/>
      <c r="S636" s="4"/>
    </row>
    <row r="637" spans="1:22" s="179" customFormat="1" x14ac:dyDescent="0.25">
      <c r="C637" s="4"/>
      <c r="D637" s="3"/>
      <c r="E637" s="3"/>
      <c r="F637" s="3"/>
      <c r="G637" s="4"/>
      <c r="H637" s="4"/>
      <c r="K637" s="159" t="s">
        <v>134</v>
      </c>
      <c r="L637" s="97">
        <f>(S638/(E634)*100)</f>
        <v>82.518150905247694</v>
      </c>
      <c r="M637" s="182"/>
      <c r="R637" s="5" t="s">
        <v>11</v>
      </c>
      <c r="S637" s="5" t="s">
        <v>12</v>
      </c>
      <c r="T637" s="5" t="s">
        <v>0</v>
      </c>
    </row>
    <row r="638" spans="1:22" s="179" customFormat="1" x14ac:dyDescent="0.25">
      <c r="C638" s="4"/>
      <c r="D638" s="3"/>
      <c r="E638" s="3"/>
      <c r="F638" s="3"/>
      <c r="G638" s="4"/>
      <c r="H638" s="4"/>
      <c r="K638" s="162" t="s">
        <v>135</v>
      </c>
      <c r="L638" s="96">
        <f>(R638/D634)*100</f>
        <v>40.104088037111509</v>
      </c>
      <c r="P638" s="4"/>
      <c r="Q638" s="5" t="s">
        <v>3</v>
      </c>
      <c r="R638" s="9">
        <f>T638*S638</f>
        <v>8978.7999999999993</v>
      </c>
      <c r="S638" s="9">
        <v>897.88</v>
      </c>
      <c r="T638" s="22">
        <f>G632*0.5</f>
        <v>10</v>
      </c>
    </row>
    <row r="639" spans="1:22" s="179" customFormat="1" ht="17.25" x14ac:dyDescent="0.25">
      <c r="C639" s="4"/>
      <c r="D639" s="3"/>
      <c r="E639" s="3"/>
      <c r="F639" s="3"/>
      <c r="G639" s="4"/>
      <c r="H639" s="4"/>
      <c r="K639" s="159" t="s">
        <v>136</v>
      </c>
      <c r="L639" s="13">
        <f>(D634+I634+L634+P634+R634+V634)/R638</f>
        <v>7.8043056978660852</v>
      </c>
      <c r="O639" s="4"/>
      <c r="P639" s="4"/>
      <c r="S639" s="181"/>
      <c r="T639" s="3"/>
    </row>
    <row r="640" spans="1:22" s="179" customFormat="1" ht="17.25" x14ac:dyDescent="0.25">
      <c r="C640" s="4"/>
      <c r="D640" s="3"/>
      <c r="E640" s="3"/>
      <c r="F640" s="3"/>
      <c r="G640" s="4"/>
      <c r="H640" s="4"/>
      <c r="I640" s="4"/>
      <c r="K640" s="163" t="s">
        <v>137</v>
      </c>
      <c r="L640" s="15">
        <f>(D634+I634+L634)/R638</f>
        <v>2.8281618924577896</v>
      </c>
      <c r="N640" s="163" t="s">
        <v>139</v>
      </c>
      <c r="O640" s="93">
        <f>G632/N634*1000</f>
        <v>0.39525691699604742</v>
      </c>
      <c r="P640" s="4"/>
      <c r="S640" s="4"/>
    </row>
    <row r="641" spans="1:22" s="179" customFormat="1" ht="17.25" x14ac:dyDescent="0.25">
      <c r="C641" s="4"/>
      <c r="D641" s="3"/>
      <c r="E641" s="3"/>
      <c r="F641" s="3"/>
      <c r="G641" s="4"/>
      <c r="H641" s="4"/>
      <c r="I641" s="4"/>
      <c r="K641" s="164" t="s">
        <v>138</v>
      </c>
      <c r="L641" s="16">
        <f>(P634+V634)/R638</f>
        <v>4.976143805408296</v>
      </c>
      <c r="M641" s="4"/>
      <c r="N641" s="4"/>
      <c r="O641" s="4"/>
      <c r="P641" s="4"/>
      <c r="U641" s="4"/>
      <c r="V641" s="4"/>
    </row>
    <row r="642" spans="1:22" s="179" customFormat="1" x14ac:dyDescent="0.25">
      <c r="C642" s="6"/>
      <c r="E642" s="3"/>
      <c r="F642" s="3"/>
      <c r="G642" s="4"/>
      <c r="H642" s="4"/>
      <c r="I642" s="4"/>
      <c r="K642" s="4"/>
      <c r="M642" s="4"/>
      <c r="P642" s="4"/>
      <c r="Q642" s="4"/>
      <c r="R642" s="4"/>
      <c r="S642" s="4"/>
      <c r="T642" s="4"/>
      <c r="U642" s="4"/>
      <c r="V642" s="4"/>
    </row>
    <row r="643" spans="1:22" s="179" customFormat="1" x14ac:dyDescent="0.25">
      <c r="D643" s="181"/>
      <c r="E643" s="181"/>
      <c r="F643" s="181"/>
    </row>
    <row r="644" spans="1:22" s="180" customFormat="1" ht="18" x14ac:dyDescent="0.3">
      <c r="A644" s="184" t="s">
        <v>171</v>
      </c>
      <c r="D644" s="169"/>
      <c r="E644" s="169"/>
      <c r="F644" s="169"/>
    </row>
    <row r="645" spans="1:22" s="179" customFormat="1" x14ac:dyDescent="0.25">
      <c r="B645" s="4"/>
      <c r="C645" s="6" t="s">
        <v>26</v>
      </c>
      <c r="D645" s="181"/>
      <c r="E645" s="181"/>
      <c r="F645" s="181"/>
    </row>
    <row r="646" spans="1:22" s="179" customFormat="1" ht="34.5" x14ac:dyDescent="0.25">
      <c r="C646" s="17" t="s">
        <v>14</v>
      </c>
      <c r="D646" s="20" t="s">
        <v>21</v>
      </c>
      <c r="E646" s="20" t="s">
        <v>94</v>
      </c>
      <c r="F646" s="17" t="s">
        <v>13</v>
      </c>
      <c r="G646" s="17" t="s">
        <v>15</v>
      </c>
      <c r="H646" s="18" t="s">
        <v>1</v>
      </c>
      <c r="I646" s="19" t="s">
        <v>25</v>
      </c>
      <c r="J646" s="17" t="s">
        <v>2</v>
      </c>
      <c r="K646" s="20" t="s">
        <v>94</v>
      </c>
      <c r="L646" s="20" t="s">
        <v>22</v>
      </c>
      <c r="M646" s="19" t="s">
        <v>8</v>
      </c>
      <c r="N646" s="19" t="s">
        <v>16</v>
      </c>
      <c r="O646" s="19" t="s">
        <v>17</v>
      </c>
      <c r="P646" s="19" t="s">
        <v>18</v>
      </c>
      <c r="Q646" s="20" t="s">
        <v>10</v>
      </c>
      <c r="R646" s="20" t="s">
        <v>23</v>
      </c>
      <c r="S646" s="19" t="s">
        <v>9</v>
      </c>
      <c r="T646" s="19" t="s">
        <v>19</v>
      </c>
      <c r="U646" s="19" t="s">
        <v>20</v>
      </c>
      <c r="V646" s="19" t="s">
        <v>24</v>
      </c>
    </row>
    <row r="647" spans="1:22" s="179" customFormat="1" x14ac:dyDescent="0.25">
      <c r="A647" s="6" t="s">
        <v>184</v>
      </c>
      <c r="C647" s="176" t="s">
        <v>57</v>
      </c>
      <c r="D647" s="56">
        <f>G647*E647</f>
        <v>4244</v>
      </c>
      <c r="E647" s="160">
        <v>212.2</v>
      </c>
      <c r="F647" s="160">
        <v>1</v>
      </c>
      <c r="G647" s="161">
        <v>20</v>
      </c>
      <c r="H647" s="7"/>
      <c r="I647" s="7"/>
      <c r="J647" s="25" t="s">
        <v>91</v>
      </c>
      <c r="K647" s="26">
        <v>318.18</v>
      </c>
      <c r="L647" s="46">
        <f>G648*K647</f>
        <v>6999.96</v>
      </c>
      <c r="M647" s="42" t="s">
        <v>27</v>
      </c>
      <c r="N647" s="45">
        <v>50600</v>
      </c>
      <c r="O647" s="1">
        <v>0.88300000000000001</v>
      </c>
      <c r="P647" s="161">
        <f>N647*O647</f>
        <v>44679.8</v>
      </c>
      <c r="Q647" s="160"/>
      <c r="R647" s="160"/>
      <c r="S647" s="7"/>
      <c r="T647" s="7"/>
      <c r="U647" s="7"/>
      <c r="V647" s="161">
        <f>T647*U647</f>
        <v>0</v>
      </c>
    </row>
    <row r="648" spans="1:22" s="179" customFormat="1" x14ac:dyDescent="0.25">
      <c r="A648" s="6"/>
      <c r="C648" s="160" t="s">
        <v>59</v>
      </c>
      <c r="D648" s="160">
        <f>G648*E648</f>
        <v>4274.16</v>
      </c>
      <c r="E648" s="160">
        <v>194.28</v>
      </c>
      <c r="F648" s="160">
        <v>1.1000000000000001</v>
      </c>
      <c r="G648" s="161">
        <f>G647*1.1</f>
        <v>22</v>
      </c>
      <c r="H648" s="1"/>
      <c r="I648" s="1"/>
      <c r="J648" s="25"/>
      <c r="K648" s="26"/>
      <c r="L648" s="46"/>
      <c r="M648" s="42"/>
      <c r="N648" s="2"/>
      <c r="O648" s="1"/>
      <c r="P648" s="161"/>
      <c r="Q648" s="160"/>
      <c r="R648" s="160"/>
      <c r="S648" s="7"/>
      <c r="T648" s="7"/>
      <c r="U648" s="7"/>
      <c r="V648" s="161">
        <f t="shared" ref="V648" si="30">T648*U648</f>
        <v>0</v>
      </c>
    </row>
    <row r="649" spans="1:22" s="179" customFormat="1" x14ac:dyDescent="0.25">
      <c r="A649" s="6"/>
      <c r="C649" s="10" t="s">
        <v>4</v>
      </c>
      <c r="D649" s="161">
        <f>SUM(D647:D648)</f>
        <v>8518.16</v>
      </c>
      <c r="E649" s="161">
        <f>SUM(E647:E648)</f>
        <v>406.48</v>
      </c>
      <c r="F649" s="10"/>
      <c r="G649" s="165">
        <f>SUM(G647:G648)</f>
        <v>42</v>
      </c>
      <c r="I649" s="165">
        <f>SUM(I647:I648)</f>
        <v>0</v>
      </c>
      <c r="L649" s="47">
        <f>SUM(L647:L648)</f>
        <v>6999.96</v>
      </c>
      <c r="N649" s="89">
        <f>SUM(N647:N648)</f>
        <v>50600</v>
      </c>
      <c r="P649" s="165">
        <f>SUM(P647:P648)</f>
        <v>44679.8</v>
      </c>
      <c r="R649" s="165">
        <f>SUM(R647:R648)</f>
        <v>0</v>
      </c>
      <c r="V649" s="165">
        <f>SUM(V647:V648)</f>
        <v>0</v>
      </c>
    </row>
    <row r="650" spans="1:22" s="179" customFormat="1" x14ac:dyDescent="0.25">
      <c r="A650" s="6"/>
      <c r="C650" s="4"/>
      <c r="D650" s="3"/>
      <c r="E650" s="3"/>
      <c r="F650" s="3"/>
      <c r="G650" s="4"/>
      <c r="H650" s="4"/>
      <c r="I650" s="4"/>
      <c r="M650" s="182"/>
      <c r="N650" s="4"/>
      <c r="O650" s="4"/>
      <c r="P650" s="4"/>
      <c r="Q650" s="4"/>
      <c r="R650" s="4"/>
      <c r="S650" s="4"/>
      <c r="T650" s="4"/>
      <c r="U650" s="4"/>
      <c r="V650" s="4"/>
    </row>
    <row r="651" spans="1:22" s="179" customFormat="1" x14ac:dyDescent="0.25">
      <c r="A651" s="6"/>
      <c r="C651" s="4"/>
      <c r="D651" s="3"/>
      <c r="E651" s="3"/>
      <c r="F651" s="3"/>
      <c r="G651" s="4"/>
      <c r="H651" s="4"/>
      <c r="K651" s="162" t="s">
        <v>133</v>
      </c>
      <c r="L651" s="96">
        <f>(T653/G647)*100</f>
        <v>50</v>
      </c>
      <c r="M651" s="182"/>
      <c r="O651" s="4"/>
      <c r="P651" s="4"/>
      <c r="Q651" s="4"/>
      <c r="R651" s="4"/>
      <c r="S651" s="4"/>
    </row>
    <row r="652" spans="1:22" s="179" customFormat="1" x14ac:dyDescent="0.25">
      <c r="A652" s="6"/>
      <c r="C652" s="4"/>
      <c r="D652" s="3"/>
      <c r="E652" s="3"/>
      <c r="F652" s="3"/>
      <c r="G652" s="4"/>
      <c r="H652" s="4"/>
      <c r="K652" s="159" t="s">
        <v>134</v>
      </c>
      <c r="L652" s="97">
        <f>(S653/(E649)*100)</f>
        <v>95.566817555599286</v>
      </c>
      <c r="M652" s="182"/>
      <c r="R652" s="5" t="s">
        <v>11</v>
      </c>
      <c r="S652" s="5" t="s">
        <v>12</v>
      </c>
      <c r="T652" s="5" t="s">
        <v>0</v>
      </c>
    </row>
    <row r="653" spans="1:22" s="179" customFormat="1" x14ac:dyDescent="0.25">
      <c r="A653" s="6"/>
      <c r="C653" s="4"/>
      <c r="D653" s="3"/>
      <c r="E653" s="3"/>
      <c r="F653" s="3"/>
      <c r="G653" s="4"/>
      <c r="H653" s="4"/>
      <c r="K653" s="162" t="s">
        <v>135</v>
      </c>
      <c r="L653" s="96">
        <f>(R653/D649)*100</f>
        <v>45.603745409806812</v>
      </c>
      <c r="P653" s="4"/>
      <c r="Q653" s="5" t="s">
        <v>3</v>
      </c>
      <c r="R653" s="9">
        <f>T653*S653</f>
        <v>3884.6</v>
      </c>
      <c r="S653" s="9">
        <v>388.46</v>
      </c>
      <c r="T653" s="22">
        <f>G647*0.5</f>
        <v>10</v>
      </c>
    </row>
    <row r="654" spans="1:22" s="179" customFormat="1" ht="17.25" x14ac:dyDescent="0.25">
      <c r="A654" s="6"/>
      <c r="C654" s="4"/>
      <c r="D654" s="3"/>
      <c r="E654" s="3"/>
      <c r="F654" s="3"/>
      <c r="G654" s="4"/>
      <c r="H654" s="4"/>
      <c r="K654" s="159" t="s">
        <v>136</v>
      </c>
      <c r="L654" s="13">
        <f>(D649+I649+L649+P649+R649+V649)/R653</f>
        <v>15.496555629923288</v>
      </c>
      <c r="O654" s="4"/>
      <c r="P654" s="4"/>
      <c r="S654" s="181"/>
      <c r="T654" s="3"/>
    </row>
    <row r="655" spans="1:22" s="179" customFormat="1" ht="17.25" x14ac:dyDescent="0.25">
      <c r="A655" s="6"/>
      <c r="C655" s="4"/>
      <c r="D655" s="3"/>
      <c r="E655" s="3"/>
      <c r="F655" s="3"/>
      <c r="G655" s="4"/>
      <c r="H655" s="4"/>
      <c r="I655" s="4"/>
      <c r="K655" s="163" t="s">
        <v>137</v>
      </c>
      <c r="L655" s="15">
        <f>(D649+I649+L649)/R653</f>
        <v>3.9947793852648918</v>
      </c>
      <c r="N655" s="163" t="s">
        <v>139</v>
      </c>
      <c r="O655" s="93">
        <f>G647/N649*1000</f>
        <v>0.39525691699604742</v>
      </c>
      <c r="P655" s="4"/>
      <c r="S655" s="4"/>
    </row>
    <row r="656" spans="1:22" s="179" customFormat="1" ht="17.25" x14ac:dyDescent="0.25">
      <c r="A656" s="6"/>
      <c r="C656" s="4"/>
      <c r="D656" s="3"/>
      <c r="E656" s="3"/>
      <c r="F656" s="3"/>
      <c r="G656" s="4"/>
      <c r="H656" s="4"/>
      <c r="I656" s="4"/>
      <c r="K656" s="164" t="s">
        <v>138</v>
      </c>
      <c r="L656" s="16">
        <f>(P649+V649)/R653</f>
        <v>11.501776244658396</v>
      </c>
      <c r="M656" s="4"/>
      <c r="N656" s="4"/>
      <c r="O656" s="4"/>
      <c r="P656" s="4"/>
      <c r="U656" s="4"/>
      <c r="V656" s="4"/>
    </row>
    <row r="657" spans="1:22" s="179" customFormat="1" x14ac:dyDescent="0.25">
      <c r="A657" s="6"/>
      <c r="C657" s="6"/>
      <c r="E657" s="3"/>
      <c r="F657" s="3"/>
      <c r="G657" s="4"/>
      <c r="H657" s="4"/>
      <c r="I657" s="4"/>
      <c r="K657" s="4"/>
      <c r="M657" s="4"/>
      <c r="P657" s="4"/>
      <c r="Q657" s="4"/>
      <c r="R657" s="4"/>
      <c r="S657" s="4"/>
      <c r="T657" s="4"/>
      <c r="U657" s="4"/>
      <c r="V657" s="4"/>
    </row>
    <row r="658" spans="1:22" s="179" customFormat="1" x14ac:dyDescent="0.25">
      <c r="A658" s="6"/>
      <c r="B658" s="4"/>
      <c r="C658" s="6" t="s">
        <v>26</v>
      </c>
      <c r="D658" s="181"/>
      <c r="E658" s="181"/>
      <c r="F658" s="181"/>
    </row>
    <row r="659" spans="1:22" s="179" customFormat="1" ht="34.5" x14ac:dyDescent="0.25">
      <c r="A659" s="6"/>
      <c r="C659" s="17" t="s">
        <v>14</v>
      </c>
      <c r="D659" s="20" t="s">
        <v>21</v>
      </c>
      <c r="E659" s="20" t="s">
        <v>94</v>
      </c>
      <c r="F659" s="17" t="s">
        <v>13</v>
      </c>
      <c r="G659" s="17" t="s">
        <v>15</v>
      </c>
      <c r="H659" s="18" t="s">
        <v>1</v>
      </c>
      <c r="I659" s="19" t="s">
        <v>25</v>
      </c>
      <c r="J659" s="17" t="s">
        <v>2</v>
      </c>
      <c r="K659" s="20" t="s">
        <v>94</v>
      </c>
      <c r="L659" s="20" t="s">
        <v>22</v>
      </c>
      <c r="M659" s="19" t="s">
        <v>8</v>
      </c>
      <c r="N659" s="19" t="s">
        <v>16</v>
      </c>
      <c r="O659" s="19" t="s">
        <v>17</v>
      </c>
      <c r="P659" s="19" t="s">
        <v>18</v>
      </c>
      <c r="Q659" s="20" t="s">
        <v>10</v>
      </c>
      <c r="R659" s="20" t="s">
        <v>23</v>
      </c>
      <c r="S659" s="19" t="s">
        <v>9</v>
      </c>
      <c r="T659" s="19" t="s">
        <v>19</v>
      </c>
      <c r="U659" s="19" t="s">
        <v>20</v>
      </c>
      <c r="V659" s="19" t="s">
        <v>24</v>
      </c>
    </row>
    <row r="660" spans="1:22" s="179" customFormat="1" x14ac:dyDescent="0.25">
      <c r="A660" s="6" t="s">
        <v>197</v>
      </c>
      <c r="C660" s="172" t="s">
        <v>119</v>
      </c>
      <c r="D660" s="56">
        <f>G660*E660</f>
        <v>15494.6</v>
      </c>
      <c r="E660" s="160">
        <v>774.73</v>
      </c>
      <c r="F660" s="160">
        <v>1</v>
      </c>
      <c r="G660" s="161">
        <v>20</v>
      </c>
      <c r="H660" s="7"/>
      <c r="I660" s="7"/>
      <c r="J660" s="25" t="s">
        <v>91</v>
      </c>
      <c r="K660" s="26">
        <v>318.18</v>
      </c>
      <c r="L660" s="46">
        <f>G661*K660</f>
        <v>6999.96</v>
      </c>
      <c r="M660" s="42" t="s">
        <v>27</v>
      </c>
      <c r="N660" s="45">
        <v>50600</v>
      </c>
      <c r="O660" s="1">
        <v>0.88300000000000001</v>
      </c>
      <c r="P660" s="161">
        <f>N660*O660</f>
        <v>44679.8</v>
      </c>
      <c r="Q660" s="160"/>
      <c r="R660" s="160"/>
      <c r="S660" s="7"/>
      <c r="T660" s="7"/>
      <c r="U660" s="7"/>
      <c r="V660" s="161">
        <f>T660*U660</f>
        <v>0</v>
      </c>
    </row>
    <row r="661" spans="1:22" s="179" customFormat="1" x14ac:dyDescent="0.25">
      <c r="A661" s="6"/>
      <c r="C661" s="69" t="s">
        <v>124</v>
      </c>
      <c r="D661" s="160">
        <f>G661*E661</f>
        <v>6894.14</v>
      </c>
      <c r="E661" s="160">
        <v>313.37</v>
      </c>
      <c r="F661" s="160">
        <v>1.1000000000000001</v>
      </c>
      <c r="G661" s="161">
        <f>G660*F661</f>
        <v>22</v>
      </c>
      <c r="H661" s="1"/>
      <c r="I661" s="1"/>
      <c r="J661" s="25"/>
      <c r="K661" s="26"/>
      <c r="L661" s="46"/>
      <c r="M661" s="42"/>
      <c r="N661" s="2"/>
      <c r="O661" s="1"/>
      <c r="P661" s="161"/>
      <c r="Q661" s="160"/>
      <c r="R661" s="160"/>
      <c r="S661" s="7"/>
      <c r="T661" s="7"/>
      <c r="U661" s="7"/>
      <c r="V661" s="161">
        <f t="shared" ref="V661" si="31">T661*U661</f>
        <v>0</v>
      </c>
    </row>
    <row r="662" spans="1:22" s="179" customFormat="1" x14ac:dyDescent="0.25">
      <c r="A662" s="6"/>
      <c r="C662" s="10" t="s">
        <v>4</v>
      </c>
      <c r="D662" s="161">
        <f>SUM(D660:D661)</f>
        <v>22388.74</v>
      </c>
      <c r="E662" s="161">
        <f>SUM(E660:E661)</f>
        <v>1088.0999999999999</v>
      </c>
      <c r="F662" s="10"/>
      <c r="G662" s="165">
        <f>SUM(G660:G661)</f>
        <v>42</v>
      </c>
      <c r="I662" s="165">
        <f>SUM(I660:I661)</f>
        <v>0</v>
      </c>
      <c r="L662" s="47">
        <f>SUM(L660:L661)</f>
        <v>6999.96</v>
      </c>
      <c r="N662" s="89">
        <f>SUM(N660:N661)</f>
        <v>50600</v>
      </c>
      <c r="P662" s="165">
        <f>SUM(P660:P661)</f>
        <v>44679.8</v>
      </c>
      <c r="R662" s="165">
        <f>SUM(R660:R661)</f>
        <v>0</v>
      </c>
      <c r="V662" s="165">
        <f>SUM(V660:V661)</f>
        <v>0</v>
      </c>
    </row>
    <row r="663" spans="1:22" s="179" customFormat="1" x14ac:dyDescent="0.25">
      <c r="C663" s="4"/>
      <c r="D663" s="3"/>
      <c r="E663" s="3"/>
      <c r="F663" s="3"/>
      <c r="G663" s="4"/>
      <c r="H663" s="4"/>
      <c r="I663" s="4"/>
      <c r="M663" s="182"/>
      <c r="N663" s="4"/>
      <c r="O663" s="4"/>
      <c r="P663" s="4"/>
      <c r="Q663" s="4"/>
      <c r="R663" s="4"/>
      <c r="S663" s="4"/>
      <c r="T663" s="4"/>
      <c r="U663" s="4"/>
      <c r="V663" s="4"/>
    </row>
    <row r="664" spans="1:22" s="179" customFormat="1" x14ac:dyDescent="0.25">
      <c r="C664" s="4"/>
      <c r="D664" s="3"/>
      <c r="E664" s="3"/>
      <c r="F664" s="3"/>
      <c r="G664" s="4"/>
      <c r="H664" s="4"/>
      <c r="K664" s="162" t="s">
        <v>133</v>
      </c>
      <c r="L664" s="96">
        <f>(T666/G660)*100</f>
        <v>50</v>
      </c>
      <c r="M664" s="182"/>
      <c r="O664" s="4"/>
      <c r="P664" s="4"/>
      <c r="Q664" s="4"/>
      <c r="R664" s="4"/>
      <c r="S664" s="4"/>
    </row>
    <row r="665" spans="1:22" s="179" customFormat="1" x14ac:dyDescent="0.25">
      <c r="C665" s="4"/>
      <c r="D665" s="3"/>
      <c r="E665" s="3"/>
      <c r="F665" s="3"/>
      <c r="G665" s="4"/>
      <c r="H665" s="4"/>
      <c r="K665" s="159" t="s">
        <v>134</v>
      </c>
      <c r="L665" s="97">
        <f>(S666/(E662)*100)</f>
        <v>82.518150905247694</v>
      </c>
      <c r="M665" s="182"/>
      <c r="R665" s="5" t="s">
        <v>11</v>
      </c>
      <c r="S665" s="5" t="s">
        <v>12</v>
      </c>
      <c r="T665" s="5" t="s">
        <v>0</v>
      </c>
    </row>
    <row r="666" spans="1:22" s="179" customFormat="1" x14ac:dyDescent="0.25">
      <c r="C666" s="4"/>
      <c r="D666" s="3"/>
      <c r="E666" s="3"/>
      <c r="F666" s="3"/>
      <c r="G666" s="4"/>
      <c r="H666" s="4"/>
      <c r="K666" s="162" t="s">
        <v>135</v>
      </c>
      <c r="L666" s="96">
        <f>(R666/D662)*100</f>
        <v>40.104088037111509</v>
      </c>
      <c r="P666" s="4"/>
      <c r="Q666" s="5" t="s">
        <v>3</v>
      </c>
      <c r="R666" s="9">
        <f>T666*S666</f>
        <v>8978.7999999999993</v>
      </c>
      <c r="S666" s="9">
        <v>897.88</v>
      </c>
      <c r="T666" s="22">
        <f>G660*0.5</f>
        <v>10</v>
      </c>
    </row>
    <row r="667" spans="1:22" s="179" customFormat="1" ht="17.25" x14ac:dyDescent="0.25">
      <c r="C667" s="4"/>
      <c r="D667" s="3"/>
      <c r="E667" s="3"/>
      <c r="F667" s="3"/>
      <c r="G667" s="4"/>
      <c r="H667" s="4"/>
      <c r="K667" s="159" t="s">
        <v>136</v>
      </c>
      <c r="L667" s="13">
        <f>(D662+I662+L662+P662+R662+V662)/R666</f>
        <v>8.2492649351806477</v>
      </c>
      <c r="O667" s="4"/>
      <c r="P667" s="4"/>
      <c r="S667" s="181"/>
      <c r="T667" s="3"/>
    </row>
    <row r="668" spans="1:22" s="179" customFormat="1" ht="17.25" x14ac:dyDescent="0.25">
      <c r="C668" s="4"/>
      <c r="D668" s="3"/>
      <c r="E668" s="3"/>
      <c r="F668" s="3"/>
      <c r="G668" s="4"/>
      <c r="H668" s="4"/>
      <c r="I668" s="4"/>
      <c r="K668" s="163" t="s">
        <v>137</v>
      </c>
      <c r="L668" s="15">
        <f>(D662+I662+L662)/R666</f>
        <v>3.273121129772353</v>
      </c>
      <c r="N668" s="163" t="s">
        <v>139</v>
      </c>
      <c r="O668" s="93">
        <f>G660/N662*1000</f>
        <v>0.39525691699604742</v>
      </c>
      <c r="P668" s="4"/>
      <c r="S668" s="4"/>
    </row>
    <row r="669" spans="1:22" s="179" customFormat="1" ht="17.25" x14ac:dyDescent="0.25">
      <c r="C669" s="4"/>
      <c r="D669" s="3"/>
      <c r="E669" s="3"/>
      <c r="F669" s="3"/>
      <c r="G669" s="4"/>
      <c r="H669" s="4"/>
      <c r="I669" s="4"/>
      <c r="K669" s="164" t="s">
        <v>138</v>
      </c>
      <c r="L669" s="16">
        <f>(P662+V662)/R666</f>
        <v>4.976143805408296</v>
      </c>
      <c r="M669" s="4"/>
      <c r="N669" s="4"/>
      <c r="O669" s="4"/>
      <c r="P669" s="4"/>
      <c r="U669" s="4"/>
      <c r="V669" s="4"/>
    </row>
    <row r="670" spans="1:22" s="179" customFormat="1" x14ac:dyDescent="0.25">
      <c r="C670" s="6"/>
      <c r="E670" s="3"/>
      <c r="F670" s="3"/>
      <c r="G670" s="4"/>
      <c r="H670" s="4"/>
      <c r="I670" s="4"/>
      <c r="K670" s="4"/>
      <c r="M670" s="4"/>
      <c r="P670" s="4"/>
      <c r="Q670" s="4"/>
      <c r="R670" s="4"/>
      <c r="S670" s="4"/>
      <c r="T670" s="4"/>
      <c r="U670" s="4"/>
      <c r="V670" s="4"/>
    </row>
    <row r="671" spans="1:22" s="179" customFormat="1" x14ac:dyDescent="0.25">
      <c r="D671" s="181"/>
      <c r="E671" s="181"/>
      <c r="F671" s="181"/>
    </row>
    <row r="672" spans="1:22" x14ac:dyDescent="0.25">
      <c r="C672" s="6"/>
      <c r="D672"/>
      <c r="E672" s="3"/>
      <c r="F672" s="3"/>
      <c r="G672" s="4"/>
      <c r="H672" s="4"/>
      <c r="I672" s="4"/>
      <c r="K672" s="4"/>
      <c r="M672" s="4"/>
      <c r="P672" s="4"/>
      <c r="Q672" s="4"/>
      <c r="R672" s="4"/>
      <c r="S672" s="4"/>
      <c r="T672" s="4"/>
      <c r="U672" s="4"/>
      <c r="V672" s="4"/>
    </row>
    <row r="673" spans="1:11" s="168" customFormat="1" x14ac:dyDescent="0.25">
      <c r="A673" s="167" t="s">
        <v>140</v>
      </c>
      <c r="C673" s="169"/>
      <c r="D673" s="169"/>
      <c r="E673" s="169"/>
    </row>
    <row r="675" spans="1:11" ht="15.75" x14ac:dyDescent="0.25">
      <c r="D675" s="111" t="s">
        <v>29</v>
      </c>
      <c r="E675" s="111" t="s">
        <v>30</v>
      </c>
      <c r="F675" s="111" t="s">
        <v>6</v>
      </c>
      <c r="G675" s="111" t="s">
        <v>7</v>
      </c>
      <c r="H675" s="111" t="s">
        <v>32</v>
      </c>
      <c r="I675" s="111" t="s">
        <v>34</v>
      </c>
      <c r="J675" s="111" t="s">
        <v>35</v>
      </c>
      <c r="K675" s="111" t="s">
        <v>5</v>
      </c>
    </row>
    <row r="676" spans="1:11" x14ac:dyDescent="0.25">
      <c r="D676" s="113"/>
      <c r="E676" s="113"/>
      <c r="F676" s="113" t="s">
        <v>31</v>
      </c>
      <c r="G676" s="113" t="s">
        <v>31</v>
      </c>
      <c r="H676" s="113" t="s">
        <v>33</v>
      </c>
      <c r="I676" s="113" t="s">
        <v>33</v>
      </c>
      <c r="J676" s="113" t="s">
        <v>33</v>
      </c>
      <c r="K676" s="113" t="s">
        <v>31</v>
      </c>
    </row>
    <row r="677" spans="1:11" x14ac:dyDescent="0.25">
      <c r="D677" s="127" t="str">
        <f>A1</f>
        <v>SOCl2 (1.1 eq, MW = 118.97 g mol-1), [Acid] = 0.4 M THF, Yield = 90%</v>
      </c>
      <c r="E677" s="127"/>
      <c r="F677" s="127"/>
      <c r="G677" s="127"/>
      <c r="H677" s="127"/>
      <c r="I677" s="127"/>
      <c r="J677" s="127"/>
      <c r="K677" s="139"/>
    </row>
    <row r="678" spans="1:11" x14ac:dyDescent="0.25">
      <c r="D678" s="90"/>
      <c r="E678" s="77" t="s">
        <v>184</v>
      </c>
      <c r="F678" s="91">
        <f>L9</f>
        <v>95.566817555599286</v>
      </c>
      <c r="G678" s="91">
        <f>L10</f>
        <v>82.086741737652261</v>
      </c>
      <c r="H678" s="92">
        <f>L11</f>
        <v>7.9697580760495859</v>
      </c>
      <c r="I678" s="92">
        <f>L12</f>
        <v>1.5925105974017058</v>
      </c>
      <c r="J678" s="92">
        <f>L13</f>
        <v>6.3772474786478801</v>
      </c>
      <c r="K678" s="79">
        <f>L8</f>
        <v>90</v>
      </c>
    </row>
    <row r="679" spans="1:11" x14ac:dyDescent="0.25">
      <c r="D679" s="102"/>
      <c r="E679" s="77" t="s">
        <v>203</v>
      </c>
      <c r="F679" s="99">
        <f>'Different coupling reagents'!L234</f>
        <v>95.566817555599286</v>
      </c>
      <c r="G679" s="100">
        <f>'Different coupling reagents'!L235</f>
        <v>81.174666829456115</v>
      </c>
      <c r="H679" s="101">
        <f>'Different coupling reagents'!L236</f>
        <v>8.0720760224614985</v>
      </c>
      <c r="I679" s="101">
        <f>'Different coupling reagents'!L237</f>
        <v>1.6104039749006014</v>
      </c>
      <c r="J679" s="101">
        <f>'Different coupling reagents'!L238</f>
        <v>6.4616720475608966</v>
      </c>
      <c r="K679" s="100">
        <f>'Different coupling reagents'!L233</f>
        <v>89</v>
      </c>
    </row>
    <row r="680" spans="1:11" s="179" customFormat="1" x14ac:dyDescent="0.25">
      <c r="D680" s="102"/>
      <c r="E680" s="77"/>
      <c r="F680" s="99">
        <f>L456</f>
        <v>95.566817555599286</v>
      </c>
      <c r="G680" s="99">
        <f>L457</f>
        <v>45.603745409806812</v>
      </c>
      <c r="H680" s="104">
        <f>L458</f>
        <v>14.345564536889254</v>
      </c>
      <c r="I680" s="104">
        <f>L459</f>
        <v>2.8665190753230703</v>
      </c>
      <c r="J680" s="104">
        <f>L460</f>
        <v>11.479045461566185</v>
      </c>
      <c r="K680" s="99">
        <v>50</v>
      </c>
    </row>
    <row r="681" spans="1:11" x14ac:dyDescent="0.25">
      <c r="D681" s="90"/>
      <c r="E681" s="77" t="s">
        <v>204</v>
      </c>
      <c r="F681" s="91">
        <f>L22</f>
        <v>82.518150905247694</v>
      </c>
      <c r="G681" s="91">
        <f>L23</f>
        <v>72.187358466800717</v>
      </c>
      <c r="H681" s="92">
        <f>L24</f>
        <v>4.3117404948941456</v>
      </c>
      <c r="I681" s="92">
        <f>L25</f>
        <v>1.5472161585562041</v>
      </c>
      <c r="J681" s="92">
        <f>L26</f>
        <v>2.7645243363379417</v>
      </c>
      <c r="K681" s="148">
        <f>L21</f>
        <v>90</v>
      </c>
    </row>
    <row r="682" spans="1:11" x14ac:dyDescent="0.25">
      <c r="D682" s="102"/>
      <c r="E682" s="141" t="s">
        <v>205</v>
      </c>
      <c r="F682" s="99">
        <f>'Different coupling reagents'!L247</f>
        <v>82.518150905247694</v>
      </c>
      <c r="G682" s="100">
        <f>'Different coupling reagents'!L248</f>
        <v>67.374867902347333</v>
      </c>
      <c r="H682" s="101">
        <f>'Different coupling reagents'!L249</f>
        <v>4.6197219588151563</v>
      </c>
      <c r="I682" s="101">
        <f>'Different coupling reagents'!L250</f>
        <v>1.6577315984530758</v>
      </c>
      <c r="J682" s="101">
        <f>'Different coupling reagents'!L251</f>
        <v>2.9619903603620807</v>
      </c>
      <c r="K682" s="100">
        <f>'Different coupling reagents'!L246</f>
        <v>84.000000000000014</v>
      </c>
    </row>
    <row r="683" spans="1:11" s="179" customFormat="1" x14ac:dyDescent="0.25">
      <c r="D683" s="102"/>
      <c r="E683" s="141"/>
      <c r="F683" s="99">
        <f>L469</f>
        <v>82.518150905247694</v>
      </c>
      <c r="G683" s="99">
        <f>L470</f>
        <v>40.104088037111509</v>
      </c>
      <c r="H683" s="104">
        <f>L471</f>
        <v>7.7611328908094634</v>
      </c>
      <c r="I683" s="104">
        <f>L472</f>
        <v>2.7849890854011674</v>
      </c>
      <c r="J683" s="104">
        <f>L473</f>
        <v>4.976143805408296</v>
      </c>
      <c r="K683" s="99">
        <v>50</v>
      </c>
    </row>
    <row r="684" spans="1:11" x14ac:dyDescent="0.25">
      <c r="D684" s="123" t="str">
        <f>A29</f>
        <v xml:space="preserve">(COCl)2 (1.1 eq, MW = 126.93 g mol-1), [Acid] = 0.4 M THF, Yield = 90% </v>
      </c>
      <c r="E684" s="123"/>
      <c r="F684" s="123"/>
      <c r="G684" s="123"/>
      <c r="H684" s="123"/>
      <c r="I684" s="123"/>
      <c r="J684" s="123"/>
      <c r="K684" s="140"/>
    </row>
    <row r="685" spans="1:11" x14ac:dyDescent="0.25">
      <c r="D685" s="141"/>
      <c r="E685" s="77" t="s">
        <v>184</v>
      </c>
      <c r="F685" s="99">
        <f>L37</f>
        <v>95.566817555599286</v>
      </c>
      <c r="G685" s="99">
        <f>L38</f>
        <v>82.086741737652261</v>
      </c>
      <c r="H685" s="104">
        <f>L39</f>
        <v>8.0074310525322225</v>
      </c>
      <c r="I685" s="104">
        <f>L40</f>
        <v>1.6175553610553353</v>
      </c>
      <c r="J685" s="104">
        <f>L41</f>
        <v>6.3898756914768864</v>
      </c>
      <c r="K685" s="79">
        <f>L36</f>
        <v>90</v>
      </c>
    </row>
    <row r="686" spans="1:11" x14ac:dyDescent="0.25">
      <c r="D686" s="141"/>
      <c r="E686" s="77" t="s">
        <v>203</v>
      </c>
      <c r="F686" s="99">
        <f>'Different coupling reagents'!L261</f>
        <v>95.566817555599286</v>
      </c>
      <c r="G686" s="99">
        <f>'Different coupling reagents'!L262</f>
        <v>81.174666829456115</v>
      </c>
      <c r="H686" s="104">
        <f>'Different coupling reagents'!L263</f>
        <v>8.0974021879539322</v>
      </c>
      <c r="I686" s="104">
        <f>'Different coupling reagents'!L264</f>
        <v>1.6357301403930358</v>
      </c>
      <c r="J686" s="104">
        <f>'Different coupling reagents'!L265</f>
        <v>6.4616720475608966</v>
      </c>
      <c r="K686" s="99">
        <f>'Different coupling reagents'!L260</f>
        <v>89</v>
      </c>
    </row>
    <row r="687" spans="1:11" s="179" customFormat="1" x14ac:dyDescent="0.25">
      <c r="D687" s="141"/>
      <c r="E687" s="77"/>
      <c r="F687" s="99">
        <f>L484</f>
        <v>95.566817555599286</v>
      </c>
      <c r="G687" s="99">
        <f>L485</f>
        <v>45.603745409806812</v>
      </c>
      <c r="H687" s="104">
        <f>L486</f>
        <v>14.413375894558</v>
      </c>
      <c r="I687" s="104">
        <f>L487</f>
        <v>2.9115996498996037</v>
      </c>
      <c r="J687" s="104">
        <f>L488</f>
        <v>11.501776244658396</v>
      </c>
      <c r="K687" s="99">
        <v>50</v>
      </c>
    </row>
    <row r="688" spans="1:11" x14ac:dyDescent="0.25">
      <c r="D688" s="130"/>
      <c r="E688" s="77" t="s">
        <v>204</v>
      </c>
      <c r="F688" s="99">
        <f>L50</f>
        <v>82.518150905247694</v>
      </c>
      <c r="G688" s="99">
        <f>L51</f>
        <v>72.187358466800717</v>
      </c>
      <c r="H688" s="104">
        <f>L52</f>
        <v>4.3225758948238564</v>
      </c>
      <c r="I688" s="104">
        <f>L53</f>
        <v>1.5580515584859151</v>
      </c>
      <c r="J688" s="104">
        <f>L54</f>
        <v>2.7645243363379417</v>
      </c>
      <c r="K688" s="79">
        <f>L49</f>
        <v>90</v>
      </c>
    </row>
    <row r="689" spans="4:11" x14ac:dyDescent="0.25">
      <c r="D689" s="130"/>
      <c r="E689" s="141" t="s">
        <v>205</v>
      </c>
      <c r="F689" s="99">
        <f>'Different coupling reagents'!L274</f>
        <v>82.518150905247694</v>
      </c>
      <c r="G689" s="99">
        <f>'Different coupling reagents'!L275</f>
        <v>67.374867902347333</v>
      </c>
      <c r="H689" s="104">
        <f>'Different coupling reagents'!L276</f>
        <v>4.6313313158827034</v>
      </c>
      <c r="I689" s="104">
        <f>'Different coupling reagents'!L277</f>
        <v>1.6693409555206233</v>
      </c>
      <c r="J689" s="104">
        <f>'Different coupling reagents'!L278</f>
        <v>2.9619903603620807</v>
      </c>
      <c r="K689" s="99">
        <f>'Different coupling reagents'!L273</f>
        <v>84.000000000000014</v>
      </c>
    </row>
    <row r="690" spans="4:11" s="179" customFormat="1" x14ac:dyDescent="0.25">
      <c r="D690" s="181"/>
      <c r="E690" s="141"/>
      <c r="F690" s="99">
        <f>L497</f>
        <v>82.518150905247694</v>
      </c>
      <c r="G690" s="99">
        <f>L498</f>
        <v>40.104088037111509</v>
      </c>
      <c r="H690" s="104">
        <f>L499</f>
        <v>7.7806366106829428</v>
      </c>
      <c r="I690" s="104">
        <f>L500</f>
        <v>2.8044928052746476</v>
      </c>
      <c r="J690" s="104">
        <f>L501</f>
        <v>4.976143805408296</v>
      </c>
      <c r="K690" s="99">
        <v>50</v>
      </c>
    </row>
    <row r="691" spans="4:11" x14ac:dyDescent="0.25">
      <c r="D691" s="123" t="str">
        <f>A57</f>
        <v>CDI (1.1 eq, MW = 162.15 g mol-1), [Acid] = 0.4 M THF, Yield = 90%</v>
      </c>
      <c r="E691" s="123"/>
      <c r="F691" s="123"/>
      <c r="G691" s="123"/>
      <c r="H691" s="123"/>
      <c r="I691" s="123"/>
      <c r="J691" s="123"/>
      <c r="K691" s="142"/>
    </row>
    <row r="692" spans="4:11" x14ac:dyDescent="0.25">
      <c r="D692" s="130"/>
      <c r="E692" s="77" t="s">
        <v>184</v>
      </c>
      <c r="F692" s="99">
        <f>L65</f>
        <v>95.566817555599286</v>
      </c>
      <c r="G692" s="99">
        <f>L66</f>
        <v>82.086741737652261</v>
      </c>
      <c r="H692" s="104">
        <f>L67</f>
        <v>8.118276155989177</v>
      </c>
      <c r="I692" s="104">
        <f>L68</f>
        <v>1.7284004645122906</v>
      </c>
      <c r="J692" s="104">
        <f>L69</f>
        <v>6.3898756914768864</v>
      </c>
      <c r="K692" s="79">
        <f>L64</f>
        <v>90</v>
      </c>
    </row>
    <row r="693" spans="4:11" x14ac:dyDescent="0.25">
      <c r="D693" s="130"/>
      <c r="E693" s="77" t="s">
        <v>203</v>
      </c>
      <c r="F693" s="99">
        <f>'Different coupling reagents'!L289</f>
        <v>95.566817555599286</v>
      </c>
      <c r="G693" s="99">
        <f>'Different coupling reagents'!L290</f>
        <v>81.174666829456115</v>
      </c>
      <c r="H693" s="104">
        <f>'Different coupling reagents'!L291</f>
        <v>8.2094927420115269</v>
      </c>
      <c r="I693" s="104">
        <f>'Different coupling reagents'!L292</f>
        <v>1.7478206944506309</v>
      </c>
      <c r="J693" s="104">
        <f>'Different coupling reagents'!L293</f>
        <v>6.4616720475608966</v>
      </c>
      <c r="K693" s="99">
        <f>'Different coupling reagents'!L288</f>
        <v>89</v>
      </c>
    </row>
    <row r="694" spans="4:11" s="179" customFormat="1" x14ac:dyDescent="0.25">
      <c r="D694" s="181"/>
      <c r="E694" s="77"/>
      <c r="F694" s="99">
        <f>L512</f>
        <v>95.566817555599286</v>
      </c>
      <c r="G694" s="99">
        <f>L513</f>
        <v>45.603745409806812</v>
      </c>
      <c r="H694" s="104">
        <f>L514</f>
        <v>14.612897080780519</v>
      </c>
      <c r="I694" s="104">
        <f>L515</f>
        <v>3.1111208361221232</v>
      </c>
      <c r="J694" s="104">
        <f>L516</f>
        <v>11.501776244658396</v>
      </c>
      <c r="K694" s="99">
        <v>50</v>
      </c>
    </row>
    <row r="695" spans="4:11" x14ac:dyDescent="0.25">
      <c r="D695" s="130"/>
      <c r="E695" s="77" t="s">
        <v>204</v>
      </c>
      <c r="F695" s="99">
        <f>L78</f>
        <v>82.518150905247694</v>
      </c>
      <c r="G695" s="99">
        <f>L79</f>
        <v>72.187358466800717</v>
      </c>
      <c r="H695" s="104">
        <f>L80</f>
        <v>4.3705320681308564</v>
      </c>
      <c r="I695" s="104">
        <f>L81</f>
        <v>1.6060077317929147</v>
      </c>
      <c r="J695" s="104">
        <f>L82</f>
        <v>2.7645243363379417</v>
      </c>
      <c r="K695" s="79">
        <f>L77</f>
        <v>90</v>
      </c>
    </row>
    <row r="696" spans="4:11" x14ac:dyDescent="0.25">
      <c r="D696" s="130"/>
      <c r="E696" s="141" t="s">
        <v>205</v>
      </c>
      <c r="F696" s="79">
        <f>'Different coupling reagents'!L302</f>
        <v>82.518150905247694</v>
      </c>
      <c r="G696" s="79">
        <f>'Different coupling reagents'!L303</f>
        <v>67.374867902347333</v>
      </c>
      <c r="H696" s="85">
        <f>'Different coupling reagents'!L304</f>
        <v>4.6827129301402026</v>
      </c>
      <c r="I696" s="85">
        <f>'Different coupling reagents'!L305</f>
        <v>1.720722569778123</v>
      </c>
      <c r="J696" s="85">
        <f>'Different coupling reagents'!L306</f>
        <v>2.9619903603620807</v>
      </c>
      <c r="K696" s="79">
        <f>'Different coupling reagents'!L301</f>
        <v>84.000000000000014</v>
      </c>
    </row>
    <row r="697" spans="4:11" s="179" customFormat="1" x14ac:dyDescent="0.25">
      <c r="D697" s="181"/>
      <c r="E697" s="141"/>
      <c r="F697" s="79">
        <f>L525</f>
        <v>82.518150905247694</v>
      </c>
      <c r="G697" s="79">
        <f>L526</f>
        <v>40.104088037111509</v>
      </c>
      <c r="H697" s="85">
        <f>L527</f>
        <v>7.8669577226355418</v>
      </c>
      <c r="I697" s="85">
        <f>L528</f>
        <v>2.8908139172272467</v>
      </c>
      <c r="J697" s="85">
        <f>L529</f>
        <v>4.976143805408296</v>
      </c>
      <c r="K697" s="99">
        <v>50</v>
      </c>
    </row>
    <row r="698" spans="4:11" x14ac:dyDescent="0.25">
      <c r="D698" s="123" t="str">
        <f>A85</f>
        <v>DCC (1.1 eq, MW = 206.33 g mol-1), [Acid] = 0.4 M THF, Yield = 90%</v>
      </c>
      <c r="E698" s="123"/>
      <c r="F698" s="123"/>
      <c r="G698" s="123"/>
      <c r="H698" s="123"/>
      <c r="I698" s="123"/>
      <c r="J698" s="123"/>
      <c r="K698" s="142"/>
    </row>
    <row r="699" spans="4:11" x14ac:dyDescent="0.25">
      <c r="D699" s="130"/>
      <c r="E699" s="77" t="s">
        <v>184</v>
      </c>
      <c r="F699" s="99">
        <f>L93</f>
        <v>95.566817555599286</v>
      </c>
      <c r="G699" s="99">
        <f>L94</f>
        <v>82.086741737652261</v>
      </c>
      <c r="H699" s="104">
        <f>L95</f>
        <v>8.2572808869210039</v>
      </c>
      <c r="I699" s="104">
        <f>L96</f>
        <v>1.8674051954441184</v>
      </c>
      <c r="J699" s="104">
        <f>L97</f>
        <v>6.3898756914768864</v>
      </c>
      <c r="K699" s="79">
        <f>L92</f>
        <v>90</v>
      </c>
    </row>
    <row r="700" spans="4:11" x14ac:dyDescent="0.25">
      <c r="D700" s="130"/>
      <c r="E700" s="77" t="s">
        <v>203</v>
      </c>
      <c r="F700" s="151">
        <f>'Different coupling reagents'!L317</f>
        <v>95.566817555599286</v>
      </c>
      <c r="G700" s="151">
        <f>'Different coupling reagents'!L318</f>
        <v>81.174666829456115</v>
      </c>
      <c r="H700" s="152">
        <f>'Different coupling reagents'!L319</f>
        <v>8.350059323852701</v>
      </c>
      <c r="I700" s="152">
        <f>'Different coupling reagents'!L320</f>
        <v>1.8883872762918053</v>
      </c>
      <c r="J700" s="152">
        <f>'Different coupling reagents'!L321</f>
        <v>6.4616720475608966</v>
      </c>
      <c r="K700" s="151">
        <f>'Different coupling reagents'!L316</f>
        <v>89</v>
      </c>
    </row>
    <row r="701" spans="4:11" s="179" customFormat="1" x14ac:dyDescent="0.25">
      <c r="D701" s="181"/>
      <c r="E701" s="77"/>
      <c r="F701" s="151">
        <f>L540</f>
        <v>95.566817555599286</v>
      </c>
      <c r="G701" s="151">
        <f>L541</f>
        <v>45.603745409806812</v>
      </c>
      <c r="H701" s="152">
        <f>L542</f>
        <v>14.863105596457808</v>
      </c>
      <c r="I701" s="152">
        <f>L543</f>
        <v>3.3613293517994132</v>
      </c>
      <c r="J701" s="152">
        <f>L544</f>
        <v>11.501776244658396</v>
      </c>
      <c r="K701" s="99">
        <v>50</v>
      </c>
    </row>
    <row r="702" spans="4:11" x14ac:dyDescent="0.25">
      <c r="D702" s="130"/>
      <c r="E702" s="77" t="s">
        <v>204</v>
      </c>
      <c r="F702" s="99">
        <f>L106</f>
        <v>82.518150905247694</v>
      </c>
      <c r="G702" s="99">
        <f>L107</f>
        <v>72.187358466800717</v>
      </c>
      <c r="H702" s="104">
        <f>L108</f>
        <v>4.430671260203046</v>
      </c>
      <c r="I702" s="104">
        <f>L109</f>
        <v>1.6661469238651045</v>
      </c>
      <c r="J702" s="104">
        <f>L110</f>
        <v>2.7645243363379417</v>
      </c>
      <c r="K702" s="79">
        <f>L105</f>
        <v>90</v>
      </c>
    </row>
    <row r="703" spans="4:11" x14ac:dyDescent="0.25">
      <c r="D703" s="130"/>
      <c r="E703" s="141" t="s">
        <v>205</v>
      </c>
      <c r="F703" s="151">
        <f>'Different coupling reagents'!L330</f>
        <v>82.518150905247694</v>
      </c>
      <c r="G703" s="151">
        <f>'Different coupling reagents'!L331</f>
        <v>67.374867902347333</v>
      </c>
      <c r="H703" s="152">
        <f>'Different coupling reagents'!L332</f>
        <v>4.7471477787889782</v>
      </c>
      <c r="I703" s="152">
        <f>'Different coupling reagents'!L333</f>
        <v>1.7851574184268977</v>
      </c>
      <c r="J703" s="152">
        <f>'Different coupling reagents'!L334</f>
        <v>2.9619903603620807</v>
      </c>
      <c r="K703" s="151">
        <f>'Different coupling reagents'!L329</f>
        <v>84.000000000000014</v>
      </c>
    </row>
    <row r="704" spans="4:11" s="179" customFormat="1" x14ac:dyDescent="0.25">
      <c r="D704" s="181"/>
      <c r="E704" s="141"/>
      <c r="F704" s="151">
        <f>L553</f>
        <v>82.518150905247694</v>
      </c>
      <c r="G704" s="151">
        <f>L554</f>
        <v>40.104088037111509</v>
      </c>
      <c r="H704" s="152">
        <f>L555</f>
        <v>7.9752082683654839</v>
      </c>
      <c r="I704" s="152">
        <f>L556</f>
        <v>2.9990644629571883</v>
      </c>
      <c r="J704" s="152">
        <f>L557</f>
        <v>4.976143805408296</v>
      </c>
      <c r="K704" s="99">
        <v>50</v>
      </c>
    </row>
    <row r="705" spans="4:11" x14ac:dyDescent="0.25">
      <c r="D705" s="123" t="str">
        <f>A113</f>
        <v>EDC (1.1 eq, MW = 191.70 g mol-1), [Acid] = 0.4 M THF, Yield = 90%</v>
      </c>
      <c r="E705" s="123"/>
      <c r="F705" s="123"/>
      <c r="G705" s="123"/>
      <c r="H705" s="123"/>
      <c r="I705" s="123"/>
      <c r="J705" s="123"/>
      <c r="K705" s="142"/>
    </row>
    <row r="706" spans="4:11" x14ac:dyDescent="0.25">
      <c r="D706" s="130"/>
      <c r="E706" s="77" t="s">
        <v>184</v>
      </c>
      <c r="F706" s="79">
        <f>L121</f>
        <v>95.566817555599286</v>
      </c>
      <c r="G706" s="79">
        <f>L122</f>
        <v>82.086741737652261</v>
      </c>
      <c r="H706" s="85">
        <f>L123</f>
        <v>8.2112501215626388</v>
      </c>
      <c r="I706" s="85">
        <f>L124</f>
        <v>1.8213744300857517</v>
      </c>
      <c r="J706" s="85">
        <f>L125</f>
        <v>6.3898756914768864</v>
      </c>
      <c r="K706" s="79">
        <f>L120</f>
        <v>90</v>
      </c>
    </row>
    <row r="707" spans="4:11" x14ac:dyDescent="0.25">
      <c r="D707" s="130"/>
      <c r="E707" s="77" t="s">
        <v>203</v>
      </c>
      <c r="F707" s="151">
        <f>'Different coupling reagents'!L345</f>
        <v>95.566817555599286</v>
      </c>
      <c r="G707" s="151">
        <f>'Different coupling reagents'!L346</f>
        <v>81.174666829456115</v>
      </c>
      <c r="H707" s="152">
        <f>'Different coupling reagents'!L347</f>
        <v>8.3035113588835667</v>
      </c>
      <c r="I707" s="152">
        <f>'Different coupling reagents'!L348</f>
        <v>1.8418393113226703</v>
      </c>
      <c r="J707" s="152">
        <f>'Different coupling reagents'!L349</f>
        <v>6.4616720475608966</v>
      </c>
      <c r="K707" s="151">
        <f>'Different coupling reagents'!L344</f>
        <v>89</v>
      </c>
    </row>
    <row r="708" spans="4:11" s="179" customFormat="1" x14ac:dyDescent="0.25">
      <c r="D708" s="181"/>
      <c r="E708" s="77"/>
      <c r="F708" s="151">
        <f>L568</f>
        <v>95.566817555599286</v>
      </c>
      <c r="G708" s="151">
        <f>L569</f>
        <v>45.603745409806812</v>
      </c>
      <c r="H708" s="152">
        <f>L570</f>
        <v>14.780250218812748</v>
      </c>
      <c r="I708" s="152">
        <f>L571</f>
        <v>3.2784739741543532</v>
      </c>
      <c r="J708" s="152">
        <f>L572</f>
        <v>11.501776244658396</v>
      </c>
      <c r="K708" s="99">
        <v>50</v>
      </c>
    </row>
    <row r="709" spans="4:11" x14ac:dyDescent="0.25">
      <c r="D709" s="130"/>
      <c r="E709" s="77" t="s">
        <v>204</v>
      </c>
      <c r="F709" s="79">
        <f>L134</f>
        <v>82.518150905247694</v>
      </c>
      <c r="G709" s="79">
        <f>L135</f>
        <v>72.187358466800717</v>
      </c>
      <c r="H709" s="85">
        <f>L136</f>
        <v>4.4107564485231885</v>
      </c>
      <c r="I709" s="85">
        <f>L137</f>
        <v>1.6462321121852461</v>
      </c>
      <c r="J709" s="85">
        <f>L138</f>
        <v>2.7645243363379417</v>
      </c>
      <c r="K709" s="79">
        <f>L133</f>
        <v>90</v>
      </c>
    </row>
    <row r="710" spans="4:11" x14ac:dyDescent="0.25">
      <c r="D710" s="130"/>
      <c r="E710" s="141" t="s">
        <v>205</v>
      </c>
      <c r="F710" s="151">
        <f>'Different coupling reagents'!L358</f>
        <v>82.518150905247694</v>
      </c>
      <c r="G710" s="151">
        <f>'Different coupling reagents'!L359</f>
        <v>67.374867902347333</v>
      </c>
      <c r="H710" s="152">
        <f>'Different coupling reagents'!L360</f>
        <v>4.7258104805605585</v>
      </c>
      <c r="I710" s="152">
        <f>'Different coupling reagents'!L361</f>
        <v>1.763820120198478</v>
      </c>
      <c r="J710" s="152">
        <f>'Different coupling reagents'!L362</f>
        <v>2.9619903603620807</v>
      </c>
      <c r="K710" s="151">
        <f>'Different coupling reagents'!L357</f>
        <v>84.000000000000014</v>
      </c>
    </row>
    <row r="711" spans="4:11" s="179" customFormat="1" x14ac:dyDescent="0.25">
      <c r="D711" s="181"/>
      <c r="E711" s="141"/>
      <c r="F711" s="151">
        <f>L581</f>
        <v>82.518150905247694</v>
      </c>
      <c r="G711" s="151">
        <f>L582</f>
        <v>40.104088037111509</v>
      </c>
      <c r="H711" s="152">
        <f>L583</f>
        <v>7.9393616073417395</v>
      </c>
      <c r="I711" s="152">
        <f>L584</f>
        <v>2.9632178019334434</v>
      </c>
      <c r="J711" s="152">
        <f>L585</f>
        <v>4.976143805408296</v>
      </c>
      <c r="K711" s="99">
        <v>50</v>
      </c>
    </row>
    <row r="712" spans="4:11" x14ac:dyDescent="0.25">
      <c r="D712" s="149" t="str">
        <f>A141</f>
        <v>PivCl (1.1 eq, MW = 120.58 g mol-1), [Acid] = 0.4 M THF, Yield = 90%</v>
      </c>
      <c r="E712" s="144"/>
      <c r="F712" s="144"/>
      <c r="G712" s="150"/>
      <c r="H712" s="150"/>
      <c r="I712" s="150"/>
      <c r="J712" s="150"/>
      <c r="K712" s="150"/>
    </row>
    <row r="713" spans="4:11" x14ac:dyDescent="0.25">
      <c r="D713" s="130"/>
      <c r="E713" s="77" t="s">
        <v>184</v>
      </c>
      <c r="F713" s="79">
        <f>L149</f>
        <v>95.566817555599286</v>
      </c>
      <c r="G713" s="79">
        <f>L150</f>
        <v>82.086741737652261</v>
      </c>
      <c r="H713" s="85">
        <f>L151</f>
        <v>7.9874833387678992</v>
      </c>
      <c r="I713" s="85">
        <f>L152</f>
        <v>1.5976076472910123</v>
      </c>
      <c r="J713" s="85">
        <f>L153</f>
        <v>6.3898756914768864</v>
      </c>
      <c r="K713" s="77">
        <f>L148</f>
        <v>90</v>
      </c>
    </row>
    <row r="714" spans="4:11" x14ac:dyDescent="0.25">
      <c r="D714" s="31"/>
      <c r="E714" s="77" t="s">
        <v>203</v>
      </c>
      <c r="F714" s="151">
        <f>'Different coupling reagents'!L373</f>
        <v>95.566817555599286</v>
      </c>
      <c r="G714" s="151">
        <f>'Different coupling reagents'!L374</f>
        <v>81.174666829456115</v>
      </c>
      <c r="H714" s="152">
        <f>'Different coupling reagents'!L375</f>
        <v>8.0772303425742802</v>
      </c>
      <c r="I714" s="152">
        <f>'Different coupling reagents'!L376</f>
        <v>1.6155582950133833</v>
      </c>
      <c r="J714" s="152">
        <f>'Different coupling reagents'!L377</f>
        <v>6.4616720475608966</v>
      </c>
      <c r="K714" s="151">
        <f>'Different coupling reagents'!L372</f>
        <v>89</v>
      </c>
    </row>
    <row r="715" spans="4:11" s="179" customFormat="1" x14ac:dyDescent="0.25">
      <c r="D715" s="31"/>
      <c r="E715" s="77"/>
      <c r="F715" s="151">
        <f>L596</f>
        <v>95.566817555599286</v>
      </c>
      <c r="G715" s="151">
        <f>L597</f>
        <v>45.603745409806812</v>
      </c>
      <c r="H715" s="152">
        <f>L598</f>
        <v>14.377470009782218</v>
      </c>
      <c r="I715" s="152">
        <f>L599</f>
        <v>2.8756937651238226</v>
      </c>
      <c r="J715" s="152">
        <f>L600</f>
        <v>11.501776244658396</v>
      </c>
      <c r="K715" s="99">
        <v>50</v>
      </c>
    </row>
    <row r="716" spans="4:11" x14ac:dyDescent="0.25">
      <c r="D716" s="130"/>
      <c r="E716" s="77" t="s">
        <v>204</v>
      </c>
      <c r="F716" s="79">
        <f>L162</f>
        <v>82.518150905247694</v>
      </c>
      <c r="G716" s="79">
        <f>L163</f>
        <v>72.187358466800717</v>
      </c>
      <c r="H716" s="85">
        <f>L164</f>
        <v>4.3139456893522024</v>
      </c>
      <c r="I716" s="85">
        <f>L165</f>
        <v>1.5494213530142606</v>
      </c>
      <c r="J716" s="85">
        <f>L166</f>
        <v>2.7645243363379417</v>
      </c>
      <c r="K716" s="77">
        <f>L161</f>
        <v>90</v>
      </c>
    </row>
    <row r="717" spans="4:11" x14ac:dyDescent="0.25">
      <c r="D717" s="130"/>
      <c r="E717" s="141" t="s">
        <v>205</v>
      </c>
      <c r="F717" s="151">
        <f>'Different coupling reagents'!L386</f>
        <v>82.518150905247694</v>
      </c>
      <c r="G717" s="151">
        <f>'Different coupling reagents'!L387</f>
        <v>67.374867902347333</v>
      </c>
      <c r="H717" s="152">
        <f>'Different coupling reagents'!L388</f>
        <v>4.6220846671630742</v>
      </c>
      <c r="I717" s="152">
        <f>'Different coupling reagents'!L389</f>
        <v>1.6600943068009937</v>
      </c>
      <c r="J717" s="152">
        <f>'Different coupling reagents'!L390</f>
        <v>2.9619903603620807</v>
      </c>
      <c r="K717" s="151">
        <f>'Different coupling reagents'!L385</f>
        <v>84.000000000000014</v>
      </c>
    </row>
    <row r="718" spans="4:11" s="179" customFormat="1" x14ac:dyDescent="0.25">
      <c r="D718" s="181"/>
      <c r="E718" s="141"/>
      <c r="F718" s="151">
        <f>L609</f>
        <v>82.518150905247694</v>
      </c>
      <c r="G718" s="151">
        <f>L610</f>
        <v>40.104088037111509</v>
      </c>
      <c r="H718" s="152">
        <f>L611</f>
        <v>7.7651022408339658</v>
      </c>
      <c r="I718" s="152">
        <f>L612</f>
        <v>2.7889584354256698</v>
      </c>
      <c r="J718" s="152">
        <f>L613</f>
        <v>4.976143805408296</v>
      </c>
      <c r="K718" s="99">
        <v>50</v>
      </c>
    </row>
    <row r="719" spans="4:11" x14ac:dyDescent="0.25">
      <c r="D719" s="127" t="str">
        <f>A169</f>
        <v>ICBF (1.1 eq, MW = 138.58 g mol-1), [Acid] = 0.4 M THF, Yield = 90%</v>
      </c>
      <c r="E719" s="127"/>
      <c r="F719" s="140"/>
      <c r="G719" s="140"/>
      <c r="H719" s="142"/>
      <c r="I719" s="142"/>
      <c r="J719" s="142"/>
      <c r="K719" s="142"/>
    </row>
    <row r="720" spans="4:11" x14ac:dyDescent="0.25">
      <c r="D720" s="130"/>
      <c r="E720" s="77" t="s">
        <v>184</v>
      </c>
      <c r="F720" s="79">
        <f>L177</f>
        <v>95.566817555599286</v>
      </c>
      <c r="G720" s="79">
        <f>L178</f>
        <v>82.086741737652261</v>
      </c>
      <c r="H720" s="85">
        <f>L179</f>
        <v>8.0378245722425312</v>
      </c>
      <c r="I720" s="85">
        <f>L180</f>
        <v>1.6479488807656444</v>
      </c>
      <c r="J720" s="85">
        <f>L181</f>
        <v>6.3898756914768864</v>
      </c>
      <c r="K720" s="77">
        <f>L176</f>
        <v>90</v>
      </c>
    </row>
    <row r="721" spans="4:11" x14ac:dyDescent="0.25">
      <c r="D721" s="130"/>
      <c r="E721" s="77" t="s">
        <v>203</v>
      </c>
      <c r="F721" s="151">
        <f>'Different coupling reagents'!L401</f>
        <v>95.566817555599286</v>
      </c>
      <c r="G721" s="151">
        <f>'Different coupling reagents'!L402</f>
        <v>81.174666829456115</v>
      </c>
      <c r="H721" s="152">
        <f>'Different coupling reagents'!L403</f>
        <v>8.1281372078857057</v>
      </c>
      <c r="I721" s="152">
        <f>'Different coupling reagents'!L404</f>
        <v>1.6664651603248091</v>
      </c>
      <c r="J721" s="152">
        <f>'Different coupling reagents'!L405</f>
        <v>6.4616720475608966</v>
      </c>
      <c r="K721" s="151">
        <f>'Different coupling reagents'!L400</f>
        <v>89</v>
      </c>
    </row>
    <row r="722" spans="4:11" s="179" customFormat="1" x14ac:dyDescent="0.25">
      <c r="D722" s="181"/>
      <c r="E722" s="77"/>
      <c r="F722" s="151">
        <f>L624</f>
        <v>95.566817555599286</v>
      </c>
      <c r="G722" s="151">
        <f>L625</f>
        <v>45.603745409806812</v>
      </c>
      <c r="H722" s="152">
        <f>L626</f>
        <v>14.468084230036554</v>
      </c>
      <c r="I722" s="152">
        <f>L627</f>
        <v>2.96630798537816</v>
      </c>
      <c r="J722" s="152">
        <f>L628</f>
        <v>11.501776244658396</v>
      </c>
      <c r="K722" s="99">
        <v>50</v>
      </c>
    </row>
    <row r="723" spans="4:11" x14ac:dyDescent="0.25">
      <c r="D723" s="130"/>
      <c r="E723" s="77" t="s">
        <v>204</v>
      </c>
      <c r="F723" s="79">
        <f>L190</f>
        <v>82.518150905247694</v>
      </c>
      <c r="G723" s="79">
        <f>L191</f>
        <v>72.187358466800717</v>
      </c>
      <c r="H723" s="85">
        <f>L192</f>
        <v>4.3357253877033806</v>
      </c>
      <c r="I723" s="85">
        <f>L193</f>
        <v>1.5712010513654386</v>
      </c>
      <c r="J723" s="85">
        <f>L194</f>
        <v>2.7645243363379417</v>
      </c>
      <c r="K723" s="77">
        <f>L189</f>
        <v>90</v>
      </c>
    </row>
    <row r="724" spans="4:11" x14ac:dyDescent="0.25">
      <c r="D724" s="130"/>
      <c r="E724" s="141" t="s">
        <v>205</v>
      </c>
      <c r="F724" s="151">
        <f>'Different coupling reagents'!L414</f>
        <v>82.518150905247694</v>
      </c>
      <c r="G724" s="151">
        <f>'Different coupling reagents'!L415</f>
        <v>67.374867902347333</v>
      </c>
      <c r="H724" s="152">
        <f>'Different coupling reagents'!L416</f>
        <v>4.645420058253622</v>
      </c>
      <c r="I724" s="152">
        <f>'Different coupling reagents'!L417</f>
        <v>1.6834296978915413</v>
      </c>
      <c r="J724" s="152">
        <f>'Different coupling reagents'!L418</f>
        <v>2.9619903603620807</v>
      </c>
      <c r="K724" s="151">
        <f>'Different coupling reagents'!L413</f>
        <v>84.000000000000014</v>
      </c>
    </row>
    <row r="725" spans="4:11" s="179" customFormat="1" x14ac:dyDescent="0.25">
      <c r="D725" s="181"/>
      <c r="E725" s="141"/>
      <c r="F725" s="151">
        <f>L637</f>
        <v>82.518150905247694</v>
      </c>
      <c r="G725" s="151">
        <f>L638</f>
        <v>40.104088037111509</v>
      </c>
      <c r="H725" s="152">
        <f>L639</f>
        <v>7.8043056978660852</v>
      </c>
      <c r="I725" s="152">
        <f>L640</f>
        <v>2.8281618924577896</v>
      </c>
      <c r="J725" s="152">
        <f>L641</f>
        <v>4.976143805408296</v>
      </c>
      <c r="K725" s="99">
        <v>50</v>
      </c>
    </row>
    <row r="726" spans="4:11" x14ac:dyDescent="0.25">
      <c r="D726" s="127" t="str">
        <f>A197</f>
        <v>T3P (1.1 eq, MW = 318.18 g mol-1), [Acid] = 0.4 M THF, Yield = 90%</v>
      </c>
      <c r="E726" s="127"/>
      <c r="F726" s="127"/>
      <c r="G726" s="127"/>
      <c r="H726" s="127"/>
      <c r="I726" s="127"/>
      <c r="J726" s="127"/>
      <c r="K726" s="139"/>
    </row>
    <row r="727" spans="4:11" x14ac:dyDescent="0.25">
      <c r="D727" s="130"/>
      <c r="E727" s="77" t="s">
        <v>184</v>
      </c>
      <c r="F727" s="91">
        <f>L205</f>
        <v>95.566817555599286</v>
      </c>
      <c r="G727" s="91">
        <f>L206</f>
        <v>82.086741737652261</v>
      </c>
      <c r="H727" s="92">
        <f>L207</f>
        <v>8.6091975721796032</v>
      </c>
      <c r="I727" s="92">
        <f>L208</f>
        <v>2.2193218807027177</v>
      </c>
      <c r="J727" s="92">
        <f>L209</f>
        <v>6.3898756914768864</v>
      </c>
      <c r="K727" s="79">
        <f>L204</f>
        <v>90</v>
      </c>
    </row>
    <row r="728" spans="4:11" x14ac:dyDescent="0.25">
      <c r="D728" s="130"/>
      <c r="E728" s="77" t="s">
        <v>203</v>
      </c>
      <c r="F728" s="151">
        <f>'Different coupling reagents'!L429</f>
        <v>95.566817555599286</v>
      </c>
      <c r="G728" s="151">
        <f>'Different coupling reagents'!L430</f>
        <v>81.174666829456115</v>
      </c>
      <c r="H728" s="152">
        <f>'Different coupling reagents'!L431</f>
        <v>8.7059301291703868</v>
      </c>
      <c r="I728" s="152">
        <f>'Different coupling reagents'!L432</f>
        <v>2.2442580816094897</v>
      </c>
      <c r="J728" s="152">
        <f>'Different coupling reagents'!L433</f>
        <v>6.4616720475608966</v>
      </c>
      <c r="K728" s="151">
        <f>'Different coupling reagents'!L428</f>
        <v>89</v>
      </c>
    </row>
    <row r="729" spans="4:11" s="179" customFormat="1" x14ac:dyDescent="0.25">
      <c r="D729" s="181"/>
      <c r="E729" s="77"/>
      <c r="F729" s="151">
        <f>L652</f>
        <v>95.566817555599286</v>
      </c>
      <c r="G729" s="151">
        <f>L653</f>
        <v>45.603745409806812</v>
      </c>
      <c r="H729" s="152">
        <f>L654</f>
        <v>15.496555629923288</v>
      </c>
      <c r="I729" s="152">
        <f>L655</f>
        <v>3.9947793852648918</v>
      </c>
      <c r="J729" s="152">
        <f>L656</f>
        <v>11.501776244658396</v>
      </c>
      <c r="K729" s="99">
        <v>50</v>
      </c>
    </row>
    <row r="730" spans="4:11" x14ac:dyDescent="0.25">
      <c r="D730" s="130"/>
      <c r="E730" s="77" t="s">
        <v>204</v>
      </c>
      <c r="F730" s="91">
        <f>L218</f>
        <v>82.518150905247694</v>
      </c>
      <c r="G730" s="91">
        <f>L219</f>
        <v>72.187358466800717</v>
      </c>
      <c r="H730" s="92">
        <f>L220</f>
        <v>4.5829249639892486</v>
      </c>
      <c r="I730" s="92">
        <f>L221</f>
        <v>1.8184006276513072</v>
      </c>
      <c r="J730" s="92">
        <f>L222</f>
        <v>2.7645243363379417</v>
      </c>
      <c r="K730" s="148">
        <f>L217</f>
        <v>90</v>
      </c>
    </row>
    <row r="731" spans="4:11" x14ac:dyDescent="0.25">
      <c r="D731" s="130"/>
      <c r="E731" s="141" t="s">
        <v>205</v>
      </c>
      <c r="F731" s="151">
        <f>'Different coupling reagents'!L442</f>
        <v>82.518150905247694</v>
      </c>
      <c r="G731" s="151">
        <f>'Different coupling reagents'!L443</f>
        <v>67.374867902347333</v>
      </c>
      <c r="H731" s="152">
        <f>'Different coupling reagents'!L444</f>
        <v>4.9102767471313378</v>
      </c>
      <c r="I731" s="152">
        <f>'Different coupling reagents'!L445</f>
        <v>1.9482863867692575</v>
      </c>
      <c r="J731" s="152">
        <f>'Different coupling reagents'!L446</f>
        <v>2.9619903603620807</v>
      </c>
      <c r="K731" s="151">
        <f>'Different coupling reagents'!L441</f>
        <v>84.000000000000014</v>
      </c>
    </row>
    <row r="732" spans="4:11" x14ac:dyDescent="0.25">
      <c r="F732" s="187">
        <f>L665</f>
        <v>82.518150905247694</v>
      </c>
      <c r="G732" s="187">
        <f>L666</f>
        <v>40.104088037111509</v>
      </c>
      <c r="H732" s="188">
        <f>L667</f>
        <v>8.2492649351806477</v>
      </c>
      <c r="I732" s="188">
        <f>L668</f>
        <v>3.273121129772353</v>
      </c>
      <c r="J732" s="188">
        <f>L669</f>
        <v>4.976143805408296</v>
      </c>
      <c r="K732" s="99">
        <v>50</v>
      </c>
    </row>
  </sheetData>
  <mergeCells count="2">
    <mergeCell ref="A113:D113"/>
    <mergeCell ref="A560:D560"/>
  </mergeCells>
  <pageMargins left="0.25" right="0.25" top="0.75" bottom="0.75" header="0.3" footer="0.3"/>
  <pageSetup paperSize="9" scale="10"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pageSetUpPr fitToPage="1"/>
  </sheetPr>
  <dimension ref="A1:AL225"/>
  <sheetViews>
    <sheetView tabSelected="1" zoomScale="70" zoomScaleNormal="70" workbookViewId="0">
      <selection activeCell="B15" sqref="B15"/>
    </sheetView>
  </sheetViews>
  <sheetFormatPr defaultColWidth="8.85546875" defaultRowHeight="15" x14ac:dyDescent="0.25"/>
  <cols>
    <col min="1" max="1" width="6.140625" customWidth="1"/>
    <col min="2" max="2" width="12.85546875" customWidth="1"/>
    <col min="3" max="3" width="51.85546875" customWidth="1"/>
    <col min="4" max="4" width="12.85546875" style="38" customWidth="1"/>
    <col min="5" max="5" width="17.42578125" style="38" customWidth="1"/>
    <col min="6" max="6" width="8.85546875" style="38"/>
    <col min="7" max="7" width="10.7109375" customWidth="1"/>
    <col min="8" max="8" width="11" bestFit="1" customWidth="1"/>
    <col min="9" max="9" width="8.42578125" bestFit="1" customWidth="1"/>
    <col min="10" max="10" width="11.42578125" bestFit="1" customWidth="1"/>
    <col min="11" max="11" width="19.5703125" bestFit="1" customWidth="1"/>
    <col min="12" max="12" width="10.7109375" customWidth="1"/>
    <col min="13" max="13" width="13" customWidth="1"/>
    <col min="14" max="14" width="14.42578125" customWidth="1"/>
    <col min="15" max="15" width="15" customWidth="1"/>
    <col min="16" max="16" width="13.7109375" customWidth="1"/>
    <col min="17" max="17" width="12.5703125" bestFit="1" customWidth="1"/>
    <col min="18" max="18" width="10" bestFit="1" customWidth="1"/>
    <col min="19" max="19" width="11.28515625" bestFit="1" customWidth="1"/>
    <col min="20" max="20" width="17.85546875" bestFit="1" customWidth="1"/>
    <col min="21" max="21" width="10.28515625" customWidth="1"/>
    <col min="22" max="22" width="12.140625" customWidth="1"/>
  </cols>
  <sheetData>
    <row r="1" spans="1:38" s="29" customFormat="1" ht="14.45" x14ac:dyDescent="0.3">
      <c r="A1" s="28" t="s">
        <v>107</v>
      </c>
      <c r="D1" s="30"/>
      <c r="E1" s="30"/>
      <c r="F1" s="30"/>
    </row>
    <row r="2" spans="1:38" ht="14.45" x14ac:dyDescent="0.3">
      <c r="D2" s="153"/>
      <c r="E2" s="153"/>
      <c r="F2" s="153"/>
      <c r="G2" s="27"/>
      <c r="H2" s="27"/>
      <c r="I2" s="27"/>
      <c r="J2" s="27"/>
      <c r="K2" s="27"/>
      <c r="L2" s="27"/>
      <c r="M2" s="27"/>
    </row>
    <row r="3" spans="1:38" ht="15" customHeight="1" x14ac:dyDescent="0.25">
      <c r="C3" s="41" t="s">
        <v>176</v>
      </c>
      <c r="D3" s="192"/>
      <c r="E3" s="192"/>
      <c r="F3" s="192"/>
      <c r="G3" s="192"/>
      <c r="H3" s="192"/>
      <c r="I3" s="192"/>
      <c r="J3" s="192"/>
      <c r="K3" s="192"/>
      <c r="L3" s="103"/>
      <c r="M3" s="190" t="s">
        <v>104</v>
      </c>
      <c r="N3" s="190"/>
      <c r="O3" s="190"/>
      <c r="P3" s="190"/>
      <c r="Q3" s="190"/>
      <c r="R3" s="190"/>
      <c r="S3" s="190"/>
      <c r="T3" s="190"/>
      <c r="U3" s="190"/>
      <c r="V3" s="190"/>
      <c r="W3" s="190"/>
      <c r="X3" s="190"/>
      <c r="Y3" s="125"/>
      <c r="Z3" s="125"/>
      <c r="AA3" s="125"/>
      <c r="AB3" s="125"/>
      <c r="AC3" s="125"/>
      <c r="AD3" s="125"/>
      <c r="AE3" s="125"/>
      <c r="AF3" s="125"/>
      <c r="AG3" s="125"/>
      <c r="AH3" s="125"/>
      <c r="AI3" s="125"/>
      <c r="AJ3" s="125"/>
      <c r="AK3" s="125"/>
      <c r="AL3" s="125"/>
    </row>
    <row r="4" spans="1:38" x14ac:dyDescent="0.25">
      <c r="C4" s="110" t="s">
        <v>55</v>
      </c>
      <c r="D4" s="192"/>
      <c r="E4" s="192"/>
      <c r="F4" s="192"/>
      <c r="G4" s="192"/>
      <c r="H4" s="192"/>
      <c r="I4" s="192"/>
      <c r="J4" s="192"/>
      <c r="K4" s="192"/>
      <c r="L4" s="103"/>
      <c r="M4" s="190"/>
      <c r="N4" s="190"/>
      <c r="O4" s="190"/>
      <c r="P4" s="190"/>
      <c r="Q4" s="190"/>
      <c r="R4" s="190"/>
      <c r="S4" s="190"/>
      <c r="T4" s="190"/>
      <c r="U4" s="190"/>
      <c r="V4" s="190"/>
      <c r="W4" s="190"/>
      <c r="X4" s="190"/>
      <c r="Y4" s="125"/>
      <c r="Z4" s="125"/>
      <c r="AA4" s="125"/>
      <c r="AB4" s="125"/>
      <c r="AC4" s="125"/>
      <c r="AD4" s="125"/>
      <c r="AE4" s="125"/>
      <c r="AF4" s="125"/>
      <c r="AG4" s="125"/>
      <c r="AH4" s="125"/>
      <c r="AI4" s="125"/>
      <c r="AJ4" s="125"/>
      <c r="AK4" s="125"/>
      <c r="AL4" s="125"/>
    </row>
    <row r="5" spans="1:38" x14ac:dyDescent="0.25">
      <c r="C5" s="52"/>
      <c r="D5" s="192"/>
      <c r="E5" s="192"/>
      <c r="F5" s="192"/>
      <c r="G5" s="192"/>
      <c r="H5" s="192"/>
      <c r="I5" s="192"/>
      <c r="J5" s="192"/>
      <c r="K5" s="192"/>
      <c r="L5" s="103"/>
      <c r="M5" s="190"/>
      <c r="N5" s="190"/>
      <c r="O5" s="190"/>
      <c r="P5" s="190"/>
      <c r="Q5" s="190"/>
      <c r="R5" s="190"/>
      <c r="S5" s="190"/>
      <c r="T5" s="190"/>
      <c r="U5" s="190"/>
      <c r="V5" s="190"/>
      <c r="W5" s="190"/>
      <c r="X5" s="190"/>
      <c r="Y5" s="125"/>
      <c r="Z5" s="125"/>
      <c r="AA5" s="125"/>
      <c r="AB5" s="125"/>
      <c r="AC5" s="125"/>
      <c r="AD5" s="125"/>
      <c r="AE5" s="125"/>
      <c r="AF5" s="125"/>
      <c r="AG5" s="125"/>
      <c r="AH5" s="125"/>
      <c r="AI5" s="125"/>
      <c r="AJ5" s="125"/>
      <c r="AK5" s="125"/>
      <c r="AL5" s="125"/>
    </row>
    <row r="6" spans="1:38" x14ac:dyDescent="0.25">
      <c r="D6" s="192"/>
      <c r="E6" s="192"/>
      <c r="F6" s="192"/>
      <c r="G6" s="192"/>
      <c r="H6" s="192"/>
      <c r="I6" s="192"/>
      <c r="J6" s="192"/>
      <c r="K6" s="192"/>
      <c r="L6" s="103"/>
      <c r="M6" s="190"/>
      <c r="N6" s="190"/>
      <c r="O6" s="190"/>
      <c r="P6" s="190"/>
      <c r="Q6" s="190"/>
      <c r="R6" s="190"/>
      <c r="S6" s="190"/>
      <c r="T6" s="190"/>
      <c r="U6" s="190"/>
      <c r="V6" s="190"/>
      <c r="W6" s="190"/>
      <c r="X6" s="190"/>
      <c r="Y6" s="125"/>
      <c r="Z6" s="125"/>
      <c r="AA6" s="125"/>
      <c r="AB6" s="125"/>
      <c r="AC6" s="125"/>
      <c r="AD6" s="125"/>
      <c r="AE6" s="125"/>
      <c r="AF6" s="125"/>
      <c r="AG6" s="125"/>
      <c r="AH6" s="125"/>
      <c r="AI6" s="125"/>
      <c r="AJ6" s="125"/>
      <c r="AK6" s="125"/>
      <c r="AL6" s="125"/>
    </row>
    <row r="7" spans="1:38" x14ac:dyDescent="0.25">
      <c r="D7" s="192"/>
      <c r="E7" s="192"/>
      <c r="F7" s="192"/>
      <c r="G7" s="192"/>
      <c r="H7" s="192"/>
      <c r="I7" s="192"/>
      <c r="J7" s="192"/>
      <c r="K7" s="192"/>
      <c r="L7" s="103"/>
      <c r="M7" s="190"/>
      <c r="N7" s="190"/>
      <c r="O7" s="190"/>
      <c r="P7" s="190"/>
      <c r="Q7" s="190"/>
      <c r="R7" s="190"/>
      <c r="S7" s="190"/>
      <c r="T7" s="190"/>
      <c r="U7" s="190"/>
      <c r="V7" s="190"/>
      <c r="W7" s="190"/>
      <c r="X7" s="190"/>
      <c r="Y7" s="125"/>
      <c r="Z7" s="125"/>
      <c r="AA7" s="125"/>
      <c r="AB7" s="125"/>
      <c r="AC7" s="125"/>
      <c r="AD7" s="125"/>
      <c r="AE7" s="125"/>
      <c r="AF7" s="125"/>
      <c r="AG7" s="125"/>
      <c r="AH7" s="125"/>
      <c r="AI7" s="125"/>
      <c r="AJ7" s="125"/>
      <c r="AK7" s="125"/>
      <c r="AL7" s="125"/>
    </row>
    <row r="8" spans="1:38" x14ac:dyDescent="0.25">
      <c r="D8" s="192"/>
      <c r="E8" s="192"/>
      <c r="F8" s="192"/>
      <c r="G8" s="192"/>
      <c r="H8" s="192"/>
      <c r="I8" s="192"/>
      <c r="J8" s="192"/>
      <c r="K8" s="192"/>
      <c r="L8" s="103"/>
      <c r="M8" s="190"/>
      <c r="N8" s="190"/>
      <c r="O8" s="190"/>
      <c r="P8" s="190"/>
      <c r="Q8" s="190"/>
      <c r="R8" s="190"/>
      <c r="S8" s="190"/>
      <c r="T8" s="190"/>
      <c r="U8" s="190"/>
      <c r="V8" s="190"/>
      <c r="W8" s="190"/>
      <c r="X8" s="190"/>
      <c r="Y8" s="125"/>
      <c r="Z8" s="125"/>
      <c r="AA8" s="125"/>
      <c r="AB8" s="125"/>
      <c r="AC8" s="125"/>
      <c r="AD8" s="125"/>
      <c r="AE8" s="125"/>
      <c r="AF8" s="125"/>
      <c r="AG8" s="125"/>
      <c r="AH8" s="125"/>
      <c r="AI8" s="125"/>
      <c r="AJ8" s="125"/>
      <c r="AK8" s="125"/>
      <c r="AL8" s="125"/>
    </row>
    <row r="9" spans="1:38" x14ac:dyDescent="0.25">
      <c r="D9" s="192"/>
      <c r="E9" s="192"/>
      <c r="F9" s="192"/>
      <c r="G9" s="192"/>
      <c r="H9" s="192"/>
      <c r="I9" s="192"/>
      <c r="J9" s="192"/>
      <c r="K9" s="192"/>
      <c r="L9" s="103"/>
      <c r="M9" s="190"/>
      <c r="N9" s="190"/>
      <c r="O9" s="190"/>
      <c r="P9" s="190"/>
      <c r="Q9" s="190"/>
      <c r="R9" s="190"/>
      <c r="S9" s="190"/>
      <c r="T9" s="190"/>
      <c r="U9" s="190"/>
      <c r="V9" s="190"/>
      <c r="W9" s="190"/>
      <c r="X9" s="190"/>
      <c r="Y9" s="125"/>
      <c r="Z9" s="125"/>
      <c r="AA9" s="125"/>
      <c r="AB9" s="125"/>
      <c r="AC9" s="125"/>
      <c r="AD9" s="125"/>
      <c r="AE9" s="125"/>
      <c r="AF9" s="125"/>
      <c r="AG9" s="125"/>
      <c r="AH9" s="125"/>
      <c r="AI9" s="125"/>
      <c r="AJ9" s="125"/>
      <c r="AK9" s="125"/>
      <c r="AL9" s="125"/>
    </row>
    <row r="10" spans="1:38" x14ac:dyDescent="0.25">
      <c r="D10" s="192"/>
      <c r="E10" s="192"/>
      <c r="F10" s="192"/>
      <c r="G10" s="192"/>
      <c r="H10" s="192"/>
      <c r="I10" s="192"/>
      <c r="J10" s="192"/>
      <c r="K10" s="192"/>
      <c r="L10" s="103"/>
      <c r="M10" s="190"/>
      <c r="N10" s="190"/>
      <c r="O10" s="190"/>
      <c r="P10" s="190"/>
      <c r="Q10" s="190"/>
      <c r="R10" s="190"/>
      <c r="S10" s="190"/>
      <c r="T10" s="190"/>
      <c r="U10" s="190"/>
      <c r="V10" s="190"/>
      <c r="W10" s="190"/>
      <c r="X10" s="190"/>
      <c r="Y10" s="125"/>
      <c r="Z10" s="125"/>
      <c r="AA10" s="125"/>
      <c r="AB10" s="125"/>
      <c r="AC10" s="125"/>
      <c r="AD10" s="125"/>
      <c r="AE10" s="125"/>
      <c r="AF10" s="125"/>
      <c r="AG10" s="125"/>
      <c r="AH10" s="125"/>
      <c r="AI10" s="125"/>
      <c r="AJ10" s="125"/>
      <c r="AK10" s="125"/>
      <c r="AL10" s="125"/>
    </row>
    <row r="11" spans="1:38" x14ac:dyDescent="0.25">
      <c r="D11" s="192"/>
      <c r="E11" s="192"/>
      <c r="F11" s="192"/>
      <c r="G11" s="192"/>
      <c r="H11" s="192"/>
      <c r="I11" s="192"/>
      <c r="J11" s="192"/>
      <c r="K11" s="192"/>
      <c r="L11" s="103"/>
      <c r="M11" s="190"/>
      <c r="N11" s="190"/>
      <c r="O11" s="190"/>
      <c r="P11" s="190"/>
      <c r="Q11" s="190"/>
      <c r="R11" s="190"/>
      <c r="S11" s="190"/>
      <c r="T11" s="190"/>
      <c r="U11" s="190"/>
      <c r="V11" s="190"/>
      <c r="W11" s="190"/>
      <c r="X11" s="190"/>
      <c r="Y11" s="125"/>
      <c r="Z11" s="125"/>
      <c r="AA11" s="125"/>
      <c r="AB11" s="125"/>
      <c r="AC11" s="125"/>
      <c r="AD11" s="125"/>
      <c r="AE11" s="125"/>
      <c r="AF11" s="125"/>
      <c r="AG11" s="125"/>
      <c r="AH11" s="125"/>
      <c r="AI11" s="125"/>
      <c r="AJ11" s="125"/>
      <c r="AK11" s="125"/>
      <c r="AL11" s="125"/>
    </row>
    <row r="12" spans="1:38" x14ac:dyDescent="0.25">
      <c r="B12" s="4"/>
      <c r="D12" s="192"/>
      <c r="E12" s="192"/>
      <c r="F12" s="192"/>
      <c r="G12" s="192"/>
      <c r="H12" s="192"/>
      <c r="I12" s="192"/>
      <c r="J12" s="192"/>
      <c r="K12" s="192"/>
      <c r="M12" s="190"/>
      <c r="N12" s="190"/>
      <c r="O12" s="190"/>
      <c r="P12" s="190"/>
      <c r="Q12" s="190"/>
      <c r="R12" s="190"/>
      <c r="S12" s="190"/>
      <c r="T12" s="190"/>
      <c r="U12" s="190"/>
      <c r="V12" s="190"/>
      <c r="W12" s="190"/>
      <c r="X12" s="190"/>
    </row>
    <row r="13" spans="1:38" ht="14.45" x14ac:dyDescent="0.3">
      <c r="C13" s="6" t="s">
        <v>26</v>
      </c>
      <c r="D13" s="53"/>
      <c r="E13" s="53"/>
      <c r="F13" s="53"/>
    </row>
    <row r="14" spans="1:38" ht="30.6" x14ac:dyDescent="0.3">
      <c r="C14" s="17" t="s">
        <v>14</v>
      </c>
      <c r="D14" s="20" t="s">
        <v>21</v>
      </c>
      <c r="E14" s="20" t="s">
        <v>94</v>
      </c>
      <c r="F14" s="17" t="s">
        <v>13</v>
      </c>
      <c r="G14" s="17" t="s">
        <v>15</v>
      </c>
      <c r="H14" s="18" t="s">
        <v>1</v>
      </c>
      <c r="I14" s="19" t="s">
        <v>25</v>
      </c>
      <c r="J14" s="17" t="s">
        <v>2</v>
      </c>
      <c r="K14" s="20" t="s">
        <v>94</v>
      </c>
      <c r="L14" s="20" t="s">
        <v>22</v>
      </c>
      <c r="M14" s="19" t="s">
        <v>8</v>
      </c>
      <c r="N14" s="19" t="s">
        <v>16</v>
      </c>
      <c r="O14" s="19" t="s">
        <v>17</v>
      </c>
      <c r="P14" s="19" t="s">
        <v>18</v>
      </c>
      <c r="Q14" s="20" t="s">
        <v>10</v>
      </c>
      <c r="R14" s="20" t="s">
        <v>23</v>
      </c>
      <c r="S14" s="19" t="s">
        <v>9</v>
      </c>
      <c r="T14" s="19" t="s">
        <v>19</v>
      </c>
      <c r="U14" s="19" t="s">
        <v>20</v>
      </c>
      <c r="V14" s="19" t="s">
        <v>24</v>
      </c>
    </row>
    <row r="15" spans="1:38" ht="14.45" x14ac:dyDescent="0.3">
      <c r="B15" s="41" t="s">
        <v>176</v>
      </c>
      <c r="C15" s="176" t="s">
        <v>111</v>
      </c>
      <c r="D15" s="8">
        <v>3000</v>
      </c>
      <c r="E15" s="8">
        <v>319.39999999999998</v>
      </c>
      <c r="F15" s="8">
        <v>1</v>
      </c>
      <c r="G15" s="11">
        <f>D15/E15</f>
        <v>9.3926111458985613</v>
      </c>
      <c r="H15" s="7"/>
      <c r="I15" s="7"/>
      <c r="J15" s="8" t="s">
        <v>48</v>
      </c>
      <c r="K15" s="8">
        <v>126.92</v>
      </c>
      <c r="L15" s="46">
        <f>15.2*K15</f>
        <v>1929.184</v>
      </c>
      <c r="M15" s="42" t="s">
        <v>47</v>
      </c>
      <c r="N15" s="2">
        <v>30000</v>
      </c>
      <c r="O15" s="2">
        <v>1.325</v>
      </c>
      <c r="P15" s="11">
        <f>N15*O15</f>
        <v>39750</v>
      </c>
      <c r="Q15" s="8"/>
      <c r="R15" s="8"/>
      <c r="S15" s="7"/>
      <c r="T15" s="7"/>
      <c r="U15" s="7"/>
      <c r="V15" s="11">
        <f>T15*U15</f>
        <v>0</v>
      </c>
    </row>
    <row r="16" spans="1:38" ht="14.45" x14ac:dyDescent="0.3">
      <c r="C16" s="8" t="s">
        <v>50</v>
      </c>
      <c r="D16" s="8">
        <v>1050</v>
      </c>
      <c r="E16" s="8">
        <v>74.13</v>
      </c>
      <c r="F16" s="8">
        <v>1.5</v>
      </c>
      <c r="G16" s="11">
        <f>D16/E16</f>
        <v>14.164305949008499</v>
      </c>
      <c r="H16" s="1"/>
      <c r="I16" s="1"/>
      <c r="J16" s="25" t="s">
        <v>38</v>
      </c>
      <c r="K16" s="26">
        <v>73.09</v>
      </c>
      <c r="L16" s="46">
        <f>300*0.945</f>
        <v>283.5</v>
      </c>
      <c r="M16" s="42" t="s">
        <v>51</v>
      </c>
      <c r="N16" s="45">
        <f>15000/O16</f>
        <v>14506.769825918762</v>
      </c>
      <c r="O16" s="2">
        <v>1.034</v>
      </c>
      <c r="P16" s="11">
        <f>N16*O16</f>
        <v>15000</v>
      </c>
      <c r="Q16" s="8"/>
      <c r="R16" s="8"/>
      <c r="S16" s="7"/>
      <c r="T16" s="7"/>
      <c r="U16" s="7"/>
      <c r="V16" s="11">
        <f t="shared" ref="V16:V17" si="0">T16*U16</f>
        <v>0</v>
      </c>
    </row>
    <row r="17" spans="3:38" ht="14.45" x14ac:dyDescent="0.3">
      <c r="C17" s="8"/>
      <c r="D17" s="8"/>
      <c r="E17" s="8"/>
      <c r="F17" s="8"/>
      <c r="G17" s="10"/>
      <c r="H17" s="1"/>
      <c r="I17" s="1"/>
      <c r="J17" s="25" t="s">
        <v>49</v>
      </c>
      <c r="K17" s="26">
        <v>101.19</v>
      </c>
      <c r="L17" s="46">
        <v>3845.2</v>
      </c>
      <c r="M17" s="42"/>
      <c r="N17" s="45"/>
      <c r="O17" s="1"/>
      <c r="P17" s="11">
        <f t="shared" ref="P17" si="1">N17*O17</f>
        <v>0</v>
      </c>
      <c r="Q17" s="8"/>
      <c r="R17" s="8"/>
      <c r="S17" s="7"/>
      <c r="T17" s="7"/>
      <c r="U17" s="7"/>
      <c r="V17" s="11">
        <f t="shared" si="0"/>
        <v>0</v>
      </c>
      <c r="Z17" s="59"/>
    </row>
    <row r="18" spans="3:38" ht="14.45" x14ac:dyDescent="0.3">
      <c r="C18" s="10" t="s">
        <v>4</v>
      </c>
      <c r="D18" s="11">
        <f>SUM(D15:D16)</f>
        <v>4050</v>
      </c>
      <c r="E18" s="11">
        <f>SUM(E15:E16)</f>
        <v>393.53</v>
      </c>
      <c r="F18" s="10"/>
      <c r="G18" s="165">
        <f>SUM(G15:G16)</f>
        <v>23.55691709490706</v>
      </c>
      <c r="I18" s="23">
        <f>SUM(I15:I16)</f>
        <v>0</v>
      </c>
      <c r="L18" s="47">
        <f>SUM(L15:L17)</f>
        <v>6057.884</v>
      </c>
      <c r="N18" s="23">
        <f>SUM(N15:N17)</f>
        <v>44506.76982591876</v>
      </c>
      <c r="P18" s="23">
        <f>SUM(P15:P17)</f>
        <v>54750</v>
      </c>
      <c r="R18" s="23">
        <f>SUM(R15:R17)</f>
        <v>0</v>
      </c>
      <c r="V18" s="23">
        <f>SUM(V15:V17)</f>
        <v>0</v>
      </c>
    </row>
    <row r="19" spans="3:38" ht="14.45" x14ac:dyDescent="0.3">
      <c r="C19" s="4"/>
      <c r="D19" s="3"/>
      <c r="E19" s="3"/>
      <c r="F19" s="3"/>
      <c r="G19" s="4"/>
      <c r="H19" s="4"/>
      <c r="I19" s="4"/>
      <c r="M19" s="49"/>
      <c r="N19" s="4"/>
      <c r="O19" s="4"/>
      <c r="P19" s="4"/>
      <c r="Q19" s="4"/>
      <c r="R19" s="4"/>
      <c r="S19" s="4"/>
      <c r="T19" s="4"/>
      <c r="U19" s="4"/>
      <c r="V19" s="4"/>
    </row>
    <row r="20" spans="3:38" ht="14.45" x14ac:dyDescent="0.3">
      <c r="C20" s="4"/>
      <c r="D20" s="3"/>
      <c r="E20" s="3"/>
      <c r="F20" s="3"/>
      <c r="G20" s="4"/>
      <c r="H20" s="4"/>
      <c r="K20" s="162" t="s">
        <v>133</v>
      </c>
      <c r="L20" s="96">
        <f>(T22/G15)*100</f>
        <v>90.728165250814442</v>
      </c>
      <c r="M20" s="49"/>
      <c r="O20" s="4"/>
      <c r="P20" s="4"/>
      <c r="Q20" s="4"/>
      <c r="R20" s="4"/>
      <c r="S20" s="4"/>
    </row>
    <row r="21" spans="3:38" ht="14.45" x14ac:dyDescent="0.3">
      <c r="C21" s="4"/>
      <c r="D21" s="3"/>
      <c r="E21" s="3"/>
      <c r="F21" s="3"/>
      <c r="G21" s="4"/>
      <c r="H21" s="4"/>
      <c r="K21" s="159" t="s">
        <v>134</v>
      </c>
      <c r="L21" s="97">
        <f>(S22/(E18)*100)</f>
        <v>95.420933600996122</v>
      </c>
      <c r="M21" s="49"/>
      <c r="R21" s="5" t="s">
        <v>11</v>
      </c>
      <c r="S21" s="5" t="s">
        <v>12</v>
      </c>
      <c r="T21" s="5" t="s">
        <v>0</v>
      </c>
    </row>
    <row r="22" spans="3:38" ht="14.45" x14ac:dyDescent="0.3">
      <c r="C22" s="4"/>
      <c r="D22" s="3"/>
      <c r="E22" s="3"/>
      <c r="F22" s="3"/>
      <c r="G22" s="4"/>
      <c r="H22" s="4"/>
      <c r="K22" s="162" t="s">
        <v>135</v>
      </c>
      <c r="L22" s="96">
        <f>(R22/D18)*100</f>
        <v>79.012345679012341</v>
      </c>
      <c r="P22" s="4"/>
      <c r="Q22" s="5" t="s">
        <v>3</v>
      </c>
      <c r="R22" s="9">
        <v>3200</v>
      </c>
      <c r="S22" s="9">
        <v>375.51</v>
      </c>
      <c r="T22" s="22">
        <f>R22/S22</f>
        <v>8.5217437618172625</v>
      </c>
    </row>
    <row r="23" spans="3:38" ht="16.149999999999999" x14ac:dyDescent="0.3">
      <c r="C23" s="4"/>
      <c r="D23" s="3"/>
      <c r="E23" s="3"/>
      <c r="F23" s="3"/>
      <c r="G23" s="4"/>
      <c r="H23" s="4"/>
      <c r="K23" s="159" t="s">
        <v>136</v>
      </c>
      <c r="L23" s="13">
        <f>(D18+I18+L18+P18+R18+V18)/R22</f>
        <v>20.26808875</v>
      </c>
      <c r="N23" s="163" t="s">
        <v>139</v>
      </c>
      <c r="O23" s="93">
        <f>G15/N18*1000</f>
        <v>0.21103780801519151</v>
      </c>
      <c r="P23" s="4"/>
      <c r="S23" s="53"/>
      <c r="T23" s="3"/>
    </row>
    <row r="24" spans="3:38" ht="16.149999999999999" x14ac:dyDescent="0.3">
      <c r="C24" s="4"/>
      <c r="D24" s="3"/>
      <c r="E24" s="3"/>
      <c r="F24" s="3"/>
      <c r="G24" s="4"/>
      <c r="H24" s="4"/>
      <c r="I24" s="4"/>
      <c r="K24" s="163" t="s">
        <v>137</v>
      </c>
      <c r="L24" s="15">
        <f>(D18+I18+L18)/R22</f>
        <v>3.15871375</v>
      </c>
      <c r="O24" s="4"/>
      <c r="P24" s="4"/>
      <c r="S24" s="4"/>
    </row>
    <row r="25" spans="3:38" ht="16.149999999999999" x14ac:dyDescent="0.3">
      <c r="C25" s="4"/>
      <c r="D25" s="3"/>
      <c r="E25" s="3"/>
      <c r="F25" s="3"/>
      <c r="G25" s="4"/>
      <c r="H25" s="4"/>
      <c r="I25" s="4"/>
      <c r="K25" s="164" t="s">
        <v>138</v>
      </c>
      <c r="L25" s="16">
        <f>(P18+V18)/R22</f>
        <v>17.109375</v>
      </c>
      <c r="M25" s="4"/>
      <c r="P25" s="4"/>
      <c r="U25" s="4"/>
      <c r="V25" s="4"/>
    </row>
    <row r="26" spans="3:38" ht="14.45" x14ac:dyDescent="0.3">
      <c r="C26" s="6"/>
      <c r="D26"/>
      <c r="E26" s="3"/>
      <c r="F26" s="3"/>
      <c r="G26" s="4"/>
      <c r="H26" s="4"/>
      <c r="I26" s="4"/>
      <c r="K26" s="4"/>
      <c r="L26" s="4"/>
      <c r="M26" s="4"/>
      <c r="P26" s="4"/>
      <c r="Q26" s="4"/>
      <c r="R26" s="4"/>
      <c r="S26" s="4"/>
      <c r="T26" s="4"/>
      <c r="U26" s="4"/>
      <c r="V26" s="4"/>
    </row>
    <row r="27" spans="3:38" ht="14.45" x14ac:dyDescent="0.3">
      <c r="D27" s="39"/>
      <c r="E27" s="39"/>
      <c r="F27" s="39"/>
    </row>
    <row r="28" spans="3:38" ht="15" customHeight="1" x14ac:dyDescent="0.25">
      <c r="C28" s="41" t="s">
        <v>177</v>
      </c>
      <c r="D28" s="192"/>
      <c r="E28" s="192"/>
      <c r="F28" s="192"/>
      <c r="G28" s="192"/>
      <c r="H28" s="192"/>
      <c r="I28" s="192"/>
      <c r="J28" s="192"/>
      <c r="K28" s="192"/>
      <c r="L28" s="103"/>
      <c r="M28" s="190" t="s">
        <v>101</v>
      </c>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25"/>
      <c r="AK28" s="125"/>
      <c r="AL28" s="125"/>
    </row>
    <row r="29" spans="3:38" x14ac:dyDescent="0.25">
      <c r="C29" s="110" t="s">
        <v>54</v>
      </c>
      <c r="D29" s="192"/>
      <c r="E29" s="192"/>
      <c r="F29" s="192"/>
      <c r="G29" s="192"/>
      <c r="H29" s="192"/>
      <c r="I29" s="192"/>
      <c r="J29" s="192"/>
      <c r="K29" s="192"/>
      <c r="L29" s="103"/>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25"/>
      <c r="AK29" s="125"/>
      <c r="AL29" s="125"/>
    </row>
    <row r="30" spans="3:38" x14ac:dyDescent="0.25">
      <c r="C30" s="52"/>
      <c r="D30" s="192"/>
      <c r="E30" s="192"/>
      <c r="F30" s="192"/>
      <c r="G30" s="192"/>
      <c r="H30" s="192"/>
      <c r="I30" s="192"/>
      <c r="J30" s="192"/>
      <c r="K30" s="192"/>
      <c r="L30" s="103"/>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25"/>
      <c r="AK30" s="125"/>
      <c r="AL30" s="125"/>
    </row>
    <row r="31" spans="3:38" x14ac:dyDescent="0.25">
      <c r="D31" s="192"/>
      <c r="E31" s="192"/>
      <c r="F31" s="192"/>
      <c r="G31" s="192"/>
      <c r="H31" s="192"/>
      <c r="I31" s="192"/>
      <c r="J31" s="192"/>
      <c r="K31" s="192"/>
      <c r="L31" s="103"/>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25"/>
      <c r="AK31" s="125"/>
      <c r="AL31" s="125"/>
    </row>
    <row r="32" spans="3:38" x14ac:dyDescent="0.25">
      <c r="D32" s="192"/>
      <c r="E32" s="192"/>
      <c r="F32" s="192"/>
      <c r="G32" s="192"/>
      <c r="H32" s="192"/>
      <c r="I32" s="192"/>
      <c r="J32" s="192"/>
      <c r="K32" s="192"/>
      <c r="L32" s="103"/>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25"/>
      <c r="AK32" s="125"/>
      <c r="AL32" s="125"/>
    </row>
    <row r="33" spans="2:38" x14ac:dyDescent="0.25">
      <c r="D33" s="192"/>
      <c r="E33" s="192"/>
      <c r="F33" s="192"/>
      <c r="G33" s="192"/>
      <c r="H33" s="192"/>
      <c r="I33" s="192"/>
      <c r="J33" s="192"/>
      <c r="K33" s="192"/>
      <c r="L33" s="103"/>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25"/>
      <c r="AK33" s="125"/>
      <c r="AL33" s="125"/>
    </row>
    <row r="34" spans="2:38" x14ac:dyDescent="0.25">
      <c r="C34" s="54"/>
      <c r="D34" s="192"/>
      <c r="E34" s="192"/>
      <c r="F34" s="192"/>
      <c r="G34" s="192"/>
      <c r="H34" s="192"/>
      <c r="I34" s="192"/>
      <c r="J34" s="192"/>
      <c r="K34" s="192"/>
      <c r="L34" s="103"/>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25"/>
      <c r="AK34" s="125"/>
      <c r="AL34" s="125"/>
    </row>
    <row r="35" spans="2:38" x14ac:dyDescent="0.25">
      <c r="D35" s="192"/>
      <c r="E35" s="192"/>
      <c r="F35" s="192"/>
      <c r="G35" s="192"/>
      <c r="H35" s="192"/>
      <c r="I35" s="192"/>
      <c r="J35" s="192"/>
      <c r="K35" s="192"/>
      <c r="L35" s="103"/>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25"/>
      <c r="AK35" s="125"/>
      <c r="AL35" s="125"/>
    </row>
    <row r="36" spans="2:38" x14ac:dyDescent="0.25">
      <c r="D36" s="192"/>
      <c r="E36" s="192"/>
      <c r="F36" s="192"/>
      <c r="G36" s="192"/>
      <c r="H36" s="192"/>
      <c r="I36" s="192"/>
      <c r="J36" s="192"/>
      <c r="K36" s="192"/>
      <c r="L36" s="103"/>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25"/>
      <c r="AK36" s="125"/>
      <c r="AL36" s="125"/>
    </row>
    <row r="37" spans="2:38" x14ac:dyDescent="0.25">
      <c r="D37" s="192"/>
      <c r="E37" s="192"/>
      <c r="F37" s="192"/>
      <c r="G37" s="192"/>
      <c r="H37" s="192"/>
      <c r="I37" s="192"/>
      <c r="J37" s="192"/>
      <c r="K37" s="192"/>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row>
    <row r="38" spans="2:38" s="158" customFormat="1" x14ac:dyDescent="0.25">
      <c r="D38" s="155"/>
      <c r="E38" s="155"/>
      <c r="F38" s="155"/>
      <c r="G38" s="155"/>
      <c r="H38" s="155"/>
      <c r="I38" s="155"/>
      <c r="J38" s="155"/>
      <c r="K38" s="155"/>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row>
    <row r="39" spans="2:38" s="158" customFormat="1" x14ac:dyDescent="0.25">
      <c r="D39" s="155"/>
      <c r="E39" s="155"/>
      <c r="F39" s="155"/>
      <c r="G39" s="155"/>
      <c r="H39" s="155"/>
      <c r="I39" s="155"/>
      <c r="J39" s="155"/>
      <c r="K39" s="155"/>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row>
    <row r="40" spans="2:38" ht="14.45" x14ac:dyDescent="0.3">
      <c r="C40" s="6" t="s">
        <v>26</v>
      </c>
      <c r="D40" s="53"/>
      <c r="E40" s="53"/>
      <c r="F40" s="53"/>
    </row>
    <row r="41" spans="2:38" ht="30.6" x14ac:dyDescent="0.3">
      <c r="C41" s="17" t="s">
        <v>14</v>
      </c>
      <c r="D41" s="20" t="s">
        <v>21</v>
      </c>
      <c r="E41" s="20" t="s">
        <v>94</v>
      </c>
      <c r="F41" s="17" t="s">
        <v>13</v>
      </c>
      <c r="G41" s="17" t="s">
        <v>15</v>
      </c>
      <c r="H41" s="18" t="s">
        <v>1</v>
      </c>
      <c r="I41" s="19" t="s">
        <v>25</v>
      </c>
      <c r="J41" s="17" t="s">
        <v>2</v>
      </c>
      <c r="K41" s="20" t="s">
        <v>94</v>
      </c>
      <c r="L41" s="20" t="s">
        <v>22</v>
      </c>
      <c r="M41" s="19" t="s">
        <v>8</v>
      </c>
      <c r="N41" s="19" t="s">
        <v>16</v>
      </c>
      <c r="O41" s="19" t="s">
        <v>17</v>
      </c>
      <c r="P41" s="19" t="s">
        <v>18</v>
      </c>
      <c r="Q41" s="20" t="s">
        <v>10</v>
      </c>
      <c r="R41" s="20" t="s">
        <v>23</v>
      </c>
      <c r="S41" s="19" t="s">
        <v>9</v>
      </c>
      <c r="T41" s="19" t="s">
        <v>19</v>
      </c>
      <c r="U41" s="19" t="s">
        <v>20</v>
      </c>
      <c r="V41" s="19" t="s">
        <v>24</v>
      </c>
    </row>
    <row r="42" spans="2:38" ht="14.45" x14ac:dyDescent="0.3">
      <c r="B42" s="41" t="s">
        <v>177</v>
      </c>
      <c r="C42" s="176" t="s">
        <v>112</v>
      </c>
      <c r="D42" s="8">
        <v>23100</v>
      </c>
      <c r="E42" s="8">
        <v>338.42</v>
      </c>
      <c r="F42" s="8">
        <v>1</v>
      </c>
      <c r="G42" s="11">
        <f>D42/E42</f>
        <v>68.258377164470176</v>
      </c>
      <c r="H42" s="7"/>
      <c r="I42" s="7"/>
      <c r="J42" s="8" t="s">
        <v>48</v>
      </c>
      <c r="K42" s="8">
        <v>126.92</v>
      </c>
      <c r="L42" s="46">
        <f>71.89*K42</f>
        <v>9124.2788</v>
      </c>
      <c r="M42" s="7" t="s">
        <v>27</v>
      </c>
      <c r="N42" s="44">
        <f>(100+5+116+6+24)*1000</f>
        <v>251000</v>
      </c>
      <c r="O42" s="42">
        <v>0.88300000000000001</v>
      </c>
      <c r="P42" s="11">
        <f>N42*O42</f>
        <v>221633</v>
      </c>
      <c r="Q42" s="8"/>
      <c r="R42" s="8"/>
      <c r="S42" s="7"/>
      <c r="T42" s="7"/>
      <c r="U42" s="7"/>
      <c r="V42" s="11">
        <f>T42*U42</f>
        <v>0</v>
      </c>
    </row>
    <row r="43" spans="2:38" ht="14.45" x14ac:dyDescent="0.3">
      <c r="C43" s="8" t="s">
        <v>53</v>
      </c>
      <c r="D43" s="8">
        <v>7150</v>
      </c>
      <c r="E43" s="8">
        <v>95.11</v>
      </c>
      <c r="F43" s="8">
        <f>G43/G42</f>
        <v>1.1013463107880099</v>
      </c>
      <c r="G43" s="11">
        <f>D43/E43</f>
        <v>75.176111870465775</v>
      </c>
      <c r="H43" s="1"/>
      <c r="I43" s="1"/>
      <c r="J43" s="25" t="s">
        <v>38</v>
      </c>
      <c r="K43" s="26">
        <v>73.09</v>
      </c>
      <c r="L43" s="46">
        <f>3.76*K43</f>
        <v>274.8184</v>
      </c>
      <c r="M43" s="42"/>
      <c r="N43" s="45"/>
      <c r="O43" s="1"/>
      <c r="P43" s="11">
        <f>N43*O43</f>
        <v>0</v>
      </c>
      <c r="Q43" s="8"/>
      <c r="R43" s="8"/>
      <c r="S43" s="7"/>
      <c r="T43" s="7"/>
      <c r="U43" s="7"/>
      <c r="V43" s="11">
        <f t="shared" ref="V43:V44" si="2">T43*U43</f>
        <v>0</v>
      </c>
    </row>
    <row r="44" spans="2:38" ht="14.45" x14ac:dyDescent="0.3">
      <c r="C44" s="8"/>
      <c r="D44" s="8"/>
      <c r="E44" s="8"/>
      <c r="F44" s="8"/>
      <c r="G44" s="10"/>
      <c r="H44" s="1"/>
      <c r="I44" s="1"/>
      <c r="J44" s="25" t="s">
        <v>52</v>
      </c>
      <c r="K44" s="26">
        <v>79.099999999999994</v>
      </c>
      <c r="L44" s="46">
        <f>682.7*K44</f>
        <v>54001.57</v>
      </c>
      <c r="M44" s="42"/>
      <c r="N44" s="45"/>
      <c r="O44" s="1"/>
      <c r="P44" s="11">
        <f t="shared" ref="P44" si="3">N44*O44</f>
        <v>0</v>
      </c>
      <c r="Q44" s="8"/>
      <c r="R44" s="8"/>
      <c r="S44" s="7"/>
      <c r="T44" s="7"/>
      <c r="U44" s="7"/>
      <c r="V44" s="11">
        <f t="shared" si="2"/>
        <v>0</v>
      </c>
    </row>
    <row r="45" spans="2:38" ht="14.45" x14ac:dyDescent="0.3">
      <c r="C45" s="10" t="s">
        <v>4</v>
      </c>
      <c r="D45" s="11">
        <f>SUM(D42:D43)</f>
        <v>30250</v>
      </c>
      <c r="E45" s="11">
        <f>SUM(E42:E43)</f>
        <v>433.53000000000003</v>
      </c>
      <c r="F45" s="10"/>
      <c r="G45" s="165">
        <f>SUM(G42:G43)</f>
        <v>143.43448903493595</v>
      </c>
      <c r="I45" s="23">
        <f>SUM(I42:I43)</f>
        <v>0</v>
      </c>
      <c r="L45" s="47">
        <f>SUM(L42:L44)</f>
        <v>63400.667199999996</v>
      </c>
      <c r="N45" s="89">
        <f>SUM(N42:N44)</f>
        <v>251000</v>
      </c>
      <c r="P45" s="23">
        <f>SUM(P42:P44)</f>
        <v>221633</v>
      </c>
      <c r="R45" s="23">
        <f>SUM(R42:R44)</f>
        <v>0</v>
      </c>
      <c r="V45" s="23">
        <f>SUM(V42:V44)</f>
        <v>0</v>
      </c>
    </row>
    <row r="46" spans="2:38" ht="14.45" x14ac:dyDescent="0.3">
      <c r="C46" s="4"/>
      <c r="D46" s="3"/>
      <c r="E46" s="3"/>
      <c r="F46" s="3"/>
      <c r="G46" s="4"/>
      <c r="H46" s="4"/>
      <c r="I46" s="4"/>
      <c r="M46" s="4"/>
      <c r="N46" s="4"/>
      <c r="O46" s="4"/>
      <c r="P46" s="4"/>
      <c r="Q46" s="4"/>
      <c r="R46" s="4"/>
      <c r="S46" s="4"/>
      <c r="T46" s="4"/>
      <c r="U46" s="4"/>
      <c r="V46" s="4"/>
    </row>
    <row r="47" spans="2:38" ht="14.45" x14ac:dyDescent="0.3">
      <c r="C47" s="4"/>
      <c r="D47" s="3"/>
      <c r="E47" s="3"/>
      <c r="F47" s="3"/>
      <c r="G47" s="4"/>
      <c r="H47" s="4"/>
      <c r="K47" s="162" t="s">
        <v>133</v>
      </c>
      <c r="L47" s="96">
        <f>(T49/G42)*100</f>
        <v>74.079463718590716</v>
      </c>
      <c r="O47" s="4"/>
      <c r="P47" s="4"/>
      <c r="Q47" s="4"/>
      <c r="R47" s="4"/>
      <c r="S47" s="4"/>
    </row>
    <row r="48" spans="2:38" ht="14.45" x14ac:dyDescent="0.3">
      <c r="C48" s="4"/>
      <c r="D48" s="3"/>
      <c r="E48" s="3"/>
      <c r="F48" s="3"/>
      <c r="G48" s="4"/>
      <c r="H48" s="4"/>
      <c r="K48" s="159" t="s">
        <v>134</v>
      </c>
      <c r="L48" s="97">
        <f>(S49/(E45)*100)</f>
        <v>96.069476160819306</v>
      </c>
      <c r="R48" s="5" t="s">
        <v>11</v>
      </c>
      <c r="S48" s="5" t="s">
        <v>12</v>
      </c>
      <c r="T48" s="5" t="s">
        <v>0</v>
      </c>
    </row>
    <row r="49" spans="1:22" ht="14.45" x14ac:dyDescent="0.3">
      <c r="C49" s="4"/>
      <c r="D49" s="3"/>
      <c r="E49" s="3"/>
      <c r="F49" s="3"/>
      <c r="G49" s="4"/>
      <c r="H49" s="4"/>
      <c r="K49" s="162" t="s">
        <v>135</v>
      </c>
      <c r="L49" s="96">
        <f>(R49/D45)*100</f>
        <v>69.619834710743802</v>
      </c>
      <c r="P49" s="4"/>
      <c r="Q49" s="5" t="s">
        <v>3</v>
      </c>
      <c r="R49" s="55">
        <v>21060</v>
      </c>
      <c r="S49" s="9">
        <v>416.49</v>
      </c>
      <c r="T49" s="48">
        <f>R49/S49</f>
        <v>50.565439746452498</v>
      </c>
    </row>
    <row r="50" spans="1:22" ht="16.149999999999999" x14ac:dyDescent="0.3">
      <c r="C50" s="4"/>
      <c r="D50" s="3"/>
      <c r="E50" s="3"/>
      <c r="F50" s="3"/>
      <c r="G50" s="4"/>
      <c r="H50" s="4"/>
      <c r="K50" s="159" t="s">
        <v>136</v>
      </c>
      <c r="L50" s="13">
        <f>(D45+I45+L45+P45+R45+V45)/R49</f>
        <v>14.970734434947769</v>
      </c>
      <c r="O50" s="4"/>
      <c r="P50" s="4"/>
      <c r="S50" s="53"/>
      <c r="T50" s="3"/>
    </row>
    <row r="51" spans="1:22" ht="16.149999999999999" x14ac:dyDescent="0.3">
      <c r="C51" s="4"/>
      <c r="D51" s="3"/>
      <c r="E51" s="3"/>
      <c r="F51" s="3"/>
      <c r="G51" s="4"/>
      <c r="H51" s="4"/>
      <c r="I51" s="4"/>
      <c r="K51" s="163" t="s">
        <v>137</v>
      </c>
      <c r="L51" s="15">
        <f>(D45+I45+L45)/R49</f>
        <v>4.4468502943969606</v>
      </c>
      <c r="O51" s="4"/>
      <c r="P51" s="4"/>
      <c r="S51" s="4"/>
    </row>
    <row r="52" spans="1:22" ht="16.149999999999999" x14ac:dyDescent="0.3">
      <c r="C52" s="4"/>
      <c r="D52" s="3"/>
      <c r="E52" s="3"/>
      <c r="F52" s="3"/>
      <c r="G52" s="4"/>
      <c r="H52" s="4"/>
      <c r="I52" s="4"/>
      <c r="K52" s="164" t="s">
        <v>138</v>
      </c>
      <c r="L52" s="16">
        <f>(P45+V45)/R49</f>
        <v>10.523884140550807</v>
      </c>
      <c r="M52" s="4"/>
      <c r="N52" s="163" t="s">
        <v>139</v>
      </c>
      <c r="O52" s="93">
        <f>(G42/N45)*1000</f>
        <v>0.27194572575486126</v>
      </c>
      <c r="P52" s="4"/>
      <c r="U52" s="4"/>
      <c r="V52" s="4"/>
    </row>
    <row r="53" spans="1:22" ht="14.45" x14ac:dyDescent="0.3">
      <c r="C53" s="6"/>
      <c r="D53"/>
      <c r="E53" s="3"/>
      <c r="F53" s="3"/>
      <c r="G53" s="4"/>
      <c r="H53" s="4"/>
      <c r="I53" s="4"/>
      <c r="N53" s="4"/>
      <c r="O53" s="4"/>
      <c r="P53" s="4"/>
      <c r="Q53" s="4"/>
      <c r="R53" s="4"/>
      <c r="S53" s="4"/>
      <c r="T53" s="4"/>
      <c r="U53" s="4"/>
      <c r="V53" s="4"/>
    </row>
    <row r="54" spans="1:22" ht="14.45" x14ac:dyDescent="0.3">
      <c r="C54" s="6"/>
      <c r="D54"/>
      <c r="E54" s="3"/>
      <c r="F54" s="3"/>
      <c r="G54" s="4"/>
      <c r="H54" s="4"/>
      <c r="I54" s="4"/>
      <c r="J54" s="4"/>
      <c r="K54" s="4"/>
      <c r="L54" s="4"/>
      <c r="M54" s="4"/>
      <c r="N54" s="4"/>
      <c r="O54" s="4"/>
      <c r="P54" s="4"/>
      <c r="Q54" s="4"/>
      <c r="R54" s="4"/>
      <c r="S54" s="4"/>
      <c r="T54" s="4"/>
      <c r="U54" s="4"/>
      <c r="V54" s="4"/>
    </row>
    <row r="55" spans="1:22" s="29" customFormat="1" ht="14.45" x14ac:dyDescent="0.3">
      <c r="A55" s="28" t="s">
        <v>126</v>
      </c>
      <c r="D55" s="30"/>
      <c r="E55" s="30"/>
      <c r="F55" s="30"/>
    </row>
    <row r="56" spans="1:22" x14ac:dyDescent="0.25">
      <c r="B56" s="4"/>
      <c r="C56" s="6" t="s">
        <v>26</v>
      </c>
      <c r="D56" s="53"/>
      <c r="E56" s="53"/>
      <c r="F56" s="53"/>
    </row>
    <row r="57" spans="1:22" ht="34.5" x14ac:dyDescent="0.25">
      <c r="C57" s="17" t="s">
        <v>14</v>
      </c>
      <c r="D57" s="20" t="s">
        <v>21</v>
      </c>
      <c r="E57" s="20" t="s">
        <v>94</v>
      </c>
      <c r="F57" s="17" t="s">
        <v>13</v>
      </c>
      <c r="G57" s="17" t="s">
        <v>15</v>
      </c>
      <c r="H57" s="18" t="s">
        <v>1</v>
      </c>
      <c r="I57" s="19" t="s">
        <v>25</v>
      </c>
      <c r="J57" s="17" t="s">
        <v>2</v>
      </c>
      <c r="K57" s="20" t="s">
        <v>94</v>
      </c>
      <c r="L57" s="20" t="s">
        <v>22</v>
      </c>
      <c r="M57" s="19" t="s">
        <v>8</v>
      </c>
      <c r="N57" s="19" t="s">
        <v>16</v>
      </c>
      <c r="O57" s="19" t="s">
        <v>17</v>
      </c>
      <c r="P57" s="19" t="s">
        <v>18</v>
      </c>
      <c r="Q57" s="20" t="s">
        <v>10</v>
      </c>
      <c r="R57" s="20" t="s">
        <v>23</v>
      </c>
      <c r="S57" s="19" t="s">
        <v>9</v>
      </c>
      <c r="T57" s="19" t="s">
        <v>19</v>
      </c>
      <c r="U57" s="19" t="s">
        <v>20</v>
      </c>
      <c r="V57" s="19" t="s">
        <v>24</v>
      </c>
    </row>
    <row r="58" spans="1:22" x14ac:dyDescent="0.25">
      <c r="B58" s="41" t="s">
        <v>176</v>
      </c>
      <c r="C58" s="176" t="s">
        <v>111</v>
      </c>
      <c r="D58" s="8">
        <v>3000</v>
      </c>
      <c r="E58" s="8">
        <v>319.39999999999998</v>
      </c>
      <c r="F58" s="8">
        <v>1</v>
      </c>
      <c r="G58" s="11">
        <f>D58/E58</f>
        <v>9.3926111458985613</v>
      </c>
      <c r="H58" s="7"/>
      <c r="I58" s="7"/>
      <c r="J58" s="8" t="s">
        <v>48</v>
      </c>
      <c r="K58" s="8">
        <v>126.92</v>
      </c>
      <c r="L58" s="46">
        <f>15.2*K58</f>
        <v>1929.184</v>
      </c>
      <c r="M58" s="42" t="s">
        <v>47</v>
      </c>
      <c r="N58" s="45">
        <f>$N$15*23481/44506.77</f>
        <v>15827.479729488346</v>
      </c>
      <c r="O58" s="2">
        <v>1.325</v>
      </c>
      <c r="P58" s="11">
        <f>N58*O58</f>
        <v>20971.41064157206</v>
      </c>
      <c r="Q58" s="8"/>
      <c r="R58" s="8"/>
      <c r="S58" s="7"/>
      <c r="T58" s="7"/>
      <c r="U58" s="7"/>
      <c r="V58" s="11">
        <f>T58*U58</f>
        <v>0</v>
      </c>
    </row>
    <row r="59" spans="1:22" x14ac:dyDescent="0.25">
      <c r="C59" s="8" t="s">
        <v>50</v>
      </c>
      <c r="D59" s="8">
        <v>1050</v>
      </c>
      <c r="E59" s="8">
        <v>74.13</v>
      </c>
      <c r="F59" s="8">
        <v>1.5</v>
      </c>
      <c r="G59" s="11">
        <f>D59/E59</f>
        <v>14.164305949008499</v>
      </c>
      <c r="H59" s="1"/>
      <c r="I59" s="1"/>
      <c r="J59" s="25" t="s">
        <v>38</v>
      </c>
      <c r="K59" s="26">
        <v>73.09</v>
      </c>
      <c r="L59" s="46">
        <f>300*0.945</f>
        <v>283.5</v>
      </c>
      <c r="M59" s="42" t="s">
        <v>51</v>
      </c>
      <c r="N59" s="45">
        <f>$N$16*23481/44506.77</f>
        <v>7653.5201786694133</v>
      </c>
      <c r="O59" s="2">
        <v>1.034</v>
      </c>
      <c r="P59" s="11">
        <f>N59*O59</f>
        <v>7913.7398647441732</v>
      </c>
      <c r="Q59" s="8"/>
      <c r="R59" s="8"/>
      <c r="S59" s="7"/>
      <c r="T59" s="7"/>
      <c r="U59" s="7"/>
      <c r="V59" s="11">
        <f t="shared" ref="V59:V60" si="4">T59*U59</f>
        <v>0</v>
      </c>
    </row>
    <row r="60" spans="1:22" x14ac:dyDescent="0.25">
      <c r="C60" s="8"/>
      <c r="D60" s="8"/>
      <c r="E60" s="8"/>
      <c r="F60" s="8"/>
      <c r="G60" s="10"/>
      <c r="H60" s="1"/>
      <c r="I60" s="1"/>
      <c r="J60" s="25" t="s">
        <v>49</v>
      </c>
      <c r="K60" s="26">
        <v>101.19</v>
      </c>
      <c r="L60" s="46">
        <v>3845.2</v>
      </c>
      <c r="M60" s="42"/>
      <c r="N60" s="45"/>
      <c r="O60" s="1"/>
      <c r="P60" s="11">
        <f t="shared" ref="P60" si="5">N60*O60</f>
        <v>0</v>
      </c>
      <c r="Q60" s="8"/>
      <c r="R60" s="8"/>
      <c r="S60" s="7"/>
      <c r="T60" s="7"/>
      <c r="U60" s="7"/>
      <c r="V60" s="11">
        <f t="shared" si="4"/>
        <v>0</v>
      </c>
    </row>
    <row r="61" spans="1:22" x14ac:dyDescent="0.25">
      <c r="C61" s="10" t="s">
        <v>4</v>
      </c>
      <c r="D61" s="11">
        <f>SUM(D58:D59)</f>
        <v>4050</v>
      </c>
      <c r="E61" s="11">
        <f>SUM(E58:E59)</f>
        <v>393.53</v>
      </c>
      <c r="F61" s="10"/>
      <c r="G61" s="165">
        <f>SUM(G58:G59)</f>
        <v>23.55691709490706</v>
      </c>
      <c r="I61" s="23">
        <f>SUM(I58:I59)</f>
        <v>0</v>
      </c>
      <c r="L61" s="47">
        <f>SUM(L58:L60)</f>
        <v>6057.884</v>
      </c>
      <c r="N61" s="89">
        <f>N58+N59</f>
        <v>23480.999908157759</v>
      </c>
      <c r="P61" s="23">
        <f>SUM(P58:P60)</f>
        <v>28885.150506316233</v>
      </c>
      <c r="R61" s="23">
        <f>SUM(R58:R60)</f>
        <v>0</v>
      </c>
      <c r="V61" s="23">
        <f>SUM(V58:V60)</f>
        <v>0</v>
      </c>
    </row>
    <row r="62" spans="1:22" x14ac:dyDescent="0.25">
      <c r="C62" s="4"/>
      <c r="D62" s="3"/>
      <c r="E62" s="3"/>
      <c r="F62" s="3"/>
      <c r="G62" s="4"/>
      <c r="H62" s="4"/>
      <c r="I62" s="4"/>
      <c r="M62" s="49"/>
      <c r="N62" s="4"/>
      <c r="O62" s="4"/>
      <c r="P62" s="4"/>
      <c r="Q62" s="4"/>
      <c r="R62" s="4"/>
      <c r="S62" s="4"/>
      <c r="T62" s="4"/>
      <c r="U62" s="4"/>
      <c r="V62" s="4"/>
    </row>
    <row r="63" spans="1:22" x14ac:dyDescent="0.25">
      <c r="C63" s="4"/>
      <c r="D63" s="3"/>
      <c r="E63" s="3"/>
      <c r="F63" s="3"/>
      <c r="G63" s="4"/>
      <c r="H63" s="4"/>
      <c r="K63" s="162" t="s">
        <v>133</v>
      </c>
      <c r="L63" s="96">
        <f>(T65/G58)*100</f>
        <v>90.728165250814442</v>
      </c>
      <c r="M63" s="49"/>
      <c r="O63" s="4"/>
      <c r="P63" s="4"/>
      <c r="Q63" s="4"/>
      <c r="R63" s="4"/>
      <c r="S63" s="4"/>
    </row>
    <row r="64" spans="1:22" x14ac:dyDescent="0.25">
      <c r="C64" s="4"/>
      <c r="D64" s="3"/>
      <c r="E64" s="3"/>
      <c r="F64" s="3"/>
      <c r="G64" s="4"/>
      <c r="H64" s="4"/>
      <c r="K64" s="159" t="s">
        <v>134</v>
      </c>
      <c r="L64" s="97">
        <f>(S65/(E61)*100)</f>
        <v>95.420933600996122</v>
      </c>
      <c r="M64" s="49"/>
      <c r="R64" s="5" t="s">
        <v>11</v>
      </c>
      <c r="S64" s="5" t="s">
        <v>12</v>
      </c>
      <c r="T64" s="5" t="s">
        <v>0</v>
      </c>
    </row>
    <row r="65" spans="2:22" x14ac:dyDescent="0.25">
      <c r="C65" s="4"/>
      <c r="D65" s="3"/>
      <c r="E65" s="3"/>
      <c r="F65" s="3"/>
      <c r="G65" s="4"/>
      <c r="H65" s="4"/>
      <c r="K65" s="162" t="s">
        <v>135</v>
      </c>
      <c r="L65" s="96">
        <f>(R65/D61)*100</f>
        <v>79.012345679012341</v>
      </c>
      <c r="P65" s="4"/>
      <c r="Q65" s="5" t="s">
        <v>3</v>
      </c>
      <c r="R65" s="9">
        <v>3200</v>
      </c>
      <c r="S65" s="9">
        <v>375.51</v>
      </c>
      <c r="T65" s="22">
        <f>R65/S65</f>
        <v>8.5217437618172625</v>
      </c>
    </row>
    <row r="66" spans="2:22" ht="17.25" x14ac:dyDescent="0.25">
      <c r="C66" s="4"/>
      <c r="D66" s="3"/>
      <c r="E66" s="3"/>
      <c r="F66" s="3"/>
      <c r="G66" s="4"/>
      <c r="H66" s="4"/>
      <c r="K66" s="159" t="s">
        <v>136</v>
      </c>
      <c r="L66" s="13">
        <f>(D61+I61+L61+P61+R61+V61)/R65</f>
        <v>12.185323283223822</v>
      </c>
      <c r="N66" s="163" t="s">
        <v>139</v>
      </c>
      <c r="O66" s="93">
        <f>G58/N61*1000</f>
        <v>0.40000899376671706</v>
      </c>
      <c r="P66" s="4"/>
      <c r="S66" s="53"/>
      <c r="T66" s="3"/>
    </row>
    <row r="67" spans="2:22" ht="17.25" x14ac:dyDescent="0.25">
      <c r="C67" s="4"/>
      <c r="D67" s="3"/>
      <c r="E67" s="3"/>
      <c r="F67" s="3"/>
      <c r="G67" s="4"/>
      <c r="H67" s="4"/>
      <c r="I67" s="4"/>
      <c r="K67" s="163" t="s">
        <v>137</v>
      </c>
      <c r="L67" s="15">
        <f>(D61+I61+L61)/R65</f>
        <v>3.15871375</v>
      </c>
      <c r="O67" s="4"/>
      <c r="P67" s="4"/>
      <c r="S67" s="4"/>
    </row>
    <row r="68" spans="2:22" ht="17.25" x14ac:dyDescent="0.25">
      <c r="C68" s="4"/>
      <c r="D68" s="3"/>
      <c r="E68" s="3"/>
      <c r="F68" s="3"/>
      <c r="G68" s="4"/>
      <c r="H68" s="4"/>
      <c r="I68" s="4"/>
      <c r="K68" s="164" t="s">
        <v>138</v>
      </c>
      <c r="L68" s="16">
        <f>(P61+V61)/R65</f>
        <v>9.026609533223823</v>
      </c>
      <c r="M68" s="4"/>
      <c r="P68" s="4"/>
      <c r="U68" s="4"/>
      <c r="V68" s="4"/>
    </row>
    <row r="69" spans="2:22" x14ac:dyDescent="0.25">
      <c r="C69" s="6"/>
      <c r="D69"/>
      <c r="E69" s="3"/>
      <c r="F69" s="3"/>
      <c r="G69" s="4"/>
      <c r="H69" s="4"/>
      <c r="I69" s="4"/>
      <c r="K69" s="4"/>
      <c r="L69" s="4"/>
      <c r="M69" s="4"/>
      <c r="P69" s="4"/>
      <c r="Q69" s="4"/>
      <c r="R69" s="4"/>
      <c r="S69" s="4"/>
      <c r="T69" s="4"/>
      <c r="U69" s="4"/>
      <c r="V69" s="4"/>
    </row>
    <row r="70" spans="2:22" x14ac:dyDescent="0.25">
      <c r="B70" s="4"/>
      <c r="C70" s="6" t="s">
        <v>26</v>
      </c>
      <c r="D70" s="53"/>
      <c r="E70" s="53"/>
      <c r="F70" s="53"/>
    </row>
    <row r="71" spans="2:22" ht="34.5" x14ac:dyDescent="0.25">
      <c r="C71" s="17" t="s">
        <v>14</v>
      </c>
      <c r="D71" s="20" t="s">
        <v>21</v>
      </c>
      <c r="E71" s="20" t="s">
        <v>94</v>
      </c>
      <c r="F71" s="17" t="s">
        <v>13</v>
      </c>
      <c r="G71" s="17" t="s">
        <v>15</v>
      </c>
      <c r="H71" s="18" t="s">
        <v>1</v>
      </c>
      <c r="I71" s="19" t="s">
        <v>25</v>
      </c>
      <c r="J71" s="17" t="s">
        <v>2</v>
      </c>
      <c r="K71" s="20" t="s">
        <v>94</v>
      </c>
      <c r="L71" s="20" t="s">
        <v>22</v>
      </c>
      <c r="M71" s="19" t="s">
        <v>8</v>
      </c>
      <c r="N71" s="19" t="s">
        <v>16</v>
      </c>
      <c r="O71" s="19" t="s">
        <v>17</v>
      </c>
      <c r="P71" s="19" t="s">
        <v>18</v>
      </c>
      <c r="Q71" s="20" t="s">
        <v>10</v>
      </c>
      <c r="R71" s="20" t="s">
        <v>23</v>
      </c>
      <c r="S71" s="19" t="s">
        <v>9</v>
      </c>
      <c r="T71" s="19" t="s">
        <v>19</v>
      </c>
      <c r="U71" s="19" t="s">
        <v>20</v>
      </c>
      <c r="V71" s="19" t="s">
        <v>24</v>
      </c>
    </row>
    <row r="72" spans="2:22" x14ac:dyDescent="0.25">
      <c r="B72" s="41" t="s">
        <v>177</v>
      </c>
      <c r="C72" s="176" t="s">
        <v>112</v>
      </c>
      <c r="D72" s="8">
        <v>23100</v>
      </c>
      <c r="E72" s="8">
        <v>338.42</v>
      </c>
      <c r="F72" s="8">
        <v>1</v>
      </c>
      <c r="G72" s="11">
        <f>D72/E72</f>
        <v>68.258377164470176</v>
      </c>
      <c r="H72" s="7"/>
      <c r="I72" s="7"/>
      <c r="J72" s="8" t="s">
        <v>48</v>
      </c>
      <c r="K72" s="8">
        <v>126.92</v>
      </c>
      <c r="L72" s="46">
        <f>71.89*K72</f>
        <v>9124.2788</v>
      </c>
      <c r="M72" s="7" t="s">
        <v>27</v>
      </c>
      <c r="N72" s="44">
        <v>170646</v>
      </c>
      <c r="O72" s="42">
        <v>0.88300000000000001</v>
      </c>
      <c r="P72" s="11">
        <f>N72*O72</f>
        <v>150680.41800000001</v>
      </c>
      <c r="Q72" s="8"/>
      <c r="R72" s="8"/>
      <c r="S72" s="7"/>
      <c r="T72" s="7"/>
      <c r="U72" s="7"/>
      <c r="V72" s="11">
        <f>T72*U72</f>
        <v>0</v>
      </c>
    </row>
    <row r="73" spans="2:22" x14ac:dyDescent="0.25">
      <c r="C73" s="8" t="s">
        <v>53</v>
      </c>
      <c r="D73" s="8">
        <v>7150</v>
      </c>
      <c r="E73" s="8">
        <v>95.11</v>
      </c>
      <c r="F73" s="8">
        <f>G73/G72</f>
        <v>1.1013463107880099</v>
      </c>
      <c r="G73" s="11">
        <f>D73/E73</f>
        <v>75.176111870465775</v>
      </c>
      <c r="H73" s="1"/>
      <c r="I73" s="1"/>
      <c r="J73" s="25" t="s">
        <v>38</v>
      </c>
      <c r="K73" s="26">
        <v>73.09</v>
      </c>
      <c r="L73" s="46">
        <f>3.76*K73</f>
        <v>274.8184</v>
      </c>
      <c r="M73" s="42"/>
      <c r="N73" s="45"/>
      <c r="O73" s="1"/>
      <c r="P73" s="11">
        <f>N73*O73</f>
        <v>0</v>
      </c>
      <c r="Q73" s="8"/>
      <c r="R73" s="8"/>
      <c r="S73" s="7"/>
      <c r="T73" s="7"/>
      <c r="U73" s="7"/>
      <c r="V73" s="11">
        <f t="shared" ref="V73:V74" si="6">T73*U73</f>
        <v>0</v>
      </c>
    </row>
    <row r="74" spans="2:22" x14ac:dyDescent="0.25">
      <c r="C74" s="8"/>
      <c r="D74" s="8"/>
      <c r="E74" s="8"/>
      <c r="F74" s="8"/>
      <c r="G74" s="10"/>
      <c r="H74" s="1"/>
      <c r="I74" s="1"/>
      <c r="J74" s="25" t="s">
        <v>52</v>
      </c>
      <c r="K74" s="26">
        <v>79.099999999999994</v>
      </c>
      <c r="L74" s="46">
        <f>682.7*K74</f>
        <v>54001.57</v>
      </c>
      <c r="M74" s="42"/>
      <c r="N74" s="45"/>
      <c r="O74" s="1"/>
      <c r="P74" s="11">
        <f t="shared" ref="P74" si="7">N74*O74</f>
        <v>0</v>
      </c>
      <c r="Q74" s="8"/>
      <c r="R74" s="8"/>
      <c r="S74" s="7"/>
      <c r="T74" s="7"/>
      <c r="U74" s="7"/>
      <c r="V74" s="11">
        <f t="shared" si="6"/>
        <v>0</v>
      </c>
    </row>
    <row r="75" spans="2:22" x14ac:dyDescent="0.25">
      <c r="C75" s="10" t="s">
        <v>4</v>
      </c>
      <c r="D75" s="11">
        <f>SUM(D72:D73)</f>
        <v>30250</v>
      </c>
      <c r="E75" s="11">
        <f>SUM(E72:E73)</f>
        <v>433.53000000000003</v>
      </c>
      <c r="F75" s="10"/>
      <c r="G75" s="165">
        <f>SUM(G72:G73)</f>
        <v>143.43448903493595</v>
      </c>
      <c r="I75" s="23">
        <f>SUM(I72:I73)</f>
        <v>0</v>
      </c>
      <c r="L75" s="47">
        <f>SUM(L72:L74)</f>
        <v>63400.667199999996</v>
      </c>
      <c r="N75" s="89">
        <f>SUM(N72:N74)</f>
        <v>170646</v>
      </c>
      <c r="P75" s="23">
        <f>SUM(P72:P74)</f>
        <v>150680.41800000001</v>
      </c>
      <c r="R75" s="23">
        <f>SUM(R72:R74)</f>
        <v>0</v>
      </c>
      <c r="V75" s="23">
        <f>SUM(V72:V74)</f>
        <v>0</v>
      </c>
    </row>
    <row r="76" spans="2:22" x14ac:dyDescent="0.25">
      <c r="C76" s="4"/>
      <c r="D76" s="3"/>
      <c r="E76" s="3"/>
      <c r="F76" s="3"/>
      <c r="G76" s="4"/>
      <c r="H76" s="4"/>
      <c r="I76" s="4"/>
      <c r="M76" s="4"/>
      <c r="N76" s="4"/>
      <c r="O76" s="4"/>
      <c r="P76" s="4"/>
      <c r="Q76" s="4"/>
      <c r="R76" s="4"/>
      <c r="S76" s="4"/>
      <c r="T76" s="4"/>
      <c r="U76" s="4"/>
      <c r="V76" s="4"/>
    </row>
    <row r="77" spans="2:22" x14ac:dyDescent="0.25">
      <c r="C77" s="4"/>
      <c r="D77" s="3"/>
      <c r="E77" s="3"/>
      <c r="F77" s="3"/>
      <c r="G77" s="4"/>
      <c r="H77" s="4"/>
      <c r="K77" s="162" t="s">
        <v>133</v>
      </c>
      <c r="L77" s="96">
        <f>(T79/G72)*100</f>
        <v>74.079463718590716</v>
      </c>
      <c r="O77" s="4"/>
      <c r="P77" s="4"/>
      <c r="Q77" s="4"/>
      <c r="R77" s="4"/>
      <c r="S77" s="4"/>
    </row>
    <row r="78" spans="2:22" x14ac:dyDescent="0.25">
      <c r="C78" s="4"/>
      <c r="D78" s="3"/>
      <c r="E78" s="3"/>
      <c r="F78" s="3"/>
      <c r="G78" s="4"/>
      <c r="H78" s="4"/>
      <c r="K78" s="159" t="s">
        <v>134</v>
      </c>
      <c r="L78" s="97">
        <f>(S79/(E75)*100)</f>
        <v>96.069476160819306</v>
      </c>
      <c r="R78" s="5" t="s">
        <v>11</v>
      </c>
      <c r="S78" s="5" t="s">
        <v>12</v>
      </c>
      <c r="T78" s="5" t="s">
        <v>0</v>
      </c>
    </row>
    <row r="79" spans="2:22" x14ac:dyDescent="0.25">
      <c r="C79" s="4"/>
      <c r="D79" s="3"/>
      <c r="E79" s="3"/>
      <c r="F79" s="3"/>
      <c r="G79" s="4"/>
      <c r="H79" s="4"/>
      <c r="K79" s="162" t="s">
        <v>135</v>
      </c>
      <c r="L79" s="96">
        <f>(R79/D75)*100</f>
        <v>69.619834710743802</v>
      </c>
      <c r="P79" s="4"/>
      <c r="Q79" s="5" t="s">
        <v>3</v>
      </c>
      <c r="R79" s="55">
        <v>21060</v>
      </c>
      <c r="S79" s="9">
        <v>416.49</v>
      </c>
      <c r="T79" s="48">
        <f>R79/S79</f>
        <v>50.565439746452498</v>
      </c>
    </row>
    <row r="80" spans="2:22" ht="17.25" x14ac:dyDescent="0.25">
      <c r="C80" s="4"/>
      <c r="D80" s="3"/>
      <c r="E80" s="3"/>
      <c r="F80" s="3"/>
      <c r="G80" s="4"/>
      <c r="H80" s="4"/>
      <c r="K80" s="159" t="s">
        <v>136</v>
      </c>
      <c r="L80" s="13">
        <f>(D75+I75+L75+P75+R75+V75)/R79</f>
        <v>11.60166596391263</v>
      </c>
      <c r="O80" s="4"/>
      <c r="P80" s="4"/>
      <c r="S80" s="53"/>
      <c r="T80" s="3"/>
    </row>
    <row r="81" spans="1:22" ht="17.25" x14ac:dyDescent="0.25">
      <c r="C81" s="4"/>
      <c r="D81" s="3"/>
      <c r="E81" s="3"/>
      <c r="F81" s="3"/>
      <c r="G81" s="4"/>
      <c r="H81" s="4"/>
      <c r="I81" s="4"/>
      <c r="K81" s="163" t="s">
        <v>137</v>
      </c>
      <c r="L81" s="15">
        <f>(D75+I75+L75)/R79</f>
        <v>4.4468502943969606</v>
      </c>
      <c r="O81" s="4"/>
      <c r="P81" s="4"/>
      <c r="S81" s="4"/>
    </row>
    <row r="82" spans="1:22" ht="17.25" x14ac:dyDescent="0.25">
      <c r="C82" s="4"/>
      <c r="D82" s="3"/>
      <c r="E82" s="3"/>
      <c r="F82" s="3"/>
      <c r="G82" s="4"/>
      <c r="H82" s="4"/>
      <c r="I82" s="4"/>
      <c r="K82" s="164" t="s">
        <v>138</v>
      </c>
      <c r="L82" s="16">
        <f>(P75+V75)/R79</f>
        <v>7.1548156695156697</v>
      </c>
      <c r="M82" s="4"/>
      <c r="N82" s="163" t="s">
        <v>139</v>
      </c>
      <c r="O82" s="93">
        <f>(G72/N75)*1000</f>
        <v>0.3999998661818629</v>
      </c>
      <c r="P82" s="4"/>
      <c r="U82" s="4"/>
      <c r="V82" s="4"/>
    </row>
    <row r="83" spans="1:22" x14ac:dyDescent="0.25">
      <c r="C83" s="6"/>
      <c r="D83"/>
      <c r="E83" s="3"/>
      <c r="F83" s="3"/>
      <c r="G83" s="4"/>
      <c r="H83" s="4"/>
      <c r="I83" s="4"/>
      <c r="K83" s="4"/>
      <c r="L83" s="4"/>
      <c r="M83" s="4"/>
      <c r="N83" s="4"/>
      <c r="O83" s="4"/>
      <c r="P83" s="4"/>
      <c r="Q83" s="4"/>
      <c r="R83" s="4"/>
      <c r="S83" s="4"/>
      <c r="T83" s="4"/>
      <c r="U83" s="4"/>
      <c r="V83" s="4"/>
    </row>
    <row r="84" spans="1:22" x14ac:dyDescent="0.25">
      <c r="C84" s="6"/>
      <c r="D84"/>
      <c r="E84" s="3"/>
      <c r="F84" s="3"/>
      <c r="G84" s="4"/>
      <c r="H84" s="4"/>
      <c r="I84" s="4"/>
      <c r="M84" s="4"/>
      <c r="N84" s="4"/>
      <c r="O84" s="4"/>
      <c r="P84" s="4"/>
      <c r="Q84" s="4"/>
      <c r="R84" s="4"/>
      <c r="S84" s="4"/>
      <c r="T84" s="4"/>
      <c r="U84" s="4"/>
      <c r="V84" s="4"/>
    </row>
    <row r="85" spans="1:22" s="29" customFormat="1" x14ac:dyDescent="0.25">
      <c r="A85" s="28" t="s">
        <v>108</v>
      </c>
      <c r="D85" s="30"/>
      <c r="E85" s="30"/>
      <c r="F85" s="30"/>
    </row>
    <row r="86" spans="1:22" x14ac:dyDescent="0.25">
      <c r="B86" s="4"/>
      <c r="C86" s="6" t="s">
        <v>26</v>
      </c>
      <c r="D86" s="53"/>
      <c r="E86" s="53"/>
      <c r="F86" s="53"/>
    </row>
    <row r="87" spans="1:22" ht="34.5" x14ac:dyDescent="0.25">
      <c r="C87" s="17" t="s">
        <v>14</v>
      </c>
      <c r="D87" s="20" t="s">
        <v>21</v>
      </c>
      <c r="E87" s="20" t="s">
        <v>94</v>
      </c>
      <c r="F87" s="17" t="s">
        <v>13</v>
      </c>
      <c r="G87" s="17" t="s">
        <v>15</v>
      </c>
      <c r="H87" s="18" t="s">
        <v>1</v>
      </c>
      <c r="I87" s="19" t="s">
        <v>25</v>
      </c>
      <c r="J87" s="17" t="s">
        <v>2</v>
      </c>
      <c r="K87" s="20" t="s">
        <v>94</v>
      </c>
      <c r="L87" s="20" t="s">
        <v>22</v>
      </c>
      <c r="M87" s="19" t="s">
        <v>8</v>
      </c>
      <c r="N87" s="19" t="s">
        <v>16</v>
      </c>
      <c r="O87" s="19" t="s">
        <v>17</v>
      </c>
      <c r="P87" s="19" t="s">
        <v>18</v>
      </c>
      <c r="Q87" s="20" t="s">
        <v>10</v>
      </c>
      <c r="R87" s="20" t="s">
        <v>23</v>
      </c>
      <c r="S87" s="19" t="s">
        <v>9</v>
      </c>
      <c r="T87" s="19" t="s">
        <v>19</v>
      </c>
      <c r="U87" s="19" t="s">
        <v>20</v>
      </c>
      <c r="V87" s="19" t="s">
        <v>24</v>
      </c>
    </row>
    <row r="88" spans="1:22" x14ac:dyDescent="0.25">
      <c r="B88" s="41" t="s">
        <v>176</v>
      </c>
      <c r="C88" s="176" t="s">
        <v>111</v>
      </c>
      <c r="D88" s="8">
        <v>3000</v>
      </c>
      <c r="E88" s="8">
        <v>319.39999999999998</v>
      </c>
      <c r="F88" s="8">
        <v>1</v>
      </c>
      <c r="G88" s="11">
        <f>D88/E88</f>
        <v>9.3926111458985613</v>
      </c>
      <c r="H88" s="7"/>
      <c r="I88" s="7"/>
      <c r="J88" s="8" t="s">
        <v>48</v>
      </c>
      <c r="K88" s="8">
        <v>126.92</v>
      </c>
      <c r="L88" s="46">
        <f>15.2*K88</f>
        <v>1929.184</v>
      </c>
      <c r="M88" s="42" t="s">
        <v>47</v>
      </c>
      <c r="N88" s="2">
        <v>30000</v>
      </c>
      <c r="O88" s="2">
        <v>1.325</v>
      </c>
      <c r="P88" s="11">
        <f>N88*O88</f>
        <v>39750</v>
      </c>
      <c r="Q88" s="8"/>
      <c r="R88" s="8"/>
      <c r="S88" s="7"/>
      <c r="T88" s="7"/>
      <c r="U88" s="7"/>
      <c r="V88" s="11">
        <f>T88*U88</f>
        <v>0</v>
      </c>
    </row>
    <row r="89" spans="1:22" x14ac:dyDescent="0.25">
      <c r="C89" s="8" t="s">
        <v>50</v>
      </c>
      <c r="D89" s="8">
        <v>1050</v>
      </c>
      <c r="E89" s="8">
        <v>74.13</v>
      </c>
      <c r="F89" s="8">
        <v>1.5</v>
      </c>
      <c r="G89" s="11">
        <f>D89/E89</f>
        <v>14.164305949008499</v>
      </c>
      <c r="H89" s="1"/>
      <c r="I89" s="1"/>
      <c r="J89" s="25" t="s">
        <v>38</v>
      </c>
      <c r="K89" s="26">
        <v>73.09</v>
      </c>
      <c r="L89" s="46">
        <f>300*0.945</f>
        <v>283.5</v>
      </c>
      <c r="M89" s="42" t="s">
        <v>51</v>
      </c>
      <c r="N89" s="45">
        <f>15000/O89</f>
        <v>14506.769825918762</v>
      </c>
      <c r="O89" s="2">
        <v>1.034</v>
      </c>
      <c r="P89" s="11">
        <f>N89*O89</f>
        <v>15000</v>
      </c>
      <c r="Q89" s="8"/>
      <c r="R89" s="8"/>
      <c r="S89" s="7"/>
      <c r="T89" s="7"/>
      <c r="U89" s="7"/>
      <c r="V89" s="11">
        <f t="shared" ref="V89:V90" si="8">T89*U89</f>
        <v>0</v>
      </c>
    </row>
    <row r="90" spans="1:22" x14ac:dyDescent="0.25">
      <c r="C90" s="8"/>
      <c r="D90" s="8"/>
      <c r="E90" s="8"/>
      <c r="F90" s="8"/>
      <c r="G90" s="10"/>
      <c r="H90" s="1"/>
      <c r="I90" s="1"/>
      <c r="J90" s="25" t="s">
        <v>49</v>
      </c>
      <c r="K90" s="26">
        <v>101.19</v>
      </c>
      <c r="L90" s="46">
        <v>3845.2</v>
      </c>
      <c r="M90" s="42"/>
      <c r="N90" s="45"/>
      <c r="O90" s="1"/>
      <c r="P90" s="11">
        <f t="shared" ref="P90" si="9">N90*O90</f>
        <v>0</v>
      </c>
      <c r="Q90" s="8"/>
      <c r="R90" s="8"/>
      <c r="S90" s="7"/>
      <c r="T90" s="7"/>
      <c r="U90" s="7"/>
      <c r="V90" s="11">
        <f t="shared" si="8"/>
        <v>0</v>
      </c>
    </row>
    <row r="91" spans="1:22" x14ac:dyDescent="0.25">
      <c r="C91" s="10" t="s">
        <v>4</v>
      </c>
      <c r="D91" s="11">
        <f>SUM(D88:D89)</f>
        <v>4050</v>
      </c>
      <c r="E91" s="11">
        <f>SUM(E88:E89)</f>
        <v>393.53</v>
      </c>
      <c r="F91" s="10"/>
      <c r="G91" s="165">
        <f>SUM(G88:G89)</f>
        <v>23.55691709490706</v>
      </c>
      <c r="I91" s="23">
        <f>SUM(I88:I89)</f>
        <v>0</v>
      </c>
      <c r="L91" s="47">
        <f>SUM(L88:L90)</f>
        <v>6057.884</v>
      </c>
      <c r="N91" s="89">
        <f>SUM(N88:N90)</f>
        <v>44506.76982591876</v>
      </c>
      <c r="P91" s="23">
        <f>SUM(P88:P90)</f>
        <v>54750</v>
      </c>
      <c r="R91" s="23">
        <f>SUM(R88:R90)</f>
        <v>0</v>
      </c>
      <c r="V91" s="23">
        <f>SUM(V88:V90)</f>
        <v>0</v>
      </c>
    </row>
    <row r="92" spans="1:22" x14ac:dyDescent="0.25">
      <c r="C92" s="4"/>
      <c r="D92" s="3"/>
      <c r="E92" s="3"/>
      <c r="F92" s="3"/>
      <c r="G92" s="4"/>
      <c r="H92" s="4"/>
      <c r="I92" s="4"/>
      <c r="M92" s="49"/>
      <c r="N92" s="4"/>
      <c r="O92" s="4"/>
      <c r="P92" s="4"/>
      <c r="Q92" s="4"/>
      <c r="R92" s="4"/>
      <c r="S92" s="4"/>
      <c r="T92" s="4"/>
      <c r="U92" s="4"/>
      <c r="V92" s="4"/>
    </row>
    <row r="93" spans="1:22" x14ac:dyDescent="0.25">
      <c r="C93" s="4"/>
      <c r="D93" s="3"/>
      <c r="E93" s="3"/>
      <c r="F93" s="3"/>
      <c r="G93" s="4"/>
      <c r="H93" s="4"/>
      <c r="K93" s="162" t="s">
        <v>133</v>
      </c>
      <c r="L93" s="96">
        <f>(T95/G88)*100</f>
        <v>90</v>
      </c>
      <c r="M93" s="49"/>
      <c r="O93" s="4"/>
      <c r="P93" s="4"/>
      <c r="Q93" s="4"/>
      <c r="R93" s="4"/>
      <c r="S93" s="4"/>
    </row>
    <row r="94" spans="1:22" x14ac:dyDescent="0.25">
      <c r="C94" s="4"/>
      <c r="D94" s="3"/>
      <c r="E94" s="3"/>
      <c r="F94" s="3"/>
      <c r="G94" s="4"/>
      <c r="H94" s="4"/>
      <c r="K94" s="159" t="s">
        <v>134</v>
      </c>
      <c r="L94" s="97">
        <f>(S95/(E91)*100)</f>
        <v>95.420933600996122</v>
      </c>
      <c r="M94" s="49"/>
      <c r="R94" s="5" t="s">
        <v>11</v>
      </c>
      <c r="S94" s="5" t="s">
        <v>12</v>
      </c>
      <c r="T94" s="5" t="s">
        <v>0</v>
      </c>
    </row>
    <row r="95" spans="1:22" x14ac:dyDescent="0.25">
      <c r="C95" s="4"/>
      <c r="D95" s="3"/>
      <c r="E95" s="3"/>
      <c r="F95" s="3"/>
      <c r="G95" s="4"/>
      <c r="H95" s="4"/>
      <c r="K95" s="162" t="s">
        <v>135</v>
      </c>
      <c r="L95" s="96">
        <f>(R95/D91)*100</f>
        <v>78.378209142141515</v>
      </c>
      <c r="P95" s="4"/>
      <c r="Q95" s="5" t="s">
        <v>3</v>
      </c>
      <c r="R95" s="9">
        <f>T95*S95</f>
        <v>3174.3174702567317</v>
      </c>
      <c r="S95" s="9">
        <v>375.51</v>
      </c>
      <c r="T95" s="22">
        <f>G88*0.9</f>
        <v>8.4533500313087053</v>
      </c>
    </row>
    <row r="96" spans="1:22" ht="17.25" x14ac:dyDescent="0.25">
      <c r="C96" s="4"/>
      <c r="D96" s="3"/>
      <c r="E96" s="3"/>
      <c r="F96" s="3"/>
      <c r="G96" s="4"/>
      <c r="H96" s="4"/>
      <c r="K96" s="159" t="s">
        <v>136</v>
      </c>
      <c r="L96" s="13">
        <f>(D91+I91+L91+P91+R91+V91)/R95</f>
        <v>20.432072282535255</v>
      </c>
      <c r="N96" s="163" t="s">
        <v>139</v>
      </c>
      <c r="O96" s="93">
        <f>G88/N91*1000</f>
        <v>0.21103780801519151</v>
      </c>
      <c r="P96" s="4"/>
      <c r="S96" s="53"/>
      <c r="T96" s="3"/>
    </row>
    <row r="97" spans="2:22" ht="17.25" x14ac:dyDescent="0.25">
      <c r="C97" s="4"/>
      <c r="D97" s="3"/>
      <c r="E97" s="3"/>
      <c r="F97" s="3"/>
      <c r="G97" s="4"/>
      <c r="H97" s="4"/>
      <c r="I97" s="4"/>
      <c r="K97" s="163" t="s">
        <v>137</v>
      </c>
      <c r="L97" s="15">
        <f>(D91+I91+L91)/R95</f>
        <v>3.184270034333553</v>
      </c>
      <c r="O97" s="4"/>
      <c r="P97" s="4"/>
      <c r="S97" s="4"/>
    </row>
    <row r="98" spans="2:22" ht="17.25" x14ac:dyDescent="0.25">
      <c r="C98" s="4"/>
      <c r="D98" s="3"/>
      <c r="E98" s="3"/>
      <c r="F98" s="3"/>
      <c r="G98" s="4"/>
      <c r="H98" s="4"/>
      <c r="I98" s="4"/>
      <c r="K98" s="164" t="s">
        <v>138</v>
      </c>
      <c r="L98" s="16">
        <f>(P91+V91)/R95</f>
        <v>17.247802248201705</v>
      </c>
      <c r="M98" s="4"/>
      <c r="P98" s="4"/>
      <c r="U98" s="4"/>
      <c r="V98" s="4"/>
    </row>
    <row r="99" spans="2:22" x14ac:dyDescent="0.25">
      <c r="C99" s="6"/>
      <c r="D99"/>
      <c r="E99" s="3"/>
      <c r="F99" s="3"/>
      <c r="G99" s="4"/>
      <c r="H99" s="4"/>
      <c r="I99" s="4"/>
      <c r="M99" s="4"/>
      <c r="P99" s="4"/>
      <c r="Q99" s="4"/>
      <c r="R99" s="4"/>
      <c r="S99" s="4"/>
      <c r="T99" s="4"/>
      <c r="U99" s="4"/>
      <c r="V99" s="4"/>
    </row>
    <row r="100" spans="2:22" x14ac:dyDescent="0.25">
      <c r="B100" s="4"/>
      <c r="C100" s="6" t="s">
        <v>26</v>
      </c>
      <c r="D100" s="53"/>
      <c r="E100" s="53"/>
      <c r="F100" s="53"/>
    </row>
    <row r="101" spans="2:22" ht="34.5" x14ac:dyDescent="0.25">
      <c r="C101" s="17" t="s">
        <v>14</v>
      </c>
      <c r="D101" s="20" t="s">
        <v>21</v>
      </c>
      <c r="E101" s="20" t="s">
        <v>94</v>
      </c>
      <c r="F101" s="17" t="s">
        <v>13</v>
      </c>
      <c r="G101" s="17" t="s">
        <v>15</v>
      </c>
      <c r="H101" s="18" t="s">
        <v>1</v>
      </c>
      <c r="I101" s="19" t="s">
        <v>25</v>
      </c>
      <c r="J101" s="17" t="s">
        <v>2</v>
      </c>
      <c r="K101" s="20" t="s">
        <v>94</v>
      </c>
      <c r="L101" s="20" t="s">
        <v>22</v>
      </c>
      <c r="M101" s="19" t="s">
        <v>8</v>
      </c>
      <c r="N101" s="19" t="s">
        <v>16</v>
      </c>
      <c r="O101" s="19" t="s">
        <v>17</v>
      </c>
      <c r="P101" s="19" t="s">
        <v>18</v>
      </c>
      <c r="Q101" s="20" t="s">
        <v>10</v>
      </c>
      <c r="R101" s="20" t="s">
        <v>23</v>
      </c>
      <c r="S101" s="19" t="s">
        <v>9</v>
      </c>
      <c r="T101" s="19" t="s">
        <v>19</v>
      </c>
      <c r="U101" s="19" t="s">
        <v>20</v>
      </c>
      <c r="V101" s="19" t="s">
        <v>24</v>
      </c>
    </row>
    <row r="102" spans="2:22" x14ac:dyDescent="0.25">
      <c r="B102" s="41" t="s">
        <v>177</v>
      </c>
      <c r="C102" s="176" t="s">
        <v>112</v>
      </c>
      <c r="D102" s="8">
        <v>23100</v>
      </c>
      <c r="E102" s="8">
        <v>338.42</v>
      </c>
      <c r="F102" s="8">
        <v>1</v>
      </c>
      <c r="G102" s="11">
        <f>D102/E102</f>
        <v>68.258377164470176</v>
      </c>
      <c r="H102" s="7"/>
      <c r="I102" s="7"/>
      <c r="J102" s="8" t="s">
        <v>48</v>
      </c>
      <c r="K102" s="8">
        <v>126.92</v>
      </c>
      <c r="L102" s="46">
        <f>71.89*K102</f>
        <v>9124.2788</v>
      </c>
      <c r="M102" s="7" t="s">
        <v>27</v>
      </c>
      <c r="N102" s="44">
        <f>(100+5+116+6+24)*1000</f>
        <v>251000</v>
      </c>
      <c r="O102" s="42">
        <v>0.88300000000000001</v>
      </c>
      <c r="P102" s="157">
        <f>N102*O102</f>
        <v>221633</v>
      </c>
      <c r="Q102" s="8"/>
      <c r="R102" s="8"/>
      <c r="S102" s="7"/>
      <c r="T102" s="7"/>
      <c r="U102" s="7"/>
      <c r="V102" s="11">
        <f>T102*U102</f>
        <v>0</v>
      </c>
    </row>
    <row r="103" spans="2:22" x14ac:dyDescent="0.25">
      <c r="C103" s="8" t="s">
        <v>53</v>
      </c>
      <c r="D103" s="8">
        <v>7150</v>
      </c>
      <c r="E103" s="8">
        <v>95.11</v>
      </c>
      <c r="F103" s="8">
        <f>G103/G102</f>
        <v>1.1013463107880099</v>
      </c>
      <c r="G103" s="11">
        <f>D103/E103</f>
        <v>75.176111870465775</v>
      </c>
      <c r="H103" s="1"/>
      <c r="I103" s="1"/>
      <c r="J103" s="25" t="s">
        <v>38</v>
      </c>
      <c r="K103" s="26">
        <v>73.09</v>
      </c>
      <c r="L103" s="46">
        <f>3.76*K103</f>
        <v>274.8184</v>
      </c>
      <c r="M103" s="42"/>
      <c r="N103" s="45"/>
      <c r="O103" s="1"/>
      <c r="P103" s="11">
        <f>N103*O103</f>
        <v>0</v>
      </c>
      <c r="Q103" s="8"/>
      <c r="R103" s="8"/>
      <c r="S103" s="7"/>
      <c r="T103" s="7"/>
      <c r="U103" s="7"/>
      <c r="V103" s="11">
        <f t="shared" ref="V103:V104" si="10">T103*U103</f>
        <v>0</v>
      </c>
    </row>
    <row r="104" spans="2:22" x14ac:dyDescent="0.25">
      <c r="C104" s="8"/>
      <c r="D104" s="8"/>
      <c r="E104" s="8"/>
      <c r="F104" s="8"/>
      <c r="G104" s="10"/>
      <c r="H104" s="1"/>
      <c r="I104" s="1"/>
      <c r="J104" s="25" t="s">
        <v>52</v>
      </c>
      <c r="K104" s="26">
        <v>79.099999999999994</v>
      </c>
      <c r="L104" s="46">
        <f>682.7*K104</f>
        <v>54001.57</v>
      </c>
      <c r="M104" s="42"/>
      <c r="N104" s="45"/>
      <c r="O104" s="1"/>
      <c r="P104" s="11">
        <f t="shared" ref="P104" si="11">N104*O104</f>
        <v>0</v>
      </c>
      <c r="Q104" s="8"/>
      <c r="R104" s="8"/>
      <c r="S104" s="7"/>
      <c r="T104" s="7"/>
      <c r="U104" s="7"/>
      <c r="V104" s="11">
        <f t="shared" si="10"/>
        <v>0</v>
      </c>
    </row>
    <row r="105" spans="2:22" x14ac:dyDescent="0.25">
      <c r="C105" s="10" t="s">
        <v>4</v>
      </c>
      <c r="D105" s="11">
        <f>SUM(D102:D103)</f>
        <v>30250</v>
      </c>
      <c r="E105" s="11">
        <f>SUM(E102:E103)</f>
        <v>433.53000000000003</v>
      </c>
      <c r="F105" s="10"/>
      <c r="G105" s="165">
        <f>SUM(G102:G103)</f>
        <v>143.43448903493595</v>
      </c>
      <c r="I105" s="23">
        <f>SUM(I102:I103)</f>
        <v>0</v>
      </c>
      <c r="L105" s="47">
        <f>SUM(L102:L104)</f>
        <v>63400.667199999996</v>
      </c>
      <c r="N105" s="89">
        <f>SUM(N102:N104)</f>
        <v>251000</v>
      </c>
      <c r="P105" s="23">
        <f>SUM(P102:P104)</f>
        <v>221633</v>
      </c>
      <c r="R105" s="23">
        <f>SUM(R102:R104)</f>
        <v>0</v>
      </c>
      <c r="V105" s="23">
        <f>SUM(V102:V104)</f>
        <v>0</v>
      </c>
    </row>
    <row r="106" spans="2:22" x14ac:dyDescent="0.25">
      <c r="C106" s="4"/>
      <c r="D106" s="3"/>
      <c r="E106" s="3"/>
      <c r="F106" s="3"/>
      <c r="G106" s="4"/>
      <c r="H106" s="4"/>
      <c r="I106" s="4"/>
      <c r="M106" s="4"/>
      <c r="N106" s="4"/>
      <c r="O106" s="4"/>
      <c r="P106" s="4"/>
      <c r="Q106" s="4"/>
      <c r="R106" s="4"/>
      <c r="S106" s="4"/>
      <c r="T106" s="4"/>
      <c r="U106" s="4"/>
      <c r="V106" s="4"/>
    </row>
    <row r="107" spans="2:22" x14ac:dyDescent="0.25">
      <c r="C107" s="4"/>
      <c r="D107" s="3"/>
      <c r="E107" s="3"/>
      <c r="F107" s="3"/>
      <c r="G107" s="4"/>
      <c r="H107" s="4"/>
      <c r="K107" s="162" t="s">
        <v>133</v>
      </c>
      <c r="L107" s="96">
        <f>(T109/G102)*100</f>
        <v>90</v>
      </c>
      <c r="O107" s="4"/>
      <c r="P107" s="4"/>
      <c r="Q107" s="4"/>
      <c r="R107" s="4"/>
      <c r="S107" s="4"/>
    </row>
    <row r="108" spans="2:22" x14ac:dyDescent="0.25">
      <c r="C108" s="4"/>
      <c r="D108" s="3"/>
      <c r="E108" s="3"/>
      <c r="F108" s="3"/>
      <c r="G108" s="4"/>
      <c r="H108" s="4"/>
      <c r="K108" s="159" t="s">
        <v>134</v>
      </c>
      <c r="L108" s="97">
        <f>(S109/(E105)*100)</f>
        <v>96.069476160819306</v>
      </c>
      <c r="R108" s="5" t="s">
        <v>11</v>
      </c>
      <c r="S108" s="5" t="s">
        <v>12</v>
      </c>
      <c r="T108" s="5" t="s">
        <v>0</v>
      </c>
    </row>
    <row r="109" spans="2:22" x14ac:dyDescent="0.25">
      <c r="C109" s="4"/>
      <c r="D109" s="3"/>
      <c r="E109" s="3"/>
      <c r="F109" s="3"/>
      <c r="G109" s="4"/>
      <c r="H109" s="4"/>
      <c r="K109" s="162" t="s">
        <v>135</v>
      </c>
      <c r="L109" s="96">
        <f>(R109/D105)*100</f>
        <v>84.581944974238567</v>
      </c>
      <c r="P109" s="4"/>
      <c r="Q109" s="5" t="s">
        <v>3</v>
      </c>
      <c r="R109" s="55">
        <f>T109*S109</f>
        <v>25586.038354707165</v>
      </c>
      <c r="S109" s="9">
        <v>416.49</v>
      </c>
      <c r="T109" s="48">
        <f>G102*0.9</f>
        <v>61.432539448023157</v>
      </c>
    </row>
    <row r="110" spans="2:22" ht="17.25" x14ac:dyDescent="0.25">
      <c r="C110" s="4"/>
      <c r="D110" s="3"/>
      <c r="E110" s="3"/>
      <c r="F110" s="3"/>
      <c r="G110" s="4"/>
      <c r="H110" s="4"/>
      <c r="K110" s="159" t="s">
        <v>136</v>
      </c>
      <c r="L110" s="13">
        <f>(D105+I105+L105+P105+R105+V105)/R109</f>
        <v>12.322488649048555</v>
      </c>
      <c r="O110" s="4"/>
      <c r="P110" s="4"/>
      <c r="S110" s="53"/>
      <c r="T110" s="3"/>
    </row>
    <row r="111" spans="2:22" ht="17.25" x14ac:dyDescent="0.25">
      <c r="C111" s="4"/>
      <c r="D111" s="3"/>
      <c r="E111" s="3"/>
      <c r="F111" s="3"/>
      <c r="G111" s="4"/>
      <c r="H111" s="4"/>
      <c r="I111" s="4"/>
      <c r="K111" s="163" t="s">
        <v>137</v>
      </c>
      <c r="L111" s="15">
        <f>(D105+I105+L105)/R109</f>
        <v>3.6602253893976013</v>
      </c>
      <c r="O111" s="4"/>
      <c r="P111" s="4"/>
      <c r="S111" s="4"/>
    </row>
    <row r="112" spans="2:22" ht="17.25" x14ac:dyDescent="0.25">
      <c r="C112" s="4"/>
      <c r="D112" s="3"/>
      <c r="E112" s="3"/>
      <c r="F112" s="3"/>
      <c r="G112" s="4"/>
      <c r="H112" s="4"/>
      <c r="I112" s="4"/>
      <c r="K112" s="164" t="s">
        <v>138</v>
      </c>
      <c r="L112" s="16">
        <f>(P105+V105)/R109</f>
        <v>8.6622632596509526</v>
      </c>
      <c r="M112" s="4"/>
      <c r="N112" s="163" t="s">
        <v>139</v>
      </c>
      <c r="O112" s="93">
        <f>(G102/N105)*1000</f>
        <v>0.27194572575486126</v>
      </c>
      <c r="P112" s="4"/>
      <c r="U112" s="4"/>
      <c r="V112" s="4"/>
    </row>
    <row r="113" spans="1:22" x14ac:dyDescent="0.25">
      <c r="C113" s="6"/>
      <c r="D113"/>
      <c r="E113" s="3"/>
      <c r="F113" s="3"/>
      <c r="G113" s="4"/>
      <c r="H113" s="4"/>
      <c r="I113" s="4"/>
      <c r="M113" s="4"/>
      <c r="N113" s="4"/>
      <c r="O113" s="4"/>
      <c r="P113" s="4"/>
      <c r="Q113" s="4"/>
      <c r="R113" s="4"/>
      <c r="S113" s="4"/>
      <c r="T113" s="4"/>
      <c r="U113" s="4"/>
      <c r="V113" s="4"/>
    </row>
    <row r="114" spans="1:22" x14ac:dyDescent="0.25">
      <c r="C114" s="6"/>
      <c r="D114"/>
      <c r="E114" s="3"/>
      <c r="F114" s="3"/>
      <c r="G114" s="4"/>
      <c r="H114" s="4"/>
      <c r="I114" s="4"/>
      <c r="M114" s="4"/>
      <c r="N114" s="4"/>
      <c r="O114" s="4"/>
      <c r="P114" s="4"/>
      <c r="Q114" s="4"/>
      <c r="R114" s="4"/>
      <c r="S114" s="4"/>
      <c r="T114" s="4"/>
      <c r="U114" s="4"/>
      <c r="V114" s="4"/>
    </row>
    <row r="115" spans="1:22" s="29" customFormat="1" x14ac:dyDescent="0.25">
      <c r="A115" s="28" t="s">
        <v>105</v>
      </c>
      <c r="D115" s="30"/>
      <c r="E115" s="30"/>
      <c r="F115" s="30"/>
    </row>
    <row r="116" spans="1:22" x14ac:dyDescent="0.25">
      <c r="B116" s="4"/>
      <c r="C116" s="6" t="s">
        <v>26</v>
      </c>
      <c r="D116" s="53"/>
      <c r="E116" s="53"/>
      <c r="F116" s="53"/>
    </row>
    <row r="117" spans="1:22" ht="34.5" x14ac:dyDescent="0.25">
      <c r="C117" s="17" t="s">
        <v>14</v>
      </c>
      <c r="D117" s="20" t="s">
        <v>21</v>
      </c>
      <c r="E117" s="20" t="s">
        <v>94</v>
      </c>
      <c r="F117" s="17" t="s">
        <v>13</v>
      </c>
      <c r="G117" s="17" t="s">
        <v>15</v>
      </c>
      <c r="H117" s="18" t="s">
        <v>1</v>
      </c>
      <c r="I117" s="19" t="s">
        <v>25</v>
      </c>
      <c r="J117" s="17" t="s">
        <v>2</v>
      </c>
      <c r="K117" s="20" t="s">
        <v>94</v>
      </c>
      <c r="L117" s="20" t="s">
        <v>22</v>
      </c>
      <c r="M117" s="19" t="s">
        <v>8</v>
      </c>
      <c r="N117" s="19" t="s">
        <v>16</v>
      </c>
      <c r="O117" s="19" t="s">
        <v>17</v>
      </c>
      <c r="P117" s="19" t="s">
        <v>18</v>
      </c>
      <c r="Q117" s="20" t="s">
        <v>10</v>
      </c>
      <c r="R117" s="20" t="s">
        <v>23</v>
      </c>
      <c r="S117" s="19" t="s">
        <v>9</v>
      </c>
      <c r="T117" s="19" t="s">
        <v>19</v>
      </c>
      <c r="U117" s="19" t="s">
        <v>20</v>
      </c>
      <c r="V117" s="19" t="s">
        <v>24</v>
      </c>
    </row>
    <row r="118" spans="1:22" x14ac:dyDescent="0.25">
      <c r="B118" s="41" t="s">
        <v>176</v>
      </c>
      <c r="C118" s="176" t="s">
        <v>111</v>
      </c>
      <c r="D118" s="8">
        <v>3000</v>
      </c>
      <c r="E118" s="8">
        <v>319.39999999999998</v>
      </c>
      <c r="F118" s="8">
        <v>1</v>
      </c>
      <c r="G118" s="11">
        <f>D118/E118</f>
        <v>9.3926111458985613</v>
      </c>
      <c r="H118" s="7"/>
      <c r="I118" s="7"/>
      <c r="J118" s="8" t="s">
        <v>48</v>
      </c>
      <c r="K118" s="8">
        <v>126.92</v>
      </c>
      <c r="L118" s="46">
        <f>15.2*K118</f>
        <v>1929.184</v>
      </c>
      <c r="M118" s="42" t="s">
        <v>47</v>
      </c>
      <c r="N118" s="45">
        <f>$N$15*23481/44506.77</f>
        <v>15827.479729488346</v>
      </c>
      <c r="O118" s="2">
        <v>1.325</v>
      </c>
      <c r="P118" s="11">
        <f>N118*O118</f>
        <v>20971.41064157206</v>
      </c>
      <c r="Q118" s="8"/>
      <c r="R118" s="8"/>
      <c r="S118" s="7"/>
      <c r="T118" s="7"/>
      <c r="U118" s="7"/>
      <c r="V118" s="11">
        <f>T118*U118</f>
        <v>0</v>
      </c>
    </row>
    <row r="119" spans="1:22" x14ac:dyDescent="0.25">
      <c r="C119" s="8" t="s">
        <v>50</v>
      </c>
      <c r="D119" s="8">
        <v>1050</v>
      </c>
      <c r="E119" s="8">
        <v>74.13</v>
      </c>
      <c r="F119" s="8">
        <v>1.5</v>
      </c>
      <c r="G119" s="11">
        <f>D119/E119</f>
        <v>14.164305949008499</v>
      </c>
      <c r="H119" s="1"/>
      <c r="I119" s="1"/>
      <c r="J119" s="25" t="s">
        <v>38</v>
      </c>
      <c r="K119" s="26">
        <v>73.09</v>
      </c>
      <c r="L119" s="46">
        <f>300*0.945</f>
        <v>283.5</v>
      </c>
      <c r="M119" s="42" t="s">
        <v>51</v>
      </c>
      <c r="N119" s="45">
        <f>$N$16*23481/44506.77</f>
        <v>7653.5201786694133</v>
      </c>
      <c r="O119" s="2">
        <v>1.034</v>
      </c>
      <c r="P119" s="11">
        <f>N119*O119</f>
        <v>7913.7398647441732</v>
      </c>
      <c r="Q119" s="8"/>
      <c r="R119" s="8"/>
      <c r="S119" s="7"/>
      <c r="T119" s="7"/>
      <c r="U119" s="7"/>
      <c r="V119" s="11">
        <f t="shared" ref="V119:V120" si="12">T119*U119</f>
        <v>0</v>
      </c>
    </row>
    <row r="120" spans="1:22" x14ac:dyDescent="0.25">
      <c r="C120" s="8"/>
      <c r="D120" s="8"/>
      <c r="E120" s="8"/>
      <c r="F120" s="8"/>
      <c r="G120" s="10"/>
      <c r="H120" s="1"/>
      <c r="I120" s="1"/>
      <c r="J120" s="25" t="s">
        <v>49</v>
      </c>
      <c r="K120" s="26">
        <v>101.19</v>
      </c>
      <c r="L120" s="46">
        <v>3845.2</v>
      </c>
      <c r="M120" s="42"/>
      <c r="N120" s="45"/>
      <c r="O120" s="1"/>
      <c r="P120" s="11">
        <f t="shared" ref="P120" si="13">N120*O120</f>
        <v>0</v>
      </c>
      <c r="Q120" s="8"/>
      <c r="R120" s="8"/>
      <c r="S120" s="7"/>
      <c r="T120" s="7"/>
      <c r="U120" s="7"/>
      <c r="V120" s="11">
        <f t="shared" si="12"/>
        <v>0</v>
      </c>
    </row>
    <row r="121" spans="1:22" x14ac:dyDescent="0.25">
      <c r="C121" s="10" t="s">
        <v>4</v>
      </c>
      <c r="D121" s="11">
        <f>SUM(D118:D119)</f>
        <v>4050</v>
      </c>
      <c r="E121" s="11">
        <f>SUM(E118:E119)</f>
        <v>393.53</v>
      </c>
      <c r="F121" s="10"/>
      <c r="G121" s="165">
        <f>SUM(G118:G119)</f>
        <v>23.55691709490706</v>
      </c>
      <c r="I121" s="23">
        <f>SUM(I118:I119)</f>
        <v>0</v>
      </c>
      <c r="L121" s="47">
        <f>SUM(L118:L120)</f>
        <v>6057.884</v>
      </c>
      <c r="N121" s="89">
        <f>N118+N119</f>
        <v>23480.999908157759</v>
      </c>
      <c r="P121" s="23">
        <f>SUM(P118:P120)</f>
        <v>28885.150506316233</v>
      </c>
      <c r="R121" s="23">
        <f>SUM(R118:R120)</f>
        <v>0</v>
      </c>
      <c r="V121" s="23">
        <f>SUM(V118:V120)</f>
        <v>0</v>
      </c>
    </row>
    <row r="122" spans="1:22" x14ac:dyDescent="0.25">
      <c r="C122" s="4"/>
      <c r="D122" s="3"/>
      <c r="E122" s="3"/>
      <c r="F122" s="3"/>
      <c r="G122" s="4"/>
      <c r="H122" s="4"/>
      <c r="I122" s="4"/>
      <c r="M122" s="49"/>
      <c r="N122" s="4"/>
      <c r="O122" s="4"/>
      <c r="P122" s="4"/>
      <c r="Q122" s="4"/>
      <c r="R122" s="4"/>
      <c r="S122" s="4"/>
      <c r="T122" s="4"/>
      <c r="U122" s="4"/>
      <c r="V122" s="4"/>
    </row>
    <row r="123" spans="1:22" x14ac:dyDescent="0.25">
      <c r="C123" s="4"/>
      <c r="D123" s="3"/>
      <c r="E123" s="3"/>
      <c r="F123" s="3"/>
      <c r="G123" s="4"/>
      <c r="H123" s="4"/>
      <c r="K123" s="162" t="s">
        <v>133</v>
      </c>
      <c r="L123" s="96">
        <f>(T125/G118)*100</f>
        <v>90</v>
      </c>
      <c r="M123" s="49"/>
      <c r="O123" s="4"/>
      <c r="P123" s="4"/>
      <c r="Q123" s="4"/>
      <c r="R123" s="4"/>
      <c r="S123" s="4"/>
    </row>
    <row r="124" spans="1:22" x14ac:dyDescent="0.25">
      <c r="C124" s="4"/>
      <c r="D124" s="3"/>
      <c r="E124" s="3"/>
      <c r="F124" s="3"/>
      <c r="G124" s="4"/>
      <c r="H124" s="4"/>
      <c r="K124" s="159" t="s">
        <v>134</v>
      </c>
      <c r="L124" s="97">
        <f>(S125/(E121)*100)</f>
        <v>95.420933600996122</v>
      </c>
      <c r="M124" s="49"/>
      <c r="R124" s="5" t="s">
        <v>11</v>
      </c>
      <c r="S124" s="5" t="s">
        <v>12</v>
      </c>
      <c r="T124" s="5" t="s">
        <v>0</v>
      </c>
    </row>
    <row r="125" spans="1:22" x14ac:dyDescent="0.25">
      <c r="C125" s="4"/>
      <c r="D125" s="3"/>
      <c r="E125" s="3"/>
      <c r="F125" s="3"/>
      <c r="G125" s="4"/>
      <c r="H125" s="4"/>
      <c r="K125" s="162" t="s">
        <v>135</v>
      </c>
      <c r="L125" s="96">
        <f>(R125/D121)*100</f>
        <v>78.378209142141515</v>
      </c>
      <c r="P125" s="4"/>
      <c r="Q125" s="5" t="s">
        <v>3</v>
      </c>
      <c r="R125" s="9">
        <f>T125*S125</f>
        <v>3174.3174702567317</v>
      </c>
      <c r="S125" s="9">
        <v>375.51</v>
      </c>
      <c r="T125" s="22">
        <f>G118*0.9</f>
        <v>8.4533500313087053</v>
      </c>
    </row>
    <row r="126" spans="1:22" ht="17.25" x14ac:dyDescent="0.25">
      <c r="C126" s="4"/>
      <c r="D126" s="3"/>
      <c r="E126" s="3"/>
      <c r="F126" s="3"/>
      <c r="G126" s="4"/>
      <c r="H126" s="4"/>
      <c r="K126" s="159" t="s">
        <v>136</v>
      </c>
      <c r="L126" s="13">
        <f>(D121+I121+L121+P121+R121+V121)/R125</f>
        <v>12.283911383054752</v>
      </c>
      <c r="N126" s="163" t="s">
        <v>139</v>
      </c>
      <c r="O126" s="93">
        <f>G118/N121*1000</f>
        <v>0.40000899376671706</v>
      </c>
      <c r="P126" s="4"/>
      <c r="S126" s="53"/>
      <c r="T126" s="3"/>
    </row>
    <row r="127" spans="1:22" ht="17.25" x14ac:dyDescent="0.25">
      <c r="C127" s="4"/>
      <c r="D127" s="3"/>
      <c r="E127" s="3"/>
      <c r="F127" s="3"/>
      <c r="G127" s="4"/>
      <c r="H127" s="4"/>
      <c r="I127" s="4"/>
      <c r="K127" s="163" t="s">
        <v>137</v>
      </c>
      <c r="L127" s="15">
        <f>(D121+I121+L121)/R125</f>
        <v>3.184270034333553</v>
      </c>
      <c r="O127" s="4"/>
      <c r="P127" s="4"/>
      <c r="S127" s="4"/>
    </row>
    <row r="128" spans="1:22" ht="17.25" x14ac:dyDescent="0.25">
      <c r="C128" s="4"/>
      <c r="D128" s="3"/>
      <c r="E128" s="3"/>
      <c r="F128" s="3"/>
      <c r="G128" s="4"/>
      <c r="H128" s="4"/>
      <c r="I128" s="4"/>
      <c r="K128" s="164" t="s">
        <v>138</v>
      </c>
      <c r="L128" s="16">
        <f>(P121+V121)/R125</f>
        <v>9.0996413487211996</v>
      </c>
      <c r="M128" s="4"/>
      <c r="P128" s="4"/>
      <c r="U128" s="4"/>
      <c r="V128" s="4"/>
    </row>
    <row r="129" spans="2:22" x14ac:dyDescent="0.25">
      <c r="C129" s="6"/>
      <c r="D129"/>
      <c r="E129" s="3"/>
      <c r="F129" s="3"/>
      <c r="G129" s="4"/>
      <c r="H129" s="4"/>
      <c r="I129" s="4"/>
      <c r="M129" s="4"/>
      <c r="P129" s="4"/>
      <c r="Q129" s="4"/>
      <c r="R129" s="4"/>
      <c r="S129" s="4"/>
      <c r="T129" s="4"/>
      <c r="U129" s="4"/>
      <c r="V129" s="4"/>
    </row>
    <row r="130" spans="2:22" x14ac:dyDescent="0.25">
      <c r="B130" s="4"/>
      <c r="C130" s="6" t="s">
        <v>26</v>
      </c>
      <c r="D130" s="53"/>
      <c r="E130" s="53"/>
      <c r="F130" s="53"/>
    </row>
    <row r="131" spans="2:22" ht="34.5" x14ac:dyDescent="0.25">
      <c r="C131" s="17" t="s">
        <v>14</v>
      </c>
      <c r="D131" s="20" t="s">
        <v>21</v>
      </c>
      <c r="E131" s="20" t="s">
        <v>94</v>
      </c>
      <c r="F131" s="17" t="s">
        <v>13</v>
      </c>
      <c r="G131" s="17" t="s">
        <v>15</v>
      </c>
      <c r="H131" s="18" t="s">
        <v>1</v>
      </c>
      <c r="I131" s="19" t="s">
        <v>25</v>
      </c>
      <c r="J131" s="17" t="s">
        <v>2</v>
      </c>
      <c r="K131" s="20" t="s">
        <v>94</v>
      </c>
      <c r="L131" s="20" t="s">
        <v>22</v>
      </c>
      <c r="M131" s="19" t="s">
        <v>8</v>
      </c>
      <c r="N131" s="19" t="s">
        <v>16</v>
      </c>
      <c r="O131" s="19" t="s">
        <v>17</v>
      </c>
      <c r="P131" s="19" t="s">
        <v>18</v>
      </c>
      <c r="Q131" s="20" t="s">
        <v>10</v>
      </c>
      <c r="R131" s="20" t="s">
        <v>23</v>
      </c>
      <c r="S131" s="19" t="s">
        <v>9</v>
      </c>
      <c r="T131" s="19" t="s">
        <v>19</v>
      </c>
      <c r="U131" s="19" t="s">
        <v>20</v>
      </c>
      <c r="V131" s="19" t="s">
        <v>24</v>
      </c>
    </row>
    <row r="132" spans="2:22" x14ac:dyDescent="0.25">
      <c r="B132" s="41" t="s">
        <v>177</v>
      </c>
      <c r="C132" s="176" t="s">
        <v>112</v>
      </c>
      <c r="D132" s="8">
        <v>23100</v>
      </c>
      <c r="E132" s="8">
        <v>338.42</v>
      </c>
      <c r="F132" s="8">
        <v>1</v>
      </c>
      <c r="G132" s="11">
        <f>D132/E132</f>
        <v>68.258377164470176</v>
      </c>
      <c r="H132" s="7"/>
      <c r="I132" s="7"/>
      <c r="J132" s="8" t="s">
        <v>48</v>
      </c>
      <c r="K132" s="8">
        <v>126.92</v>
      </c>
      <c r="L132" s="46">
        <f>71.89*K132</f>
        <v>9124.2788</v>
      </c>
      <c r="M132" s="7" t="s">
        <v>27</v>
      </c>
      <c r="N132" s="44">
        <v>170646</v>
      </c>
      <c r="O132" s="42">
        <v>0.88300000000000001</v>
      </c>
      <c r="P132" s="11">
        <f>N132*O132</f>
        <v>150680.41800000001</v>
      </c>
      <c r="Q132" s="8"/>
      <c r="R132" s="8"/>
      <c r="S132" s="7"/>
      <c r="T132" s="7"/>
      <c r="U132" s="7"/>
      <c r="V132" s="11">
        <f>T132*U132</f>
        <v>0</v>
      </c>
    </row>
    <row r="133" spans="2:22" x14ac:dyDescent="0.25">
      <c r="C133" s="8" t="s">
        <v>53</v>
      </c>
      <c r="D133" s="8">
        <v>7150</v>
      </c>
      <c r="E133" s="8">
        <v>95.11</v>
      </c>
      <c r="F133" s="8">
        <f>G133/G132</f>
        <v>1.1013463107880099</v>
      </c>
      <c r="G133" s="11">
        <f>D133/E133</f>
        <v>75.176111870465775</v>
      </c>
      <c r="H133" s="1"/>
      <c r="I133" s="1"/>
      <c r="J133" s="25" t="s">
        <v>38</v>
      </c>
      <c r="K133" s="26">
        <v>73.09</v>
      </c>
      <c r="L133" s="46">
        <f>3.76*K133</f>
        <v>274.8184</v>
      </c>
      <c r="M133" s="42"/>
      <c r="N133" s="45"/>
      <c r="O133" s="1"/>
      <c r="P133" s="11">
        <f>N133*O133</f>
        <v>0</v>
      </c>
      <c r="Q133" s="8"/>
      <c r="R133" s="8"/>
      <c r="S133" s="7"/>
      <c r="T133" s="7"/>
      <c r="U133" s="7"/>
      <c r="V133" s="11">
        <f t="shared" ref="V133:V134" si="14">T133*U133</f>
        <v>0</v>
      </c>
    </row>
    <row r="134" spans="2:22" x14ac:dyDescent="0.25">
      <c r="C134" s="8"/>
      <c r="D134" s="8"/>
      <c r="E134" s="8"/>
      <c r="F134" s="8"/>
      <c r="G134" s="10"/>
      <c r="H134" s="1"/>
      <c r="I134" s="1"/>
      <c r="J134" s="25" t="s">
        <v>52</v>
      </c>
      <c r="K134" s="26">
        <v>79.099999999999994</v>
      </c>
      <c r="L134" s="46">
        <f>682.7*K134</f>
        <v>54001.57</v>
      </c>
      <c r="M134" s="42"/>
      <c r="N134" s="45"/>
      <c r="O134" s="1"/>
      <c r="P134" s="11">
        <f t="shared" ref="P134" si="15">N134*O134</f>
        <v>0</v>
      </c>
      <c r="Q134" s="8"/>
      <c r="R134" s="8"/>
      <c r="S134" s="7"/>
      <c r="T134" s="7"/>
      <c r="U134" s="7"/>
      <c r="V134" s="11">
        <f t="shared" si="14"/>
        <v>0</v>
      </c>
    </row>
    <row r="135" spans="2:22" x14ac:dyDescent="0.25">
      <c r="C135" s="10" t="s">
        <v>4</v>
      </c>
      <c r="D135" s="11">
        <f>SUM(D132:D133)</f>
        <v>30250</v>
      </c>
      <c r="E135" s="11">
        <f>SUM(E132:E133)</f>
        <v>433.53000000000003</v>
      </c>
      <c r="F135" s="10"/>
      <c r="G135" s="165">
        <f>SUM(G132:G133)</f>
        <v>143.43448903493595</v>
      </c>
      <c r="I135" s="23">
        <f>SUM(I132:I133)</f>
        <v>0</v>
      </c>
      <c r="L135" s="47">
        <f>SUM(L132:L134)</f>
        <v>63400.667199999996</v>
      </c>
      <c r="N135" s="89">
        <f>SUM(N132:N134)</f>
        <v>170646</v>
      </c>
      <c r="P135" s="23">
        <f>SUM(P132:P134)</f>
        <v>150680.41800000001</v>
      </c>
      <c r="R135" s="23">
        <f>SUM(R132:R134)</f>
        <v>0</v>
      </c>
      <c r="V135" s="23">
        <f>SUM(V132:V134)</f>
        <v>0</v>
      </c>
    </row>
    <row r="136" spans="2:22" x14ac:dyDescent="0.25">
      <c r="C136" s="4"/>
      <c r="D136" s="3"/>
      <c r="E136" s="3"/>
      <c r="F136" s="3"/>
      <c r="G136" s="4"/>
      <c r="H136" s="4"/>
      <c r="I136" s="4"/>
      <c r="M136" s="4"/>
      <c r="N136" s="4"/>
      <c r="O136" s="4"/>
      <c r="P136" s="4"/>
      <c r="Q136" s="4"/>
      <c r="R136" s="4"/>
      <c r="S136" s="4"/>
      <c r="T136" s="4"/>
      <c r="U136" s="4"/>
      <c r="V136" s="4"/>
    </row>
    <row r="137" spans="2:22" x14ac:dyDescent="0.25">
      <c r="C137" s="4"/>
      <c r="D137" s="3"/>
      <c r="E137" s="3"/>
      <c r="F137" s="3"/>
      <c r="G137" s="4"/>
      <c r="H137" s="4"/>
      <c r="K137" s="162" t="s">
        <v>133</v>
      </c>
      <c r="L137" s="96">
        <f>(T139/G132)*100</f>
        <v>90</v>
      </c>
      <c r="O137" s="4"/>
      <c r="P137" s="4"/>
      <c r="Q137" s="4"/>
      <c r="R137" s="4"/>
      <c r="S137" s="4"/>
    </row>
    <row r="138" spans="2:22" x14ac:dyDescent="0.25">
      <c r="C138" s="4"/>
      <c r="D138" s="3"/>
      <c r="E138" s="3"/>
      <c r="F138" s="3"/>
      <c r="G138" s="4"/>
      <c r="H138" s="4"/>
      <c r="K138" s="159" t="s">
        <v>134</v>
      </c>
      <c r="L138" s="97">
        <f>(S139/(E135)*100)</f>
        <v>96.069476160819306</v>
      </c>
      <c r="R138" s="5" t="s">
        <v>11</v>
      </c>
      <c r="S138" s="5" t="s">
        <v>12</v>
      </c>
      <c r="T138" s="5" t="s">
        <v>0</v>
      </c>
    </row>
    <row r="139" spans="2:22" x14ac:dyDescent="0.25">
      <c r="C139" s="4"/>
      <c r="D139" s="3"/>
      <c r="E139" s="3"/>
      <c r="F139" s="3"/>
      <c r="G139" s="4"/>
      <c r="H139" s="4"/>
      <c r="K139" s="162" t="s">
        <v>135</v>
      </c>
      <c r="L139" s="96">
        <f>(R139/D135)*100</f>
        <v>84.581944974238567</v>
      </c>
      <c r="P139" s="4"/>
      <c r="Q139" s="5" t="s">
        <v>3</v>
      </c>
      <c r="R139" s="55">
        <f>T139*S139</f>
        <v>25586.038354707165</v>
      </c>
      <c r="S139" s="9">
        <v>416.49</v>
      </c>
      <c r="T139" s="48">
        <f>G132*0.9</f>
        <v>61.432539448023157</v>
      </c>
    </row>
    <row r="140" spans="2:22" ht="17.25" x14ac:dyDescent="0.25">
      <c r="C140" s="4"/>
      <c r="D140" s="3"/>
      <c r="E140" s="3"/>
      <c r="F140" s="3"/>
      <c r="G140" s="4"/>
      <c r="H140" s="4"/>
      <c r="K140" s="159" t="s">
        <v>136</v>
      </c>
      <c r="L140" s="13">
        <f>(D135+I135+L135+P135+R135+V135)/R139</f>
        <v>9.5493910316541619</v>
      </c>
      <c r="O140" s="4"/>
      <c r="P140" s="4"/>
      <c r="S140" s="53"/>
      <c r="T140" s="3"/>
    </row>
    <row r="141" spans="2:22" ht="17.25" x14ac:dyDescent="0.25">
      <c r="C141" s="4"/>
      <c r="D141" s="3"/>
      <c r="E141" s="3"/>
      <c r="F141" s="3"/>
      <c r="G141" s="4"/>
      <c r="H141" s="4"/>
      <c r="I141" s="4"/>
      <c r="K141" s="163" t="s">
        <v>137</v>
      </c>
      <c r="L141" s="15">
        <f>(D135+I135+L135)/R139</f>
        <v>3.6602253893976013</v>
      </c>
      <c r="O141" s="4"/>
      <c r="P141" s="4"/>
      <c r="S141" s="4"/>
    </row>
    <row r="142" spans="2:22" ht="17.25" x14ac:dyDescent="0.25">
      <c r="C142" s="4"/>
      <c r="D142" s="3"/>
      <c r="E142" s="3"/>
      <c r="F142" s="3"/>
      <c r="G142" s="4"/>
      <c r="H142" s="4"/>
      <c r="I142" s="4"/>
      <c r="K142" s="164" t="s">
        <v>138</v>
      </c>
      <c r="L142" s="16">
        <f>(P135+V135)/R139</f>
        <v>5.8891656422565601</v>
      </c>
      <c r="M142" s="4"/>
      <c r="N142" s="163" t="s">
        <v>139</v>
      </c>
      <c r="O142" s="93">
        <f>(G132/N135)*1000</f>
        <v>0.3999998661818629</v>
      </c>
      <c r="P142" s="4"/>
      <c r="U142" s="4"/>
      <c r="V142" s="4"/>
    </row>
    <row r="143" spans="2:22" x14ac:dyDescent="0.25">
      <c r="C143" s="6"/>
      <c r="D143"/>
      <c r="E143" s="3"/>
      <c r="F143" s="3"/>
      <c r="G143" s="4"/>
      <c r="H143" s="4"/>
      <c r="I143" s="4"/>
      <c r="M143" s="4"/>
      <c r="N143" s="4"/>
      <c r="O143" s="4"/>
      <c r="P143" s="4"/>
      <c r="Q143" s="4"/>
      <c r="R143" s="4"/>
      <c r="S143" s="4"/>
      <c r="T143" s="4"/>
      <c r="U143" s="4"/>
      <c r="V143" s="4"/>
    </row>
    <row r="144" spans="2:22" x14ac:dyDescent="0.25">
      <c r="C144" s="6"/>
      <c r="D144"/>
      <c r="E144" s="3"/>
      <c r="F144" s="3"/>
      <c r="G144" s="4"/>
      <c r="H144" s="4"/>
      <c r="I144" s="4"/>
      <c r="M144" s="4"/>
      <c r="N144" s="4"/>
      <c r="O144" s="4"/>
      <c r="P144" s="4"/>
      <c r="Q144" s="4"/>
      <c r="R144" s="4"/>
      <c r="S144" s="4"/>
      <c r="T144" s="4"/>
      <c r="U144" s="4"/>
      <c r="V144" s="4"/>
    </row>
    <row r="145" spans="1:22" s="29" customFormat="1" x14ac:dyDescent="0.25">
      <c r="A145" s="28" t="s">
        <v>106</v>
      </c>
      <c r="D145" s="30"/>
      <c r="E145" s="30"/>
      <c r="F145" s="30"/>
    </row>
    <row r="146" spans="1:22" x14ac:dyDescent="0.25">
      <c r="B146" s="4"/>
      <c r="C146" s="6" t="s">
        <v>26</v>
      </c>
      <c r="D146" s="81"/>
      <c r="E146" s="81"/>
      <c r="F146" s="81"/>
    </row>
    <row r="147" spans="1:22" ht="34.5" x14ac:dyDescent="0.25">
      <c r="C147" s="17" t="s">
        <v>14</v>
      </c>
      <c r="D147" s="20" t="s">
        <v>21</v>
      </c>
      <c r="E147" s="20" t="s">
        <v>94</v>
      </c>
      <c r="F147" s="17" t="s">
        <v>13</v>
      </c>
      <c r="G147" s="17" t="s">
        <v>15</v>
      </c>
      <c r="H147" s="18" t="s">
        <v>1</v>
      </c>
      <c r="I147" s="19" t="s">
        <v>25</v>
      </c>
      <c r="J147" s="17" t="s">
        <v>2</v>
      </c>
      <c r="K147" s="20" t="s">
        <v>94</v>
      </c>
      <c r="L147" s="20" t="s">
        <v>22</v>
      </c>
      <c r="M147" s="19" t="s">
        <v>8</v>
      </c>
      <c r="N147" s="19" t="s">
        <v>16</v>
      </c>
      <c r="O147" s="19" t="s">
        <v>17</v>
      </c>
      <c r="P147" s="19" t="s">
        <v>18</v>
      </c>
      <c r="Q147" s="20" t="s">
        <v>10</v>
      </c>
      <c r="R147" s="20" t="s">
        <v>23</v>
      </c>
      <c r="S147" s="19" t="s">
        <v>9</v>
      </c>
      <c r="T147" s="19" t="s">
        <v>19</v>
      </c>
      <c r="U147" s="19" t="s">
        <v>20</v>
      </c>
      <c r="V147" s="19" t="s">
        <v>24</v>
      </c>
    </row>
    <row r="148" spans="1:22" x14ac:dyDescent="0.25">
      <c r="B148" s="41" t="s">
        <v>176</v>
      </c>
      <c r="C148" s="176" t="s">
        <v>111</v>
      </c>
      <c r="D148" s="8">
        <v>3000</v>
      </c>
      <c r="E148" s="8">
        <v>319.39999999999998</v>
      </c>
      <c r="F148" s="8">
        <v>1</v>
      </c>
      <c r="G148" s="11">
        <f>D148/E148</f>
        <v>9.3926111458985613</v>
      </c>
      <c r="H148" s="7"/>
      <c r="I148" s="7"/>
      <c r="J148" s="8" t="s">
        <v>48</v>
      </c>
      <c r="K148" s="8">
        <v>126.92</v>
      </c>
      <c r="L148" s="46">
        <f>15.2*K148</f>
        <v>1929.184</v>
      </c>
      <c r="M148" s="42" t="s">
        <v>47</v>
      </c>
      <c r="N148" s="45">
        <f>$N$15*23481/44506.77</f>
        <v>15827.479729488346</v>
      </c>
      <c r="O148" s="2">
        <v>1.325</v>
      </c>
      <c r="P148" s="11">
        <f>N148*O148</f>
        <v>20971.41064157206</v>
      </c>
      <c r="Q148" s="8"/>
      <c r="R148" s="8"/>
      <c r="S148" s="7"/>
      <c r="T148" s="7"/>
      <c r="U148" s="7"/>
      <c r="V148" s="11">
        <f>T148*U148</f>
        <v>0</v>
      </c>
    </row>
    <row r="149" spans="1:22" x14ac:dyDescent="0.25">
      <c r="C149" s="8" t="s">
        <v>50</v>
      </c>
      <c r="D149" s="8">
        <v>1050</v>
      </c>
      <c r="E149" s="8">
        <v>74.13</v>
      </c>
      <c r="F149" s="8">
        <v>1.5</v>
      </c>
      <c r="G149" s="11">
        <f>D149/E149</f>
        <v>14.164305949008499</v>
      </c>
      <c r="H149" s="1"/>
      <c r="I149" s="1"/>
      <c r="J149" s="25" t="s">
        <v>38</v>
      </c>
      <c r="K149" s="26">
        <v>73.09</v>
      </c>
      <c r="L149" s="46">
        <f>300*0.945</f>
        <v>283.5</v>
      </c>
      <c r="M149" s="42" t="s">
        <v>51</v>
      </c>
      <c r="N149" s="45">
        <f>$N$16*23481/44506.77</f>
        <v>7653.5201786694133</v>
      </c>
      <c r="O149" s="2">
        <v>1.034</v>
      </c>
      <c r="P149" s="11">
        <f>N149*O149</f>
        <v>7913.7398647441732</v>
      </c>
      <c r="Q149" s="8"/>
      <c r="R149" s="8"/>
      <c r="S149" s="7"/>
      <c r="T149" s="7"/>
      <c r="U149" s="7"/>
      <c r="V149" s="11">
        <f t="shared" ref="V149:V150" si="16">T149*U149</f>
        <v>0</v>
      </c>
    </row>
    <row r="150" spans="1:22" x14ac:dyDescent="0.25">
      <c r="C150" s="8"/>
      <c r="D150" s="8"/>
      <c r="E150" s="8"/>
      <c r="F150" s="8"/>
      <c r="G150" s="10"/>
      <c r="H150" s="1"/>
      <c r="I150" s="1"/>
      <c r="J150" s="25" t="s">
        <v>49</v>
      </c>
      <c r="K150" s="26">
        <v>101.19</v>
      </c>
      <c r="L150" s="46">
        <v>3845.2</v>
      </c>
      <c r="M150" s="42"/>
      <c r="N150" s="45"/>
      <c r="O150" s="1"/>
      <c r="P150" s="11">
        <f t="shared" ref="P150" si="17">N150*O150</f>
        <v>0</v>
      </c>
      <c r="Q150" s="8"/>
      <c r="R150" s="8"/>
      <c r="S150" s="7"/>
      <c r="T150" s="7"/>
      <c r="U150" s="7"/>
      <c r="V150" s="11">
        <f t="shared" si="16"/>
        <v>0</v>
      </c>
    </row>
    <row r="151" spans="1:22" x14ac:dyDescent="0.25">
      <c r="C151" s="10" t="s">
        <v>4</v>
      </c>
      <c r="D151" s="11">
        <f>SUM(D148:D149)</f>
        <v>4050</v>
      </c>
      <c r="E151" s="11">
        <f>SUM(E148:E149)</f>
        <v>393.53</v>
      </c>
      <c r="F151" s="10"/>
      <c r="G151" s="165">
        <f>SUM(G148:G149)</f>
        <v>23.55691709490706</v>
      </c>
      <c r="I151" s="23">
        <f>SUM(I148:I149)</f>
        <v>0</v>
      </c>
      <c r="L151" s="47">
        <f>SUM(L148:L150)</f>
        <v>6057.884</v>
      </c>
      <c r="N151" s="89">
        <f>N148+N149</f>
        <v>23480.999908157759</v>
      </c>
      <c r="P151" s="23">
        <f>SUM(P148:P150)</f>
        <v>28885.150506316233</v>
      </c>
      <c r="R151" s="23">
        <f>SUM(R148:R150)</f>
        <v>0</v>
      </c>
      <c r="V151" s="23">
        <f>SUM(V148:V150)</f>
        <v>0</v>
      </c>
    </row>
    <row r="152" spans="1:22" x14ac:dyDescent="0.25">
      <c r="C152" s="4"/>
      <c r="D152" s="3"/>
      <c r="E152" s="3"/>
      <c r="F152" s="3"/>
      <c r="G152" s="4"/>
      <c r="H152" s="4"/>
      <c r="I152" s="4"/>
      <c r="M152" s="49"/>
      <c r="N152" s="4"/>
      <c r="O152" s="4"/>
      <c r="P152" s="4"/>
      <c r="Q152" s="4"/>
      <c r="R152" s="4"/>
      <c r="S152" s="4"/>
      <c r="T152" s="4"/>
      <c r="U152" s="4"/>
      <c r="V152" s="4"/>
    </row>
    <row r="153" spans="1:22" x14ac:dyDescent="0.25">
      <c r="C153" s="4"/>
      <c r="D153" s="3"/>
      <c r="E153" s="3"/>
      <c r="F153" s="3"/>
      <c r="G153" s="4"/>
      <c r="H153" s="4"/>
      <c r="K153" s="162" t="s">
        <v>133</v>
      </c>
      <c r="L153" s="96">
        <f>(T155/G148)*100</f>
        <v>50</v>
      </c>
      <c r="M153" s="49"/>
      <c r="O153" s="4"/>
      <c r="P153" s="4"/>
      <c r="Q153" s="4"/>
      <c r="R153" s="4"/>
      <c r="S153" s="4"/>
    </row>
    <row r="154" spans="1:22" x14ac:dyDescent="0.25">
      <c r="C154" s="4"/>
      <c r="D154" s="3"/>
      <c r="E154" s="3"/>
      <c r="F154" s="3"/>
      <c r="G154" s="4"/>
      <c r="H154" s="4"/>
      <c r="K154" s="159" t="s">
        <v>134</v>
      </c>
      <c r="L154" s="97">
        <f>(S155/(E151)*100)</f>
        <v>95.420933600996122</v>
      </c>
      <c r="M154" s="49"/>
      <c r="R154" s="5" t="s">
        <v>11</v>
      </c>
      <c r="S154" s="5" t="s">
        <v>12</v>
      </c>
      <c r="T154" s="5" t="s">
        <v>0</v>
      </c>
    </row>
    <row r="155" spans="1:22" x14ac:dyDescent="0.25">
      <c r="C155" s="4"/>
      <c r="D155" s="3"/>
      <c r="E155" s="3"/>
      <c r="F155" s="3"/>
      <c r="G155" s="4"/>
      <c r="H155" s="4"/>
      <c r="K155" s="162" t="s">
        <v>135</v>
      </c>
      <c r="L155" s="96">
        <f>(R155/D151)*100</f>
        <v>43.543449523411958</v>
      </c>
      <c r="P155" s="4"/>
      <c r="Q155" s="5" t="s">
        <v>3</v>
      </c>
      <c r="R155" s="9">
        <f>T155*S155</f>
        <v>1763.5097056981842</v>
      </c>
      <c r="S155" s="9">
        <v>375.51</v>
      </c>
      <c r="T155" s="22">
        <f>G148*0.5</f>
        <v>4.6963055729492806</v>
      </c>
    </row>
    <row r="156" spans="1:22" ht="17.25" x14ac:dyDescent="0.25">
      <c r="C156" s="4"/>
      <c r="D156" s="3"/>
      <c r="E156" s="3"/>
      <c r="F156" s="3"/>
      <c r="G156" s="4"/>
      <c r="H156" s="4"/>
      <c r="K156" s="159" t="s">
        <v>136</v>
      </c>
      <c r="L156" s="13">
        <f>(D151+I151+L151+P151+R151+V151)/R155</f>
        <v>22.111040489498553</v>
      </c>
      <c r="N156" s="163" t="s">
        <v>139</v>
      </c>
      <c r="O156" s="93">
        <f>G148/N151*1000</f>
        <v>0.40000899376671706</v>
      </c>
      <c r="P156" s="4"/>
      <c r="S156" s="81"/>
      <c r="T156" s="3"/>
    </row>
    <row r="157" spans="1:22" ht="17.25" x14ac:dyDescent="0.25">
      <c r="C157" s="4"/>
      <c r="D157" s="3"/>
      <c r="E157" s="3"/>
      <c r="F157" s="3"/>
      <c r="G157" s="4"/>
      <c r="H157" s="4"/>
      <c r="I157" s="4"/>
      <c r="K157" s="163" t="s">
        <v>137</v>
      </c>
      <c r="L157" s="15">
        <f>(D151+I151+L151)/R155</f>
        <v>5.7316860618003957</v>
      </c>
      <c r="O157" s="4"/>
      <c r="P157" s="4"/>
      <c r="S157" s="4"/>
    </row>
    <row r="158" spans="1:22" ht="17.25" x14ac:dyDescent="0.25">
      <c r="C158" s="4"/>
      <c r="D158" s="3"/>
      <c r="E158" s="3"/>
      <c r="F158" s="3"/>
      <c r="G158" s="4"/>
      <c r="H158" s="4"/>
      <c r="I158" s="4"/>
      <c r="K158" s="164" t="s">
        <v>138</v>
      </c>
      <c r="L158" s="16">
        <f>(P151+V151)/R155</f>
        <v>16.379354427698161</v>
      </c>
      <c r="M158" s="4"/>
      <c r="P158" s="4"/>
      <c r="U158" s="4"/>
      <c r="V158" s="4"/>
    </row>
    <row r="159" spans="1:22" x14ac:dyDescent="0.25">
      <c r="C159" s="6"/>
      <c r="D159"/>
      <c r="E159" s="3"/>
      <c r="F159" s="3"/>
      <c r="G159" s="4"/>
      <c r="H159" s="4"/>
      <c r="I159" s="4"/>
      <c r="M159" s="4"/>
      <c r="P159" s="4"/>
      <c r="Q159" s="4"/>
      <c r="R159" s="4"/>
      <c r="S159" s="4"/>
      <c r="T159" s="4"/>
      <c r="U159" s="4"/>
      <c r="V159" s="4"/>
    </row>
    <row r="160" spans="1:22" x14ac:dyDescent="0.25">
      <c r="B160" s="4"/>
      <c r="C160" s="6" t="s">
        <v>26</v>
      </c>
      <c r="D160" s="81"/>
      <c r="E160" s="81"/>
      <c r="F160" s="81"/>
    </row>
    <row r="161" spans="2:22" ht="34.5" x14ac:dyDescent="0.25">
      <c r="C161" s="17" t="s">
        <v>14</v>
      </c>
      <c r="D161" s="20" t="s">
        <v>21</v>
      </c>
      <c r="E161" s="20" t="s">
        <v>94</v>
      </c>
      <c r="F161" s="17" t="s">
        <v>13</v>
      </c>
      <c r="G161" s="17" t="s">
        <v>15</v>
      </c>
      <c r="H161" s="18" t="s">
        <v>1</v>
      </c>
      <c r="I161" s="19" t="s">
        <v>25</v>
      </c>
      <c r="J161" s="17" t="s">
        <v>2</v>
      </c>
      <c r="K161" s="20" t="s">
        <v>94</v>
      </c>
      <c r="L161" s="20" t="s">
        <v>22</v>
      </c>
      <c r="M161" s="19" t="s">
        <v>8</v>
      </c>
      <c r="N161" s="19" t="s">
        <v>16</v>
      </c>
      <c r="O161" s="19" t="s">
        <v>17</v>
      </c>
      <c r="P161" s="19" t="s">
        <v>18</v>
      </c>
      <c r="Q161" s="20" t="s">
        <v>10</v>
      </c>
      <c r="R161" s="20" t="s">
        <v>23</v>
      </c>
      <c r="S161" s="19" t="s">
        <v>9</v>
      </c>
      <c r="T161" s="19" t="s">
        <v>19</v>
      </c>
      <c r="U161" s="19" t="s">
        <v>20</v>
      </c>
      <c r="V161" s="19" t="s">
        <v>24</v>
      </c>
    </row>
    <row r="162" spans="2:22" x14ac:dyDescent="0.25">
      <c r="B162" s="41" t="s">
        <v>177</v>
      </c>
      <c r="C162" s="176" t="s">
        <v>112</v>
      </c>
      <c r="D162" s="8">
        <v>23100</v>
      </c>
      <c r="E162" s="8">
        <v>338.42</v>
      </c>
      <c r="F162" s="8">
        <v>1</v>
      </c>
      <c r="G162" s="11">
        <f>D162/E162</f>
        <v>68.258377164470176</v>
      </c>
      <c r="H162" s="7"/>
      <c r="I162" s="7"/>
      <c r="J162" s="8" t="s">
        <v>48</v>
      </c>
      <c r="K162" s="8">
        <v>126.92</v>
      </c>
      <c r="L162" s="46">
        <f>71.89*K162</f>
        <v>9124.2788</v>
      </c>
      <c r="M162" s="7" t="s">
        <v>27</v>
      </c>
      <c r="N162" s="44">
        <v>170646</v>
      </c>
      <c r="O162" s="42">
        <v>0.88300000000000001</v>
      </c>
      <c r="P162" s="11">
        <f>N162*O162</f>
        <v>150680.41800000001</v>
      </c>
      <c r="Q162" s="8"/>
      <c r="R162" s="8"/>
      <c r="S162" s="7"/>
      <c r="T162" s="7"/>
      <c r="U162" s="7"/>
      <c r="V162" s="11">
        <f>T162*U162</f>
        <v>0</v>
      </c>
    </row>
    <row r="163" spans="2:22" x14ac:dyDescent="0.25">
      <c r="C163" s="8" t="s">
        <v>53</v>
      </c>
      <c r="D163" s="8">
        <v>7150</v>
      </c>
      <c r="E163" s="8">
        <v>95.11</v>
      </c>
      <c r="F163" s="8">
        <f>G163/G162</f>
        <v>1.1013463107880099</v>
      </c>
      <c r="G163" s="11">
        <f>D163/E163</f>
        <v>75.176111870465775</v>
      </c>
      <c r="H163" s="1"/>
      <c r="I163" s="1"/>
      <c r="J163" s="25" t="s">
        <v>38</v>
      </c>
      <c r="K163" s="26">
        <v>73.09</v>
      </c>
      <c r="L163" s="46">
        <f>3.76*K163</f>
        <v>274.8184</v>
      </c>
      <c r="M163" s="42"/>
      <c r="N163" s="45"/>
      <c r="O163" s="1"/>
      <c r="P163" s="11">
        <f>N163*O163</f>
        <v>0</v>
      </c>
      <c r="Q163" s="8"/>
      <c r="R163" s="8"/>
      <c r="S163" s="7"/>
      <c r="T163" s="7"/>
      <c r="U163" s="7"/>
      <c r="V163" s="11">
        <f t="shared" ref="V163:V164" si="18">T163*U163</f>
        <v>0</v>
      </c>
    </row>
    <row r="164" spans="2:22" x14ac:dyDescent="0.25">
      <c r="C164" s="8"/>
      <c r="D164" s="8"/>
      <c r="E164" s="8"/>
      <c r="F164" s="8"/>
      <c r="G164" s="10"/>
      <c r="H164" s="1"/>
      <c r="I164" s="1"/>
      <c r="J164" s="25" t="s">
        <v>52</v>
      </c>
      <c r="K164" s="26">
        <v>79.099999999999994</v>
      </c>
      <c r="L164" s="46">
        <f>682.7*K164</f>
        <v>54001.57</v>
      </c>
      <c r="M164" s="42"/>
      <c r="N164" s="45"/>
      <c r="O164" s="1"/>
      <c r="P164" s="11">
        <f t="shared" ref="P164" si="19">N164*O164</f>
        <v>0</v>
      </c>
      <c r="Q164" s="8"/>
      <c r="R164" s="8"/>
      <c r="S164" s="7"/>
      <c r="T164" s="7"/>
      <c r="U164" s="7"/>
      <c r="V164" s="11">
        <f t="shared" si="18"/>
        <v>0</v>
      </c>
    </row>
    <row r="165" spans="2:22" x14ac:dyDescent="0.25">
      <c r="C165" s="10" t="s">
        <v>4</v>
      </c>
      <c r="D165" s="11">
        <f>SUM(D162:D163)</f>
        <v>30250</v>
      </c>
      <c r="E165" s="11">
        <f>SUM(E162:E163)</f>
        <v>433.53000000000003</v>
      </c>
      <c r="F165" s="10"/>
      <c r="G165" s="165">
        <f>SUM(G162:G163)</f>
        <v>143.43448903493595</v>
      </c>
      <c r="I165" s="23">
        <f>SUM(I162:I163)</f>
        <v>0</v>
      </c>
      <c r="L165" s="47">
        <f>SUM(L162:L164)</f>
        <v>63400.667199999996</v>
      </c>
      <c r="N165" s="89">
        <f>SUM(N162:N164)</f>
        <v>170646</v>
      </c>
      <c r="P165" s="23">
        <f>SUM(P162:P164)</f>
        <v>150680.41800000001</v>
      </c>
      <c r="R165" s="23">
        <f>SUM(R162:R164)</f>
        <v>0</v>
      </c>
      <c r="V165" s="23">
        <f>SUM(V162:V164)</f>
        <v>0</v>
      </c>
    </row>
    <row r="166" spans="2:22" x14ac:dyDescent="0.25">
      <c r="C166" s="4"/>
      <c r="D166" s="3"/>
      <c r="E166" s="3"/>
      <c r="F166" s="3"/>
      <c r="G166" s="4"/>
      <c r="H166" s="4"/>
      <c r="I166" s="4"/>
      <c r="M166" s="4"/>
      <c r="N166" s="4"/>
      <c r="O166" s="4"/>
      <c r="P166" s="4"/>
      <c r="Q166" s="4"/>
      <c r="R166" s="4"/>
      <c r="S166" s="4"/>
      <c r="T166" s="4"/>
      <c r="U166" s="4"/>
      <c r="V166" s="4"/>
    </row>
    <row r="167" spans="2:22" x14ac:dyDescent="0.25">
      <c r="C167" s="4"/>
      <c r="D167" s="3"/>
      <c r="E167" s="3"/>
      <c r="F167" s="3"/>
      <c r="G167" s="4"/>
      <c r="H167" s="4"/>
      <c r="K167" s="162" t="s">
        <v>133</v>
      </c>
      <c r="L167" s="96">
        <f>(T169/G162)*100</f>
        <v>50</v>
      </c>
      <c r="O167" s="4"/>
      <c r="P167" s="4"/>
      <c r="Q167" s="4"/>
      <c r="R167" s="4"/>
      <c r="S167" s="4"/>
    </row>
    <row r="168" spans="2:22" x14ac:dyDescent="0.25">
      <c r="C168" s="4"/>
      <c r="D168" s="3"/>
      <c r="E168" s="3"/>
      <c r="F168" s="3"/>
      <c r="G168" s="4"/>
      <c r="H168" s="4"/>
      <c r="K168" s="159" t="s">
        <v>134</v>
      </c>
      <c r="L168" s="97">
        <f>(S169/(E165)*100)</f>
        <v>96.069476160819306</v>
      </c>
      <c r="R168" s="5" t="s">
        <v>11</v>
      </c>
      <c r="S168" s="5" t="s">
        <v>12</v>
      </c>
      <c r="T168" s="5" t="s">
        <v>0</v>
      </c>
    </row>
    <row r="169" spans="2:22" x14ac:dyDescent="0.25">
      <c r="C169" s="4"/>
      <c r="D169" s="3"/>
      <c r="E169" s="3"/>
      <c r="F169" s="3"/>
      <c r="G169" s="4"/>
      <c r="H169" s="4"/>
      <c r="K169" s="162" t="s">
        <v>135</v>
      </c>
      <c r="L169" s="96">
        <f>(R169/D165)*100</f>
        <v>46.989969430132533</v>
      </c>
      <c r="P169" s="4"/>
      <c r="Q169" s="5" t="s">
        <v>3</v>
      </c>
      <c r="R169" s="55">
        <f>T169*S169</f>
        <v>14214.465752615091</v>
      </c>
      <c r="S169" s="9">
        <v>416.49</v>
      </c>
      <c r="T169" s="48">
        <f>G162*0.5</f>
        <v>34.129188582235088</v>
      </c>
    </row>
    <row r="170" spans="2:22" ht="17.25" x14ac:dyDescent="0.25">
      <c r="C170" s="4"/>
      <c r="D170" s="3"/>
      <c r="E170" s="3"/>
      <c r="F170" s="3"/>
      <c r="G170" s="4"/>
      <c r="H170" s="4"/>
      <c r="K170" s="159" t="s">
        <v>136</v>
      </c>
      <c r="L170" s="13">
        <f>(D165+I165+L165+P165+R165+V165)/R169</f>
        <v>17.18890385697749</v>
      </c>
      <c r="O170" s="4"/>
      <c r="P170" s="4"/>
      <c r="S170" s="81"/>
      <c r="T170" s="3"/>
    </row>
    <row r="171" spans="2:22" ht="17.25" x14ac:dyDescent="0.25">
      <c r="C171" s="4"/>
      <c r="D171" s="3"/>
      <c r="E171" s="3"/>
      <c r="F171" s="3"/>
      <c r="G171" s="4"/>
      <c r="H171" s="4"/>
      <c r="I171" s="4"/>
      <c r="K171" s="163" t="s">
        <v>137</v>
      </c>
      <c r="L171" s="15">
        <f>(D165+I165+L165)/R169</f>
        <v>6.5884057009156827</v>
      </c>
      <c r="O171" s="4"/>
      <c r="P171" s="4"/>
      <c r="S171" s="4"/>
    </row>
    <row r="172" spans="2:22" ht="17.25" x14ac:dyDescent="0.25">
      <c r="C172" s="4"/>
      <c r="D172" s="3"/>
      <c r="E172" s="3"/>
      <c r="F172" s="3"/>
      <c r="G172" s="4"/>
      <c r="H172" s="4"/>
      <c r="I172" s="4"/>
      <c r="K172" s="164" t="s">
        <v>138</v>
      </c>
      <c r="L172" s="16">
        <f>(P165+V165)/R169</f>
        <v>10.600498156061809</v>
      </c>
      <c r="M172" s="4"/>
      <c r="N172" s="163" t="s">
        <v>139</v>
      </c>
      <c r="O172" s="93">
        <f>(G162/N165)*1000</f>
        <v>0.3999998661818629</v>
      </c>
      <c r="P172" s="4"/>
      <c r="U172" s="4"/>
      <c r="V172" s="4"/>
    </row>
    <row r="173" spans="2:22" x14ac:dyDescent="0.25">
      <c r="C173" s="6"/>
      <c r="D173"/>
      <c r="E173" s="3"/>
      <c r="F173" s="3"/>
      <c r="G173" s="4"/>
      <c r="H173" s="4"/>
      <c r="I173" s="4"/>
      <c r="M173" s="4"/>
      <c r="N173" s="4"/>
      <c r="O173" s="4"/>
      <c r="P173" s="4"/>
      <c r="Q173" s="4"/>
      <c r="R173" s="4"/>
      <c r="S173" s="4"/>
      <c r="T173" s="4"/>
      <c r="U173" s="4"/>
      <c r="V173" s="4"/>
    </row>
    <row r="177" spans="1:22" s="168" customFormat="1" x14ac:dyDescent="0.25">
      <c r="A177" s="167" t="s">
        <v>140</v>
      </c>
      <c r="C177" s="169"/>
      <c r="D177" s="169"/>
      <c r="E177" s="169"/>
    </row>
    <row r="179" spans="1:22" x14ac:dyDescent="0.25">
      <c r="K179" s="35"/>
      <c r="N179" s="40" t="s">
        <v>176</v>
      </c>
      <c r="O179" s="124" t="s">
        <v>55</v>
      </c>
      <c r="P179" s="124"/>
      <c r="Q179" s="124"/>
      <c r="R179" s="53"/>
      <c r="S179" s="53"/>
      <c r="T179" s="53"/>
      <c r="U179" s="53"/>
      <c r="V179" s="53"/>
    </row>
    <row r="180" spans="1:22" x14ac:dyDescent="0.25">
      <c r="D180" s="121" t="s">
        <v>110</v>
      </c>
      <c r="E180" s="105"/>
      <c r="F180" s="105"/>
      <c r="M180" s="107"/>
      <c r="N180" s="192"/>
      <c r="O180" s="192"/>
      <c r="P180" s="192"/>
      <c r="Q180" s="192"/>
      <c r="R180" s="192"/>
      <c r="S180" s="192"/>
      <c r="T180" s="192"/>
      <c r="U180" s="192"/>
      <c r="V180" s="103"/>
    </row>
    <row r="181" spans="1:22" ht="15.75" x14ac:dyDescent="0.25">
      <c r="D181" s="112" t="s">
        <v>29</v>
      </c>
      <c r="E181" s="112" t="s">
        <v>30</v>
      </c>
      <c r="F181" s="111" t="s">
        <v>6</v>
      </c>
      <c r="G181" s="112" t="s">
        <v>7</v>
      </c>
      <c r="H181" s="112" t="s">
        <v>32</v>
      </c>
      <c r="I181" s="112" t="s">
        <v>34</v>
      </c>
      <c r="J181" s="112" t="s">
        <v>35</v>
      </c>
      <c r="K181" s="112" t="s">
        <v>5</v>
      </c>
      <c r="L181" s="54"/>
      <c r="M181" s="54"/>
      <c r="N181" s="192"/>
      <c r="O181" s="192"/>
      <c r="P181" s="192"/>
      <c r="Q181" s="192"/>
      <c r="R181" s="192"/>
      <c r="S181" s="192"/>
      <c r="T181" s="192"/>
      <c r="U181" s="192"/>
      <c r="V181" s="103"/>
    </row>
    <row r="182" spans="1:22" x14ac:dyDescent="0.25">
      <c r="D182" s="114"/>
      <c r="E182" s="114"/>
      <c r="F182" s="113" t="s">
        <v>31</v>
      </c>
      <c r="G182" s="114" t="s">
        <v>31</v>
      </c>
      <c r="H182" s="114" t="s">
        <v>33</v>
      </c>
      <c r="I182" s="114" t="s">
        <v>33</v>
      </c>
      <c r="J182" s="114" t="s">
        <v>33</v>
      </c>
      <c r="K182" s="114" t="s">
        <v>31</v>
      </c>
      <c r="L182" s="54"/>
      <c r="M182" s="54"/>
      <c r="N182" s="192"/>
      <c r="O182" s="192"/>
      <c r="P182" s="192"/>
      <c r="Q182" s="192"/>
      <c r="R182" s="192"/>
      <c r="S182" s="192"/>
      <c r="T182" s="192"/>
      <c r="U182" s="192"/>
      <c r="V182" s="103"/>
    </row>
    <row r="183" spans="1:22" ht="15" customHeight="1" x14ac:dyDescent="0.25">
      <c r="D183" s="127" t="str">
        <f>A1</f>
        <v xml:space="preserve">Literature data reported </v>
      </c>
      <c r="E183" s="127"/>
      <c r="F183" s="127"/>
      <c r="G183" s="127"/>
      <c r="H183" s="127"/>
      <c r="I183" s="127"/>
      <c r="J183" s="127"/>
      <c r="K183" s="128"/>
      <c r="L183" s="54"/>
      <c r="M183" s="54"/>
      <c r="N183" s="192"/>
      <c r="O183" s="192"/>
      <c r="P183" s="192"/>
      <c r="Q183" s="192"/>
      <c r="R183" s="192"/>
      <c r="S183" s="192"/>
      <c r="T183" s="192"/>
      <c r="U183" s="192"/>
      <c r="V183" s="103"/>
    </row>
    <row r="184" spans="1:22" x14ac:dyDescent="0.25">
      <c r="D184" s="90"/>
      <c r="E184" s="106" t="s">
        <v>178</v>
      </c>
      <c r="F184" s="91">
        <f>L21</f>
        <v>95.420933600996122</v>
      </c>
      <c r="G184" s="91">
        <f>L22</f>
        <v>79.012345679012341</v>
      </c>
      <c r="H184" s="92">
        <f>L23</f>
        <v>20.26808875</v>
      </c>
      <c r="I184" s="92">
        <f>L24</f>
        <v>3.15871375</v>
      </c>
      <c r="J184" s="92">
        <f>L25</f>
        <v>17.109375</v>
      </c>
      <c r="K184" s="60">
        <f>L20</f>
        <v>90.728165250814442</v>
      </c>
      <c r="L184" s="54"/>
      <c r="M184" s="54"/>
      <c r="N184" s="192"/>
      <c r="O184" s="192"/>
      <c r="P184" s="192"/>
      <c r="Q184" s="192"/>
      <c r="R184" s="192"/>
      <c r="S184" s="192"/>
      <c r="T184" s="192"/>
      <c r="U184" s="192"/>
      <c r="V184" s="103"/>
    </row>
    <row r="185" spans="1:22" x14ac:dyDescent="0.25">
      <c r="D185" s="115"/>
      <c r="E185" s="114" t="s">
        <v>179</v>
      </c>
      <c r="F185" s="116">
        <f>L48</f>
        <v>96.069476160819306</v>
      </c>
      <c r="G185" s="116">
        <f>L49</f>
        <v>69.619834710743802</v>
      </c>
      <c r="H185" s="117">
        <f>L50</f>
        <v>14.970734434947769</v>
      </c>
      <c r="I185" s="117">
        <f>L51</f>
        <v>4.4468502943969606</v>
      </c>
      <c r="J185" s="117">
        <f>L52</f>
        <v>10.523884140550807</v>
      </c>
      <c r="K185" s="118">
        <f>L47</f>
        <v>74.079463718590716</v>
      </c>
      <c r="L185" s="54"/>
      <c r="M185" s="54"/>
      <c r="N185" s="192"/>
      <c r="O185" s="192"/>
      <c r="P185" s="192"/>
      <c r="Q185" s="192"/>
      <c r="R185" s="192"/>
      <c r="S185" s="192"/>
      <c r="T185" s="192"/>
      <c r="U185" s="192"/>
      <c r="V185" s="103"/>
    </row>
    <row r="186" spans="1:22" ht="15" customHeight="1" x14ac:dyDescent="0.25">
      <c r="D186" s="123" t="str">
        <f>A55</f>
        <v>Simulation A: [Acid] = 0.4 M, Literature data yield</v>
      </c>
      <c r="E186" s="123"/>
      <c r="F186" s="123"/>
      <c r="G186" s="123"/>
      <c r="H186" s="123"/>
      <c r="I186" s="123"/>
      <c r="J186" s="123"/>
      <c r="K186" s="129"/>
      <c r="L186" s="54"/>
      <c r="M186" s="54"/>
      <c r="N186" s="192"/>
      <c r="O186" s="192"/>
      <c r="P186" s="192"/>
      <c r="Q186" s="192"/>
      <c r="R186" s="192"/>
      <c r="S186" s="192"/>
      <c r="T186" s="192"/>
      <c r="U186" s="192"/>
      <c r="V186" s="103"/>
    </row>
    <row r="187" spans="1:22" x14ac:dyDescent="0.25">
      <c r="D187" s="102"/>
      <c r="E187" s="102" t="s">
        <v>176</v>
      </c>
      <c r="F187" s="99">
        <f>L64</f>
        <v>95.420933600996122</v>
      </c>
      <c r="G187" s="100">
        <f>L65</f>
        <v>79.012345679012341</v>
      </c>
      <c r="H187" s="101">
        <f>L66</f>
        <v>12.185323283223822</v>
      </c>
      <c r="I187" s="101">
        <f>L67</f>
        <v>3.15871375</v>
      </c>
      <c r="J187" s="101">
        <f>L68</f>
        <v>9.026609533223823</v>
      </c>
      <c r="K187" s="60">
        <f>L63</f>
        <v>90.728165250814442</v>
      </c>
      <c r="L187" s="54"/>
      <c r="M187" s="54"/>
      <c r="N187" s="192"/>
      <c r="O187" s="192"/>
      <c r="P187" s="192"/>
      <c r="Q187" s="192"/>
      <c r="R187" s="192"/>
      <c r="S187" s="192"/>
      <c r="T187" s="192"/>
      <c r="U187" s="192"/>
      <c r="V187" s="53"/>
    </row>
    <row r="188" spans="1:22" x14ac:dyDescent="0.25">
      <c r="D188" s="102"/>
      <c r="E188" s="102" t="s">
        <v>177</v>
      </c>
      <c r="F188" s="99">
        <f>L78</f>
        <v>96.069476160819306</v>
      </c>
      <c r="G188" s="100">
        <f>L79</f>
        <v>69.619834710743802</v>
      </c>
      <c r="H188" s="101">
        <f>L80</f>
        <v>11.60166596391263</v>
      </c>
      <c r="I188" s="101">
        <f>L81</f>
        <v>4.4468502943969606</v>
      </c>
      <c r="J188" s="101">
        <f>L82</f>
        <v>7.1548156695156697</v>
      </c>
      <c r="K188" s="60">
        <f>L77</f>
        <v>74.079463718590716</v>
      </c>
      <c r="L188" s="54"/>
      <c r="M188" s="54"/>
      <c r="N188" s="192"/>
      <c r="O188" s="192"/>
      <c r="P188" s="192"/>
      <c r="Q188" s="192"/>
      <c r="R188" s="192"/>
      <c r="S188" s="192"/>
      <c r="T188" s="192"/>
      <c r="U188" s="192"/>
      <c r="V188" s="53"/>
    </row>
    <row r="189" spans="1:22" ht="15" customHeight="1" x14ac:dyDescent="0.25">
      <c r="D189" s="123" t="str">
        <f>A85</f>
        <v>Simulation B: [Acid] = Literature data, 90% Yield</v>
      </c>
      <c r="E189" s="123"/>
      <c r="F189" s="123"/>
      <c r="G189" s="123"/>
      <c r="H189" s="123"/>
      <c r="I189" s="123"/>
      <c r="J189" s="123"/>
      <c r="K189" s="119"/>
      <c r="L189" s="54"/>
      <c r="M189" s="54"/>
      <c r="N189" s="192"/>
      <c r="O189" s="192"/>
      <c r="P189" s="192"/>
      <c r="Q189" s="192"/>
      <c r="R189" s="192"/>
      <c r="S189" s="192"/>
      <c r="T189" s="192"/>
      <c r="U189" s="192"/>
      <c r="V189" s="103"/>
    </row>
    <row r="190" spans="1:22" x14ac:dyDescent="0.25">
      <c r="D190" s="102"/>
      <c r="E190" s="102" t="s">
        <v>176</v>
      </c>
      <c r="F190" s="99">
        <f>L94</f>
        <v>95.420933600996122</v>
      </c>
      <c r="G190" s="100">
        <f>L95</f>
        <v>78.378209142141515</v>
      </c>
      <c r="H190" s="101">
        <f>L96</f>
        <v>20.432072282535255</v>
      </c>
      <c r="I190" s="101">
        <f>L97</f>
        <v>3.184270034333553</v>
      </c>
      <c r="J190" s="101">
        <f>L98</f>
        <v>17.247802248201705</v>
      </c>
      <c r="K190" s="60">
        <f>L93</f>
        <v>90</v>
      </c>
      <c r="L190" s="54"/>
      <c r="M190" s="54"/>
      <c r="N190" s="40" t="s">
        <v>177</v>
      </c>
      <c r="O190" s="124" t="s">
        <v>54</v>
      </c>
      <c r="P190" s="124"/>
      <c r="Q190" s="103"/>
      <c r="R190" s="103"/>
      <c r="S190" s="103"/>
      <c r="T190" s="103"/>
      <c r="U190" s="103"/>
      <c r="V190" s="103"/>
    </row>
    <row r="191" spans="1:22" x14ac:dyDescent="0.25">
      <c r="D191" s="102"/>
      <c r="E191" s="102" t="s">
        <v>177</v>
      </c>
      <c r="F191" s="99">
        <f>L108</f>
        <v>96.069476160819306</v>
      </c>
      <c r="G191" s="100">
        <f>L109</f>
        <v>84.581944974238567</v>
      </c>
      <c r="H191" s="101">
        <f>L110</f>
        <v>12.322488649048555</v>
      </c>
      <c r="I191" s="101">
        <f>L111</f>
        <v>3.6602253893976013</v>
      </c>
      <c r="J191" s="101">
        <f>L112</f>
        <v>8.6622632596509526</v>
      </c>
      <c r="K191" s="60">
        <f>L107</f>
        <v>90</v>
      </c>
      <c r="L191" s="54"/>
      <c r="M191" s="54"/>
      <c r="N191" s="192"/>
      <c r="O191" s="192"/>
      <c r="P191" s="192"/>
      <c r="Q191" s="192"/>
      <c r="R191" s="192"/>
      <c r="S191" s="192"/>
      <c r="T191" s="192"/>
      <c r="U191" s="192"/>
      <c r="V191" s="103"/>
    </row>
    <row r="192" spans="1:22" ht="18" customHeight="1" x14ac:dyDescent="0.25">
      <c r="D192" s="123" t="str">
        <f>A115</f>
        <v>Simulation C: [Acid] = 0.4 M, 90% Yield</v>
      </c>
      <c r="E192" s="123"/>
      <c r="F192" s="123"/>
      <c r="G192" s="123"/>
      <c r="H192" s="123"/>
      <c r="I192" s="123"/>
      <c r="J192" s="123"/>
      <c r="K192" s="119"/>
      <c r="N192" s="192"/>
      <c r="O192" s="192"/>
      <c r="P192" s="192"/>
      <c r="Q192" s="192"/>
      <c r="R192" s="192"/>
      <c r="S192" s="192"/>
      <c r="T192" s="192"/>
      <c r="U192" s="192"/>
      <c r="V192" s="103"/>
    </row>
    <row r="193" spans="4:22" x14ac:dyDescent="0.25">
      <c r="D193" s="102"/>
      <c r="E193" s="102" t="s">
        <v>176</v>
      </c>
      <c r="F193" s="99">
        <f>L124</f>
        <v>95.420933600996122</v>
      </c>
      <c r="G193" s="100">
        <f>L125</f>
        <v>78.378209142141515</v>
      </c>
      <c r="H193" s="101">
        <f>L126</f>
        <v>12.283911383054752</v>
      </c>
      <c r="I193" s="101">
        <f>L127</f>
        <v>3.184270034333553</v>
      </c>
      <c r="J193" s="101">
        <f>L128</f>
        <v>9.0996413487211996</v>
      </c>
      <c r="K193" s="60">
        <f>L123</f>
        <v>90</v>
      </c>
      <c r="N193" s="192"/>
      <c r="O193" s="192"/>
      <c r="P193" s="192"/>
      <c r="Q193" s="192"/>
      <c r="R193" s="192"/>
      <c r="S193" s="192"/>
      <c r="T193" s="192"/>
      <c r="U193" s="192"/>
      <c r="V193" s="103"/>
    </row>
    <row r="194" spans="4:22" x14ac:dyDescent="0.25">
      <c r="D194" s="102"/>
      <c r="E194" s="102" t="s">
        <v>177</v>
      </c>
      <c r="F194" s="99">
        <f>L138</f>
        <v>96.069476160819306</v>
      </c>
      <c r="G194" s="100">
        <f>L139</f>
        <v>84.581944974238567</v>
      </c>
      <c r="H194" s="101">
        <f>L140</f>
        <v>9.5493910316541619</v>
      </c>
      <c r="I194" s="101">
        <f>L141</f>
        <v>3.6602253893976013</v>
      </c>
      <c r="J194" s="101">
        <f>L142</f>
        <v>5.8891656422565601</v>
      </c>
      <c r="K194" s="60">
        <f>L137</f>
        <v>90</v>
      </c>
      <c r="N194" s="192"/>
      <c r="O194" s="192"/>
      <c r="P194" s="192"/>
      <c r="Q194" s="192"/>
      <c r="R194" s="192"/>
      <c r="S194" s="192"/>
      <c r="T194" s="192"/>
      <c r="U194" s="192"/>
      <c r="V194" s="103"/>
    </row>
    <row r="195" spans="4:22" ht="15" customHeight="1" x14ac:dyDescent="0.25">
      <c r="D195" s="123" t="str">
        <f>A145</f>
        <v>Simulation D: [Acid] = 0.4 M, 50% Yield</v>
      </c>
      <c r="E195" s="123"/>
      <c r="F195" s="123"/>
      <c r="G195" s="123"/>
      <c r="H195" s="123"/>
      <c r="I195" s="123"/>
      <c r="J195" s="123"/>
      <c r="K195" s="119"/>
      <c r="N195" s="192"/>
      <c r="O195" s="192"/>
      <c r="P195" s="192"/>
      <c r="Q195" s="192"/>
      <c r="R195" s="192"/>
      <c r="S195" s="192"/>
      <c r="T195" s="192"/>
      <c r="U195" s="192"/>
      <c r="V195" s="103"/>
    </row>
    <row r="196" spans="4:22" x14ac:dyDescent="0.25">
      <c r="D196" s="106"/>
      <c r="E196" s="102" t="s">
        <v>176</v>
      </c>
      <c r="F196" s="79">
        <f>L154</f>
        <v>95.420933600996122</v>
      </c>
      <c r="G196" s="60">
        <f>L155</f>
        <v>43.543449523411958</v>
      </c>
      <c r="H196" s="37">
        <f>L156</f>
        <v>22.111040489498553</v>
      </c>
      <c r="I196" s="37">
        <f>L157</f>
        <v>5.7316860618003957</v>
      </c>
      <c r="J196" s="37">
        <f>L158</f>
        <v>16.379354427698161</v>
      </c>
      <c r="K196" s="60">
        <f>L153</f>
        <v>50</v>
      </c>
      <c r="N196" s="192"/>
      <c r="O196" s="192"/>
      <c r="P196" s="192"/>
      <c r="Q196" s="192"/>
      <c r="R196" s="192"/>
      <c r="S196" s="192"/>
      <c r="T196" s="192"/>
      <c r="U196" s="192"/>
      <c r="V196" s="103"/>
    </row>
    <row r="197" spans="4:22" x14ac:dyDescent="0.25">
      <c r="D197" s="106"/>
      <c r="E197" s="102" t="s">
        <v>177</v>
      </c>
      <c r="F197" s="79">
        <f>L168</f>
        <v>96.069476160819306</v>
      </c>
      <c r="G197" s="60">
        <f>L169</f>
        <v>46.989969430132533</v>
      </c>
      <c r="H197" s="37">
        <f>L170</f>
        <v>17.18890385697749</v>
      </c>
      <c r="I197" s="37">
        <f>L171</f>
        <v>6.5884057009156827</v>
      </c>
      <c r="J197" s="37">
        <f>L172</f>
        <v>10.600498156061809</v>
      </c>
      <c r="K197" s="60">
        <f>L167</f>
        <v>50</v>
      </c>
      <c r="N197" s="192"/>
      <c r="O197" s="192"/>
      <c r="P197" s="192"/>
      <c r="Q197" s="192"/>
      <c r="R197" s="192"/>
      <c r="S197" s="192"/>
      <c r="T197" s="192"/>
      <c r="U197" s="192"/>
      <c r="V197" s="103"/>
    </row>
    <row r="198" spans="4:22" ht="17.100000000000001" customHeight="1" x14ac:dyDescent="0.25">
      <c r="D198" s="120"/>
      <c r="E198" s="120"/>
      <c r="F198" s="120"/>
      <c r="G198" s="120"/>
      <c r="H198" s="120"/>
      <c r="I198" s="120"/>
      <c r="J198" s="120"/>
      <c r="K198" s="60"/>
      <c r="N198" s="192"/>
      <c r="O198" s="192"/>
      <c r="P198" s="192"/>
      <c r="Q198" s="192"/>
      <c r="R198" s="192"/>
      <c r="S198" s="192"/>
      <c r="T198" s="192"/>
      <c r="U198" s="192"/>
      <c r="V198" s="103"/>
    </row>
    <row r="199" spans="4:22" x14ac:dyDescent="0.25">
      <c r="D199" s="106"/>
      <c r="E199" s="106"/>
      <c r="F199" s="79"/>
      <c r="G199" s="60"/>
      <c r="H199" s="37"/>
      <c r="I199" s="37"/>
      <c r="J199" s="37"/>
      <c r="K199" s="60"/>
      <c r="N199" s="192"/>
      <c r="O199" s="192"/>
      <c r="P199" s="192"/>
      <c r="Q199" s="192"/>
      <c r="R199" s="192"/>
      <c r="S199" s="192"/>
      <c r="T199" s="192"/>
      <c r="U199" s="192"/>
    </row>
    <row r="200" spans="4:22" x14ac:dyDescent="0.25">
      <c r="D200" s="106"/>
      <c r="E200" s="106"/>
      <c r="F200" s="79"/>
      <c r="G200" s="79"/>
      <c r="H200" s="85"/>
      <c r="I200" s="85"/>
      <c r="J200" s="85"/>
      <c r="K200" s="60"/>
      <c r="N200" s="192"/>
      <c r="O200" s="192"/>
      <c r="P200" s="192"/>
      <c r="Q200" s="192"/>
      <c r="R200" s="192"/>
      <c r="S200" s="192"/>
      <c r="T200" s="192"/>
      <c r="U200" s="192"/>
    </row>
    <row r="201" spans="4:22" ht="15" customHeight="1" x14ac:dyDescent="0.25">
      <c r="D201" s="120"/>
      <c r="E201" s="120"/>
      <c r="F201" s="120"/>
      <c r="G201" s="120"/>
      <c r="H201" s="120"/>
      <c r="I201" s="120"/>
      <c r="J201" s="120"/>
      <c r="K201" s="61"/>
    </row>
    <row r="202" spans="4:22" x14ac:dyDescent="0.25">
      <c r="D202" s="106"/>
      <c r="E202" s="106"/>
      <c r="F202" s="79"/>
      <c r="G202" s="60"/>
      <c r="H202" s="37"/>
      <c r="I202" s="37"/>
      <c r="J202" s="37"/>
      <c r="K202" s="60"/>
    </row>
    <row r="203" spans="4:22" x14ac:dyDescent="0.25">
      <c r="D203" s="106"/>
      <c r="E203" s="106"/>
      <c r="F203" s="79"/>
      <c r="G203" s="79"/>
      <c r="H203" s="85"/>
      <c r="I203" s="85"/>
      <c r="J203" s="85"/>
      <c r="K203" s="60"/>
    </row>
    <row r="204" spans="4:22" ht="18" customHeight="1" x14ac:dyDescent="0.25">
      <c r="D204" s="78"/>
      <c r="E204" s="78"/>
      <c r="F204" s="78"/>
      <c r="G204" s="35"/>
      <c r="H204" s="35"/>
      <c r="I204" s="35"/>
      <c r="J204" s="35"/>
      <c r="K204" s="60"/>
    </row>
    <row r="205" spans="4:22" x14ac:dyDescent="0.25">
      <c r="K205" s="37"/>
    </row>
    <row r="206" spans="4:22" x14ac:dyDescent="0.25">
      <c r="K206" s="37"/>
    </row>
    <row r="207" spans="4:22" ht="15" customHeight="1" x14ac:dyDescent="0.25">
      <c r="K207" s="36"/>
    </row>
    <row r="208" spans="4:22" x14ac:dyDescent="0.25">
      <c r="K208" s="37"/>
    </row>
    <row r="209" spans="4:11" x14ac:dyDescent="0.25">
      <c r="K209" s="37"/>
    </row>
    <row r="210" spans="4:11" ht="18" customHeight="1" x14ac:dyDescent="0.25">
      <c r="K210" s="37"/>
    </row>
    <row r="211" spans="4:11" x14ac:dyDescent="0.25">
      <c r="K211" s="37"/>
    </row>
    <row r="212" spans="4:11" x14ac:dyDescent="0.25">
      <c r="K212" s="37"/>
    </row>
    <row r="213" spans="4:11" ht="15" customHeight="1" x14ac:dyDescent="0.25">
      <c r="K213" s="36"/>
    </row>
    <row r="214" spans="4:11" x14ac:dyDescent="0.25">
      <c r="K214" s="37"/>
    </row>
    <row r="215" spans="4:11" x14ac:dyDescent="0.25">
      <c r="K215" s="37"/>
    </row>
    <row r="216" spans="4:11" x14ac:dyDescent="0.25">
      <c r="K216" s="37"/>
    </row>
    <row r="217" spans="4:11" x14ac:dyDescent="0.25">
      <c r="K217" s="37"/>
    </row>
    <row r="218" spans="4:11" x14ac:dyDescent="0.25">
      <c r="K218" s="37"/>
    </row>
    <row r="219" spans="4:11" x14ac:dyDescent="0.25">
      <c r="K219" s="36"/>
    </row>
    <row r="220" spans="4:11" x14ac:dyDescent="0.25">
      <c r="K220" s="37"/>
    </row>
    <row r="221" spans="4:11" x14ac:dyDescent="0.25">
      <c r="K221" s="37"/>
    </row>
    <row r="222" spans="4:11" x14ac:dyDescent="0.25">
      <c r="D222" s="31"/>
      <c r="E222" s="31"/>
      <c r="F222" s="33"/>
      <c r="G222" s="34"/>
      <c r="H222" s="32"/>
      <c r="I222" s="32"/>
      <c r="J222" s="32"/>
      <c r="K222" s="37"/>
    </row>
    <row r="223" spans="4:11" x14ac:dyDescent="0.25">
      <c r="D223" s="31"/>
      <c r="E223" s="31"/>
      <c r="F223" s="33"/>
      <c r="G223" s="34"/>
      <c r="H223" s="32"/>
      <c r="I223" s="32"/>
      <c r="J223" s="32"/>
      <c r="K223" s="37"/>
    </row>
    <row r="224" spans="4:11" x14ac:dyDescent="0.25">
      <c r="D224" s="31"/>
      <c r="E224" s="31"/>
      <c r="F224" s="33"/>
      <c r="G224" s="34"/>
      <c r="H224" s="32"/>
      <c r="I224" s="32"/>
      <c r="J224" s="32"/>
      <c r="K224" s="37"/>
    </row>
    <row r="225" spans="11:11" x14ac:dyDescent="0.25">
      <c r="K225" s="35"/>
    </row>
  </sheetData>
  <mergeCells count="6">
    <mergeCell ref="N191:U200"/>
    <mergeCell ref="N180:U189"/>
    <mergeCell ref="D3:K12"/>
    <mergeCell ref="D28:K37"/>
    <mergeCell ref="M3:X12"/>
    <mergeCell ref="M28:AI39"/>
  </mergeCells>
  <pageMargins left="0.7" right="0.7" top="0.75" bottom="0.75" header="0.3" footer="0.3"/>
  <pageSetup paperSize="9" scale="19" orientation="portrait" horizontalDpi="4294967293" r:id="rId1"/>
  <drawing r:id="rId2"/>
  <legacyDrawing r:id="rId3"/>
  <oleObjects>
    <mc:AlternateContent xmlns:mc="http://schemas.openxmlformats.org/markup-compatibility/2006">
      <mc:Choice Requires="x14">
        <oleObject progId="ChemDraw.Document.6.0" shapeId="2051" r:id="rId4">
          <objectPr defaultSize="0" r:id="rId5">
            <anchor moveWithCells="1">
              <from>
                <xdr:col>13</xdr:col>
                <xdr:colOff>190500</xdr:colOff>
                <xdr:row>180</xdr:row>
                <xdr:rowOff>9525</xdr:rowOff>
              </from>
              <to>
                <xdr:col>19</xdr:col>
                <xdr:colOff>1162050</xdr:colOff>
                <xdr:row>187</xdr:row>
                <xdr:rowOff>161925</xdr:rowOff>
              </to>
            </anchor>
          </objectPr>
        </oleObject>
      </mc:Choice>
      <mc:Fallback>
        <oleObject progId="ChemDraw.Document.6.0" shapeId="2051" r:id="rId4"/>
      </mc:Fallback>
    </mc:AlternateContent>
    <mc:AlternateContent xmlns:mc="http://schemas.openxmlformats.org/markup-compatibility/2006">
      <mc:Choice Requires="x14">
        <oleObject progId="ChemDraw.Document.6.0" shapeId="2052" r:id="rId6">
          <objectPr defaultSize="0" r:id="rId7">
            <anchor moveWithCells="1">
              <from>
                <xdr:col>13</xdr:col>
                <xdr:colOff>200025</xdr:colOff>
                <xdr:row>190</xdr:row>
                <xdr:rowOff>180975</xdr:rowOff>
              </from>
              <to>
                <xdr:col>20</xdr:col>
                <xdr:colOff>152400</xdr:colOff>
                <xdr:row>199</xdr:row>
                <xdr:rowOff>104775</xdr:rowOff>
              </to>
            </anchor>
          </objectPr>
        </oleObject>
      </mc:Choice>
      <mc:Fallback>
        <oleObject progId="ChemDraw.Document.6.0" shapeId="2052" r:id="rId6"/>
      </mc:Fallback>
    </mc:AlternateContent>
    <mc:AlternateContent xmlns:mc="http://schemas.openxmlformats.org/markup-compatibility/2006">
      <mc:Choice Requires="x14">
        <oleObject progId="ChemDraw.Document.6.0" shapeId="2053" r:id="rId8">
          <objectPr defaultSize="0" r:id="rId9">
            <anchor moveWithCells="1">
              <from>
                <xdr:col>3</xdr:col>
                <xdr:colOff>104775</xdr:colOff>
                <xdr:row>2</xdr:row>
                <xdr:rowOff>47625</xdr:rowOff>
              </from>
              <to>
                <xdr:col>10</xdr:col>
                <xdr:colOff>819150</xdr:colOff>
                <xdr:row>11</xdr:row>
                <xdr:rowOff>28575</xdr:rowOff>
              </to>
            </anchor>
          </objectPr>
        </oleObject>
      </mc:Choice>
      <mc:Fallback>
        <oleObject progId="ChemDraw.Document.6.0" shapeId="2053" r:id="rId8"/>
      </mc:Fallback>
    </mc:AlternateContent>
    <mc:AlternateContent xmlns:mc="http://schemas.openxmlformats.org/markup-compatibility/2006">
      <mc:Choice Requires="x14">
        <oleObject progId="ChemDraw.Document.6.0" shapeId="2054" r:id="rId10">
          <objectPr defaultSize="0" r:id="rId11">
            <anchor moveWithCells="1">
              <from>
                <xdr:col>3</xdr:col>
                <xdr:colOff>28575</xdr:colOff>
                <xdr:row>27</xdr:row>
                <xdr:rowOff>38100</xdr:rowOff>
              </from>
              <to>
                <xdr:col>10</xdr:col>
                <xdr:colOff>904875</xdr:colOff>
                <xdr:row>36</xdr:row>
                <xdr:rowOff>19050</xdr:rowOff>
              </to>
            </anchor>
          </objectPr>
        </oleObject>
      </mc:Choice>
      <mc:Fallback>
        <oleObject progId="ChemDraw.Document.6.0" shapeId="2054" r:id="rId10"/>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H216"/>
  <sheetViews>
    <sheetView zoomScale="70" zoomScaleNormal="70" workbookViewId="0">
      <selection activeCell="X199" sqref="X199"/>
    </sheetView>
  </sheetViews>
  <sheetFormatPr defaultColWidth="8.85546875" defaultRowHeight="15" x14ac:dyDescent="0.25"/>
  <cols>
    <col min="1" max="1" width="12" customWidth="1"/>
    <col min="2" max="2" width="1.7109375" customWidth="1"/>
    <col min="3" max="3" width="51.85546875" customWidth="1"/>
    <col min="4" max="4" width="12.140625" style="51" customWidth="1"/>
    <col min="5" max="5" width="16.28515625" style="51" bestFit="1" customWidth="1"/>
    <col min="6" max="6" width="12.85546875" style="51" customWidth="1"/>
    <col min="7" max="7" width="10.7109375" customWidth="1"/>
    <col min="8" max="8" width="11" bestFit="1" customWidth="1"/>
    <col min="9" max="9" width="7.42578125" bestFit="1" customWidth="1"/>
    <col min="10" max="10" width="11.42578125" bestFit="1" customWidth="1"/>
    <col min="11" max="11" width="17.85546875" bestFit="1" customWidth="1"/>
    <col min="12" max="12" width="11.7109375" bestFit="1" customWidth="1"/>
    <col min="13" max="13" width="14.140625" customWidth="1"/>
    <col min="14" max="14" width="12.42578125" customWidth="1"/>
    <col min="15" max="15" width="13.28515625" customWidth="1"/>
    <col min="16" max="16" width="14.5703125" bestFit="1" customWidth="1"/>
    <col min="17" max="17" width="12.140625" bestFit="1" customWidth="1"/>
    <col min="18" max="18" width="11.42578125" bestFit="1" customWidth="1"/>
    <col min="19" max="19" width="10.28515625" bestFit="1" customWidth="1"/>
    <col min="20" max="20" width="12.28515625" customWidth="1"/>
    <col min="21" max="21" width="10.28515625" customWidth="1"/>
    <col min="22" max="22" width="12.140625" customWidth="1"/>
  </cols>
  <sheetData>
    <row r="1" spans="1:34" s="29" customFormat="1" ht="14.45" x14ac:dyDescent="0.3">
      <c r="A1" s="28" t="s">
        <v>107</v>
      </c>
      <c r="D1" s="30"/>
      <c r="E1" s="30"/>
      <c r="F1" s="30"/>
    </row>
    <row r="3" spans="1:34" ht="15" customHeight="1" x14ac:dyDescent="0.25">
      <c r="C3" s="41" t="s">
        <v>180</v>
      </c>
      <c r="D3" s="103"/>
      <c r="E3" s="103"/>
      <c r="F3" s="103"/>
      <c r="G3" s="103"/>
      <c r="H3" s="103"/>
      <c r="I3" s="103"/>
      <c r="J3" s="103"/>
      <c r="K3" s="103"/>
      <c r="L3" s="103"/>
      <c r="M3" s="103"/>
      <c r="N3" s="190" t="s">
        <v>116</v>
      </c>
      <c r="O3" s="190"/>
      <c r="P3" s="190"/>
      <c r="Q3" s="190"/>
      <c r="R3" s="190"/>
      <c r="S3" s="190"/>
      <c r="T3" s="190"/>
      <c r="U3" s="190"/>
      <c r="V3" s="190"/>
      <c r="W3" s="190"/>
      <c r="X3" s="190"/>
      <c r="Y3" s="190"/>
      <c r="Z3" s="190"/>
      <c r="AA3" s="190"/>
      <c r="AB3" s="190"/>
      <c r="AC3" s="190"/>
      <c r="AD3" s="190"/>
      <c r="AE3" s="190"/>
      <c r="AF3" s="190"/>
      <c r="AG3" s="190"/>
      <c r="AH3" s="190"/>
    </row>
    <row r="4" spans="1:34" x14ac:dyDescent="0.25">
      <c r="C4" s="110" t="s">
        <v>56</v>
      </c>
      <c r="D4" s="103"/>
      <c r="E4" s="103"/>
      <c r="F4" s="103"/>
      <c r="G4" s="103"/>
      <c r="H4" s="103"/>
      <c r="I4" s="103"/>
      <c r="J4" s="103"/>
      <c r="K4" s="103"/>
      <c r="L4" s="103"/>
      <c r="M4" s="103"/>
      <c r="N4" s="190"/>
      <c r="O4" s="190"/>
      <c r="P4" s="190"/>
      <c r="Q4" s="190"/>
      <c r="R4" s="190"/>
      <c r="S4" s="190"/>
      <c r="T4" s="190"/>
      <c r="U4" s="190"/>
      <c r="V4" s="190"/>
      <c r="W4" s="190"/>
      <c r="X4" s="190"/>
      <c r="Y4" s="190"/>
      <c r="Z4" s="190"/>
      <c r="AA4" s="190"/>
      <c r="AB4" s="190"/>
      <c r="AC4" s="190"/>
      <c r="AD4" s="190"/>
      <c r="AE4" s="190"/>
      <c r="AF4" s="190"/>
      <c r="AG4" s="190"/>
      <c r="AH4" s="190"/>
    </row>
    <row r="5" spans="1:34" x14ac:dyDescent="0.25">
      <c r="C5" s="52"/>
      <c r="D5" s="103"/>
      <c r="E5" s="103"/>
      <c r="F5" s="103"/>
      <c r="G5" s="103"/>
      <c r="H5" s="103"/>
      <c r="I5" s="103"/>
      <c r="J5" s="103"/>
      <c r="K5" s="103"/>
      <c r="L5" s="103"/>
      <c r="M5" s="103"/>
      <c r="N5" s="190"/>
      <c r="O5" s="190"/>
      <c r="P5" s="190"/>
      <c r="Q5" s="190"/>
      <c r="R5" s="190"/>
      <c r="S5" s="190"/>
      <c r="T5" s="190"/>
      <c r="U5" s="190"/>
      <c r="V5" s="190"/>
      <c r="W5" s="190"/>
      <c r="X5" s="190"/>
      <c r="Y5" s="190"/>
      <c r="Z5" s="190"/>
      <c r="AA5" s="190"/>
      <c r="AB5" s="190"/>
      <c r="AC5" s="190"/>
      <c r="AD5" s="190"/>
      <c r="AE5" s="190"/>
      <c r="AF5" s="190"/>
      <c r="AG5" s="190"/>
      <c r="AH5" s="190"/>
    </row>
    <row r="6" spans="1:34" x14ac:dyDescent="0.25">
      <c r="C6" s="179"/>
      <c r="D6" s="103"/>
      <c r="E6" s="103"/>
      <c r="F6" s="103"/>
      <c r="G6" s="103"/>
      <c r="H6" s="103"/>
      <c r="I6" s="103"/>
      <c r="J6" s="103"/>
      <c r="K6" s="103"/>
      <c r="L6" s="103"/>
      <c r="M6" s="103"/>
      <c r="N6" s="190"/>
      <c r="O6" s="190"/>
      <c r="P6" s="190"/>
      <c r="Q6" s="190"/>
      <c r="R6" s="190"/>
      <c r="S6" s="190"/>
      <c r="T6" s="190"/>
      <c r="U6" s="190"/>
      <c r="V6" s="190"/>
      <c r="W6" s="190"/>
      <c r="X6" s="190"/>
      <c r="Y6" s="190"/>
      <c r="Z6" s="190"/>
      <c r="AA6" s="190"/>
      <c r="AB6" s="190"/>
      <c r="AC6" s="190"/>
      <c r="AD6" s="190"/>
      <c r="AE6" s="190"/>
      <c r="AF6" s="190"/>
      <c r="AG6" s="190"/>
      <c r="AH6" s="190"/>
    </row>
    <row r="7" spans="1:34" x14ac:dyDescent="0.25">
      <c r="D7" s="103"/>
      <c r="E7" s="103"/>
      <c r="F7" s="103"/>
      <c r="G7" s="103"/>
      <c r="H7" s="103"/>
      <c r="I7" s="103"/>
      <c r="J7" s="103"/>
      <c r="K7" s="103"/>
      <c r="L7" s="103"/>
      <c r="M7" s="103"/>
      <c r="N7" s="190"/>
      <c r="O7" s="190"/>
      <c r="P7" s="190"/>
      <c r="Q7" s="190"/>
      <c r="R7" s="190"/>
      <c r="S7" s="190"/>
      <c r="T7" s="190"/>
      <c r="U7" s="190"/>
      <c r="V7" s="190"/>
      <c r="W7" s="190"/>
      <c r="X7" s="190"/>
      <c r="Y7" s="190"/>
      <c r="Z7" s="190"/>
      <c r="AA7" s="190"/>
      <c r="AB7" s="190"/>
      <c r="AC7" s="190"/>
      <c r="AD7" s="190"/>
      <c r="AE7" s="190"/>
      <c r="AF7" s="190"/>
      <c r="AG7" s="190"/>
      <c r="AH7" s="190"/>
    </row>
    <row r="8" spans="1:34" x14ac:dyDescent="0.25">
      <c r="D8" s="103"/>
      <c r="E8" s="103"/>
      <c r="F8" s="103"/>
      <c r="G8" s="103"/>
      <c r="H8" s="103"/>
      <c r="I8" s="103"/>
      <c r="J8" s="103"/>
      <c r="K8" s="103"/>
      <c r="L8" s="103"/>
      <c r="M8" s="103"/>
      <c r="N8" s="190"/>
      <c r="O8" s="190"/>
      <c r="P8" s="190"/>
      <c r="Q8" s="190"/>
      <c r="R8" s="190"/>
      <c r="S8" s="190"/>
      <c r="T8" s="190"/>
      <c r="U8" s="190"/>
      <c r="V8" s="190"/>
      <c r="W8" s="190"/>
      <c r="X8" s="190"/>
      <c r="Y8" s="190"/>
      <c r="Z8" s="190"/>
      <c r="AA8" s="190"/>
      <c r="AB8" s="190"/>
      <c r="AC8" s="190"/>
      <c r="AD8" s="190"/>
      <c r="AE8" s="190"/>
      <c r="AF8" s="190"/>
      <c r="AG8" s="190"/>
      <c r="AH8" s="190"/>
    </row>
    <row r="9" spans="1:34" x14ac:dyDescent="0.25">
      <c r="D9" s="103"/>
      <c r="E9" s="103"/>
      <c r="F9" s="103"/>
      <c r="G9" s="103"/>
      <c r="H9" s="103"/>
      <c r="I9" s="103"/>
      <c r="J9" s="103"/>
      <c r="K9" s="103"/>
      <c r="L9" s="103"/>
      <c r="M9" s="103"/>
      <c r="N9" s="190"/>
      <c r="O9" s="190"/>
      <c r="P9" s="190"/>
      <c r="Q9" s="190"/>
      <c r="R9" s="190"/>
      <c r="S9" s="190"/>
      <c r="T9" s="190"/>
      <c r="U9" s="190"/>
      <c r="V9" s="190"/>
      <c r="W9" s="190"/>
      <c r="X9" s="190"/>
      <c r="Y9" s="190"/>
      <c r="Z9" s="190"/>
      <c r="AA9" s="190"/>
      <c r="AB9" s="190"/>
      <c r="AC9" s="190"/>
      <c r="AD9" s="190"/>
      <c r="AE9" s="190"/>
      <c r="AF9" s="190"/>
      <c r="AG9" s="190"/>
      <c r="AH9" s="190"/>
    </row>
    <row r="10" spans="1:34" x14ac:dyDescent="0.25">
      <c r="D10" s="103"/>
      <c r="E10" s="103"/>
      <c r="F10" s="103"/>
      <c r="G10" s="103"/>
      <c r="H10" s="103"/>
      <c r="I10" s="103"/>
      <c r="J10" s="103"/>
      <c r="K10" s="103"/>
      <c r="L10" s="103"/>
      <c r="M10" s="103"/>
      <c r="N10" s="190"/>
      <c r="O10" s="190"/>
      <c r="P10" s="190"/>
      <c r="Q10" s="190"/>
      <c r="R10" s="190"/>
      <c r="S10" s="190"/>
      <c r="T10" s="190"/>
      <c r="U10" s="190"/>
      <c r="V10" s="190"/>
      <c r="W10" s="190"/>
      <c r="X10" s="190"/>
      <c r="Y10" s="190"/>
      <c r="Z10" s="190"/>
      <c r="AA10" s="190"/>
      <c r="AB10" s="190"/>
      <c r="AC10" s="190"/>
      <c r="AD10" s="190"/>
      <c r="AE10" s="190"/>
      <c r="AF10" s="190"/>
      <c r="AG10" s="190"/>
      <c r="AH10" s="190"/>
    </row>
    <row r="11" spans="1:34" x14ac:dyDescent="0.25">
      <c r="D11" s="103"/>
      <c r="E11" s="103"/>
      <c r="F11" s="103"/>
      <c r="G11" s="103"/>
      <c r="H11" s="103"/>
      <c r="I11" s="103"/>
      <c r="J11" s="103"/>
      <c r="K11" s="103"/>
      <c r="L11" s="103"/>
      <c r="M11" s="103"/>
      <c r="N11" s="190"/>
      <c r="O11" s="190"/>
      <c r="P11" s="190"/>
      <c r="Q11" s="190"/>
      <c r="R11" s="190"/>
      <c r="S11" s="190"/>
      <c r="T11" s="190"/>
      <c r="U11" s="190"/>
      <c r="V11" s="190"/>
      <c r="W11" s="190"/>
      <c r="X11" s="190"/>
      <c r="Y11" s="190"/>
      <c r="Z11" s="190"/>
      <c r="AA11" s="190"/>
      <c r="AB11" s="190"/>
      <c r="AC11" s="190"/>
      <c r="AD11" s="190"/>
      <c r="AE11" s="190"/>
      <c r="AF11" s="190"/>
      <c r="AG11" s="190"/>
      <c r="AH11" s="190"/>
    </row>
    <row r="12" spans="1:34" ht="14.45" x14ac:dyDescent="0.3">
      <c r="C12" s="6" t="s">
        <v>26</v>
      </c>
      <c r="D12" s="170"/>
      <c r="E12" s="170"/>
      <c r="F12" s="170"/>
      <c r="G12" s="170"/>
      <c r="H12" s="170"/>
      <c r="I12" s="170"/>
      <c r="J12" s="170"/>
      <c r="K12" s="170"/>
      <c r="L12" s="170"/>
      <c r="M12" s="170"/>
    </row>
    <row r="13" spans="1:34" ht="32.450000000000003" x14ac:dyDescent="0.3">
      <c r="C13" s="17" t="s">
        <v>14</v>
      </c>
      <c r="D13" s="20" t="s">
        <v>21</v>
      </c>
      <c r="E13" s="20" t="s">
        <v>94</v>
      </c>
      <c r="F13" s="17" t="s">
        <v>13</v>
      </c>
      <c r="G13" s="17" t="s">
        <v>15</v>
      </c>
      <c r="H13" s="18" t="s">
        <v>1</v>
      </c>
      <c r="I13" s="19" t="s">
        <v>25</v>
      </c>
      <c r="J13" s="17" t="s">
        <v>2</v>
      </c>
      <c r="K13" s="20" t="s">
        <v>94</v>
      </c>
      <c r="L13" s="20" t="s">
        <v>22</v>
      </c>
      <c r="M13" s="19" t="s">
        <v>8</v>
      </c>
      <c r="N13" s="19" t="s">
        <v>16</v>
      </c>
      <c r="O13" s="19" t="s">
        <v>17</v>
      </c>
      <c r="P13" s="19" t="s">
        <v>18</v>
      </c>
      <c r="Q13" s="20" t="s">
        <v>10</v>
      </c>
      <c r="R13" s="20" t="s">
        <v>23</v>
      </c>
      <c r="S13" s="19" t="s">
        <v>9</v>
      </c>
      <c r="T13" s="19" t="s">
        <v>19</v>
      </c>
      <c r="U13" s="19" t="s">
        <v>20</v>
      </c>
      <c r="V13" s="19" t="s">
        <v>24</v>
      </c>
    </row>
    <row r="14" spans="1:34" ht="14.45" x14ac:dyDescent="0.3">
      <c r="A14" s="41" t="s">
        <v>180</v>
      </c>
      <c r="C14" s="176" t="s">
        <v>57</v>
      </c>
      <c r="D14" s="8">
        <v>63000</v>
      </c>
      <c r="E14" s="8">
        <v>212.2</v>
      </c>
      <c r="F14" s="8">
        <v>1</v>
      </c>
      <c r="G14" s="11">
        <f>D14/E14</f>
        <v>296.88972667295008</v>
      </c>
      <c r="H14" s="7"/>
      <c r="I14" s="7"/>
      <c r="J14" s="8" t="s">
        <v>58</v>
      </c>
      <c r="K14" s="8">
        <v>162.15</v>
      </c>
      <c r="L14" s="46">
        <v>60650</v>
      </c>
      <c r="M14" s="42" t="s">
        <v>40</v>
      </c>
      <c r="N14" s="45">
        <v>378000</v>
      </c>
      <c r="O14" s="1">
        <v>0.89500000000000002</v>
      </c>
      <c r="P14" s="11">
        <f>N14*O14</f>
        <v>338310</v>
      </c>
      <c r="Q14" s="8"/>
      <c r="R14" s="8"/>
      <c r="S14" s="7"/>
      <c r="T14" s="7"/>
      <c r="U14" s="7"/>
      <c r="V14" s="11">
        <f>T14*U14</f>
        <v>0</v>
      </c>
    </row>
    <row r="15" spans="1:34" ht="14.45" x14ac:dyDescent="0.3">
      <c r="C15" s="8" t="s">
        <v>59</v>
      </c>
      <c r="D15" s="8">
        <v>63420</v>
      </c>
      <c r="E15" s="8">
        <v>194.28</v>
      </c>
      <c r="F15" s="8">
        <v>1.1399999999999999</v>
      </c>
      <c r="G15" s="11">
        <f>D15/E15</f>
        <v>326.43607164916614</v>
      </c>
      <c r="H15" s="1"/>
      <c r="I15" s="1"/>
      <c r="J15" s="25" t="s">
        <v>60</v>
      </c>
      <c r="K15" s="26">
        <v>138.21</v>
      </c>
      <c r="L15" s="46">
        <v>41000</v>
      </c>
      <c r="M15" s="42" t="s">
        <v>40</v>
      </c>
      <c r="N15" s="2">
        <v>378000</v>
      </c>
      <c r="O15" s="1">
        <v>0.89500000000000002</v>
      </c>
      <c r="P15" s="11">
        <f>N15*O15</f>
        <v>338310</v>
      </c>
      <c r="Q15" s="8"/>
      <c r="R15" s="8"/>
      <c r="S15" s="7"/>
      <c r="T15" s="7"/>
      <c r="U15" s="7"/>
      <c r="V15" s="11">
        <f t="shared" ref="V15" si="0">T15*U15</f>
        <v>0</v>
      </c>
    </row>
    <row r="16" spans="1:34" ht="14.45" x14ac:dyDescent="0.3">
      <c r="C16" s="10" t="s">
        <v>4</v>
      </c>
      <c r="D16" s="11">
        <f>SUM(D14:D15)</f>
        <v>126420</v>
      </c>
      <c r="E16" s="11">
        <f>SUM(E14:E15)</f>
        <v>406.48</v>
      </c>
      <c r="F16" s="10"/>
      <c r="G16" s="43">
        <f>SUM(G14:G15)</f>
        <v>623.32579832211627</v>
      </c>
      <c r="I16" s="23">
        <f>SUM(I14:I15)</f>
        <v>0</v>
      </c>
      <c r="L16" s="47">
        <f>SUM(L14:L15)</f>
        <v>101650</v>
      </c>
      <c r="N16" s="94">
        <f>SUM(N14:N15)</f>
        <v>756000</v>
      </c>
      <c r="P16" s="23">
        <f>SUM(P14:P15)</f>
        <v>676620</v>
      </c>
      <c r="R16" s="23">
        <f>SUM(R14:R15)</f>
        <v>0</v>
      </c>
      <c r="V16" s="23">
        <f>SUM(V14:V15)</f>
        <v>0</v>
      </c>
    </row>
    <row r="17" spans="3:34" ht="14.45" x14ac:dyDescent="0.3">
      <c r="C17" s="4"/>
      <c r="D17" s="3"/>
      <c r="E17" s="3"/>
      <c r="F17" s="3"/>
      <c r="G17" s="4"/>
      <c r="H17" s="4"/>
      <c r="I17" s="4"/>
      <c r="M17" s="49"/>
      <c r="N17" s="4"/>
      <c r="O17" s="4"/>
      <c r="P17" s="4"/>
      <c r="Q17" s="4"/>
      <c r="R17" s="4"/>
      <c r="S17" s="4"/>
      <c r="T17" s="4"/>
      <c r="U17" s="4"/>
      <c r="V17" s="4"/>
    </row>
    <row r="18" spans="3:34" ht="14.45" x14ac:dyDescent="0.3">
      <c r="C18" s="4"/>
      <c r="D18" s="3"/>
      <c r="E18" s="3"/>
      <c r="F18" s="3"/>
      <c r="G18" s="4"/>
      <c r="H18" s="4"/>
      <c r="K18" s="162" t="s">
        <v>133</v>
      </c>
      <c r="L18" s="96">
        <f>(T20/G14)*100</f>
        <v>89.309107431951475</v>
      </c>
      <c r="M18" s="49"/>
      <c r="O18" s="4"/>
      <c r="P18" s="4"/>
      <c r="Q18" s="4"/>
      <c r="R18" s="4"/>
      <c r="S18" s="4"/>
    </row>
    <row r="19" spans="3:34" ht="14.45" x14ac:dyDescent="0.3">
      <c r="C19" s="4"/>
      <c r="D19" s="3"/>
      <c r="E19" s="3"/>
      <c r="F19" s="3"/>
      <c r="G19" s="4"/>
      <c r="H19" s="4"/>
      <c r="K19" s="159" t="s">
        <v>134</v>
      </c>
      <c r="L19" s="97">
        <f>(S20/(E16)*100)</f>
        <v>95.566817555599286</v>
      </c>
      <c r="M19" s="49"/>
      <c r="R19" s="5" t="s">
        <v>11</v>
      </c>
      <c r="S19" s="5" t="s">
        <v>12</v>
      </c>
      <c r="T19" s="5" t="s">
        <v>0</v>
      </c>
    </row>
    <row r="20" spans="3:34" ht="14.45" x14ac:dyDescent="0.3">
      <c r="C20" s="4"/>
      <c r="D20" s="3"/>
      <c r="E20" s="3"/>
      <c r="F20" s="3"/>
      <c r="G20" s="4"/>
      <c r="H20" s="4"/>
      <c r="K20" s="162" t="s">
        <v>135</v>
      </c>
      <c r="L20" s="96">
        <f>(R20/D16)*100</f>
        <v>81.474450245214371</v>
      </c>
      <c r="P20" s="4"/>
      <c r="Q20" s="5" t="s">
        <v>3</v>
      </c>
      <c r="R20" s="9">
        <f>103*1000</f>
        <v>103000</v>
      </c>
      <c r="S20" s="9">
        <v>388.46</v>
      </c>
      <c r="T20" s="22">
        <f>R20/S20</f>
        <v>265.14956494877208</v>
      </c>
    </row>
    <row r="21" spans="3:34" ht="16.149999999999999" x14ac:dyDescent="0.3">
      <c r="C21" s="4"/>
      <c r="D21" s="3"/>
      <c r="E21" s="3"/>
      <c r="F21" s="3"/>
      <c r="G21" s="4"/>
      <c r="H21" s="4"/>
      <c r="K21" s="159" t="s">
        <v>136</v>
      </c>
      <c r="L21" s="13">
        <f>(D16+I16+L16+P16+R16+V16)/R20</f>
        <v>8.7833980582524269</v>
      </c>
      <c r="O21" s="4"/>
      <c r="P21" s="4"/>
      <c r="S21" s="53"/>
      <c r="T21" s="3"/>
    </row>
    <row r="22" spans="3:34" ht="16.149999999999999" x14ac:dyDescent="0.3">
      <c r="C22" s="4"/>
      <c r="D22" s="3"/>
      <c r="E22" s="3"/>
      <c r="F22" s="3"/>
      <c r="G22" s="4"/>
      <c r="H22" s="4"/>
      <c r="I22" s="4"/>
      <c r="K22" s="163" t="s">
        <v>137</v>
      </c>
      <c r="L22" s="15">
        <f>(D16+I16+L16)/R20</f>
        <v>2.2142718446601943</v>
      </c>
      <c r="N22" s="163" t="s">
        <v>139</v>
      </c>
      <c r="O22" s="93">
        <f>G14/N16*1000</f>
        <v>0.39271127866792338</v>
      </c>
      <c r="P22" s="4"/>
      <c r="S22" s="4"/>
    </row>
    <row r="23" spans="3:34" ht="16.149999999999999" x14ac:dyDescent="0.3">
      <c r="C23" s="4"/>
      <c r="D23" s="3"/>
      <c r="E23" s="3"/>
      <c r="F23" s="3"/>
      <c r="G23" s="4"/>
      <c r="H23" s="4"/>
      <c r="I23" s="4"/>
      <c r="K23" s="164" t="s">
        <v>138</v>
      </c>
      <c r="L23" s="16">
        <f>(P16+V16)/R20</f>
        <v>6.5691262135922326</v>
      </c>
      <c r="M23" s="4"/>
      <c r="N23" s="4"/>
      <c r="O23" s="4"/>
      <c r="P23" s="4"/>
      <c r="U23" s="4"/>
      <c r="V23" s="4"/>
    </row>
    <row r="24" spans="3:34" ht="14.45" x14ac:dyDescent="0.3">
      <c r="C24" s="6"/>
      <c r="D24"/>
      <c r="E24" s="3"/>
      <c r="F24" s="3"/>
      <c r="G24" s="4"/>
      <c r="H24" s="4"/>
      <c r="I24" s="4"/>
      <c r="P24" s="4"/>
      <c r="Q24" s="4"/>
      <c r="R24" s="4"/>
      <c r="S24" s="4"/>
      <c r="T24" s="4"/>
      <c r="U24" s="4"/>
      <c r="V24" s="4"/>
    </row>
    <row r="27" spans="3:34" ht="15" customHeight="1" x14ac:dyDescent="0.25">
      <c r="C27" s="41" t="s">
        <v>181</v>
      </c>
      <c r="D27" s="103"/>
      <c r="E27" s="103"/>
      <c r="F27" s="103"/>
      <c r="G27" s="103"/>
      <c r="H27" s="103"/>
      <c r="I27" s="103"/>
      <c r="J27" s="103"/>
      <c r="K27" s="103"/>
      <c r="L27" s="103"/>
      <c r="M27" s="103"/>
      <c r="N27" s="190" t="s">
        <v>95</v>
      </c>
      <c r="O27" s="190"/>
      <c r="P27" s="190"/>
      <c r="Q27" s="190"/>
      <c r="R27" s="190"/>
      <c r="S27" s="190"/>
      <c r="T27" s="190"/>
      <c r="U27" s="190"/>
      <c r="V27" s="190"/>
      <c r="W27" s="190"/>
      <c r="X27" s="190"/>
      <c r="Y27" s="190"/>
      <c r="Z27" s="190"/>
      <c r="AA27" s="190"/>
      <c r="AB27" s="190"/>
      <c r="AC27" s="190"/>
      <c r="AD27" s="190"/>
      <c r="AE27" s="190"/>
      <c r="AF27" s="190"/>
      <c r="AG27" s="190"/>
      <c r="AH27" s="190"/>
    </row>
    <row r="28" spans="3:34" x14ac:dyDescent="0.25">
      <c r="C28" s="110" t="s">
        <v>63</v>
      </c>
      <c r="D28" s="103"/>
      <c r="E28" s="103"/>
      <c r="F28" s="103"/>
      <c r="G28" s="103"/>
      <c r="H28" s="103"/>
      <c r="I28" s="103"/>
      <c r="J28" s="103"/>
      <c r="K28" s="103"/>
      <c r="L28" s="103"/>
      <c r="M28" s="103"/>
      <c r="N28" s="190"/>
      <c r="O28" s="190"/>
      <c r="P28" s="190"/>
      <c r="Q28" s="190"/>
      <c r="R28" s="190"/>
      <c r="S28" s="190"/>
      <c r="T28" s="190"/>
      <c r="U28" s="190"/>
      <c r="V28" s="190"/>
      <c r="W28" s="190"/>
      <c r="X28" s="190"/>
      <c r="Y28" s="190"/>
      <c r="Z28" s="190"/>
      <c r="AA28" s="190"/>
      <c r="AB28" s="190"/>
      <c r="AC28" s="190"/>
      <c r="AD28" s="190"/>
      <c r="AE28" s="190"/>
      <c r="AF28" s="190"/>
      <c r="AG28" s="190"/>
      <c r="AH28" s="190"/>
    </row>
    <row r="29" spans="3:34" x14ac:dyDescent="0.25">
      <c r="C29" s="52"/>
      <c r="D29" s="103"/>
      <c r="E29" s="103"/>
      <c r="F29" s="103"/>
      <c r="G29" s="103"/>
      <c r="H29" s="103"/>
      <c r="I29" s="103"/>
      <c r="J29" s="103"/>
      <c r="K29" s="103"/>
      <c r="L29" s="103"/>
      <c r="M29" s="103"/>
      <c r="N29" s="190"/>
      <c r="O29" s="190"/>
      <c r="P29" s="190"/>
      <c r="Q29" s="190"/>
      <c r="R29" s="190"/>
      <c r="S29" s="190"/>
      <c r="T29" s="190"/>
      <c r="U29" s="190"/>
      <c r="V29" s="190"/>
      <c r="W29" s="190"/>
      <c r="X29" s="190"/>
      <c r="Y29" s="190"/>
      <c r="Z29" s="190"/>
      <c r="AA29" s="190"/>
      <c r="AB29" s="190"/>
      <c r="AC29" s="190"/>
      <c r="AD29" s="190"/>
      <c r="AE29" s="190"/>
      <c r="AF29" s="190"/>
      <c r="AG29" s="190"/>
      <c r="AH29" s="190"/>
    </row>
    <row r="30" spans="3:34" x14ac:dyDescent="0.25">
      <c r="D30" s="103"/>
      <c r="E30" s="103"/>
      <c r="F30" s="103"/>
      <c r="G30" s="103"/>
      <c r="H30" s="103"/>
      <c r="I30" s="103"/>
      <c r="J30" s="103"/>
      <c r="K30" s="103"/>
      <c r="L30" s="103"/>
      <c r="M30" s="103"/>
      <c r="N30" s="190"/>
      <c r="O30" s="190"/>
      <c r="P30" s="190"/>
      <c r="Q30" s="190"/>
      <c r="R30" s="190"/>
      <c r="S30" s="190"/>
      <c r="T30" s="190"/>
      <c r="U30" s="190"/>
      <c r="V30" s="190"/>
      <c r="W30" s="190"/>
      <c r="X30" s="190"/>
      <c r="Y30" s="190"/>
      <c r="Z30" s="190"/>
      <c r="AA30" s="190"/>
      <c r="AB30" s="190"/>
      <c r="AC30" s="190"/>
      <c r="AD30" s="190"/>
      <c r="AE30" s="190"/>
      <c r="AF30" s="190"/>
      <c r="AG30" s="190"/>
      <c r="AH30" s="190"/>
    </row>
    <row r="31" spans="3:34" x14ac:dyDescent="0.25">
      <c r="D31" s="103"/>
      <c r="E31" s="103"/>
      <c r="F31" s="103"/>
      <c r="G31" s="103"/>
      <c r="H31" s="103"/>
      <c r="I31" s="103"/>
      <c r="J31" s="103"/>
      <c r="K31" s="103"/>
      <c r="L31" s="103"/>
      <c r="M31" s="103"/>
      <c r="N31" s="190"/>
      <c r="O31" s="190"/>
      <c r="P31" s="190"/>
      <c r="Q31" s="190"/>
      <c r="R31" s="190"/>
      <c r="S31" s="190"/>
      <c r="T31" s="190"/>
      <c r="U31" s="190"/>
      <c r="V31" s="190"/>
      <c r="W31" s="190"/>
      <c r="X31" s="190"/>
      <c r="Y31" s="190"/>
      <c r="Z31" s="190"/>
      <c r="AA31" s="190"/>
      <c r="AB31" s="190"/>
      <c r="AC31" s="190"/>
      <c r="AD31" s="190"/>
      <c r="AE31" s="190"/>
      <c r="AF31" s="190"/>
      <c r="AG31" s="190"/>
      <c r="AH31" s="190"/>
    </row>
    <row r="32" spans="3:34" x14ac:dyDescent="0.25">
      <c r="D32" s="103"/>
      <c r="E32" s="103"/>
      <c r="F32" s="103"/>
      <c r="G32" s="103"/>
      <c r="H32" s="103"/>
      <c r="I32" s="103"/>
      <c r="J32" s="103"/>
      <c r="K32" s="103"/>
      <c r="L32" s="103"/>
      <c r="M32" s="103"/>
      <c r="N32" s="190"/>
      <c r="O32" s="190"/>
      <c r="P32" s="190"/>
      <c r="Q32" s="190"/>
      <c r="R32" s="190"/>
      <c r="S32" s="190"/>
      <c r="T32" s="190"/>
      <c r="U32" s="190"/>
      <c r="V32" s="190"/>
      <c r="W32" s="190"/>
      <c r="X32" s="190"/>
      <c r="Y32" s="190"/>
      <c r="Z32" s="190"/>
      <c r="AA32" s="190"/>
      <c r="AB32" s="190"/>
      <c r="AC32" s="190"/>
      <c r="AD32" s="190"/>
      <c r="AE32" s="190"/>
      <c r="AF32" s="190"/>
      <c r="AG32" s="190"/>
      <c r="AH32" s="190"/>
    </row>
    <row r="33" spans="1:34" x14ac:dyDescent="0.25">
      <c r="D33" s="103"/>
      <c r="E33" s="103"/>
      <c r="F33" s="103"/>
      <c r="G33" s="103"/>
      <c r="H33" s="103"/>
      <c r="I33" s="103"/>
      <c r="J33" s="103"/>
      <c r="K33" s="103"/>
      <c r="L33" s="103"/>
      <c r="M33" s="103"/>
      <c r="N33" s="190"/>
      <c r="O33" s="190"/>
      <c r="P33" s="190"/>
      <c r="Q33" s="190"/>
      <c r="R33" s="190"/>
      <c r="S33" s="190"/>
      <c r="T33" s="190"/>
      <c r="U33" s="190"/>
      <c r="V33" s="190"/>
      <c r="W33" s="190"/>
      <c r="X33" s="190"/>
      <c r="Y33" s="190"/>
      <c r="Z33" s="190"/>
      <c r="AA33" s="190"/>
      <c r="AB33" s="190"/>
      <c r="AC33" s="190"/>
      <c r="AD33" s="190"/>
      <c r="AE33" s="190"/>
      <c r="AF33" s="190"/>
      <c r="AG33" s="190"/>
      <c r="AH33" s="190"/>
    </row>
    <row r="34" spans="1:34" x14ac:dyDescent="0.25">
      <c r="D34" s="103"/>
      <c r="E34" s="103"/>
      <c r="F34" s="103"/>
      <c r="G34" s="103"/>
      <c r="H34" s="103"/>
      <c r="I34" s="103"/>
      <c r="J34" s="103"/>
      <c r="K34" s="103"/>
      <c r="L34" s="103"/>
      <c r="M34" s="103"/>
      <c r="N34" s="190"/>
      <c r="O34" s="190"/>
      <c r="P34" s="190"/>
      <c r="Q34" s="190"/>
      <c r="R34" s="190"/>
      <c r="S34" s="190"/>
      <c r="T34" s="190"/>
      <c r="U34" s="190"/>
      <c r="V34" s="190"/>
      <c r="W34" s="190"/>
      <c r="X34" s="190"/>
      <c r="Y34" s="190"/>
      <c r="Z34" s="190"/>
      <c r="AA34" s="190"/>
      <c r="AB34" s="190"/>
      <c r="AC34" s="190"/>
      <c r="AD34" s="190"/>
      <c r="AE34" s="190"/>
      <c r="AF34" s="190"/>
      <c r="AG34" s="190"/>
      <c r="AH34" s="190"/>
    </row>
    <row r="35" spans="1:34" x14ac:dyDescent="0.25">
      <c r="D35" s="103"/>
      <c r="E35" s="103"/>
      <c r="F35" s="103"/>
      <c r="G35" s="103"/>
      <c r="H35" s="103"/>
      <c r="I35" s="103"/>
      <c r="J35" s="103"/>
      <c r="K35" s="103"/>
      <c r="L35" s="103"/>
      <c r="M35" s="103"/>
      <c r="N35" s="190"/>
      <c r="O35" s="190"/>
      <c r="P35" s="190"/>
      <c r="Q35" s="190"/>
      <c r="R35" s="190"/>
      <c r="S35" s="190"/>
      <c r="T35" s="190"/>
      <c r="U35" s="190"/>
      <c r="V35" s="190"/>
      <c r="W35" s="190"/>
      <c r="X35" s="190"/>
      <c r="Y35" s="190"/>
      <c r="Z35" s="190"/>
      <c r="AA35" s="190"/>
      <c r="AB35" s="190"/>
      <c r="AC35" s="190"/>
      <c r="AD35" s="190"/>
      <c r="AE35" s="190"/>
      <c r="AF35" s="190"/>
      <c r="AG35" s="190"/>
      <c r="AH35" s="190"/>
    </row>
    <row r="36" spans="1:34" x14ac:dyDescent="0.25">
      <c r="D36" s="103"/>
      <c r="E36" s="103"/>
      <c r="F36" s="103"/>
      <c r="G36" s="103"/>
      <c r="H36" s="103"/>
      <c r="I36" s="103"/>
      <c r="J36" s="103"/>
      <c r="K36" s="103"/>
      <c r="L36" s="103"/>
      <c r="N36" s="190"/>
      <c r="O36" s="190"/>
      <c r="P36" s="190"/>
      <c r="Q36" s="190"/>
      <c r="R36" s="190"/>
      <c r="S36" s="190"/>
      <c r="T36" s="190"/>
      <c r="U36" s="190"/>
      <c r="V36" s="190"/>
      <c r="W36" s="190"/>
      <c r="X36" s="190"/>
      <c r="Y36" s="190"/>
      <c r="Z36" s="190"/>
      <c r="AA36" s="190"/>
      <c r="AB36" s="190"/>
      <c r="AC36" s="190"/>
      <c r="AD36" s="190"/>
      <c r="AE36" s="190"/>
      <c r="AF36" s="190"/>
      <c r="AG36" s="190"/>
      <c r="AH36" s="190"/>
    </row>
    <row r="37" spans="1:34" ht="14.45" x14ac:dyDescent="0.3">
      <c r="C37" s="6" t="s">
        <v>26</v>
      </c>
      <c r="D37" s="53"/>
      <c r="E37" s="53"/>
      <c r="F37" s="53"/>
    </row>
    <row r="38" spans="1:34" ht="32.450000000000003" x14ac:dyDescent="0.3">
      <c r="C38" s="17" t="s">
        <v>14</v>
      </c>
      <c r="D38" s="20" t="s">
        <v>21</v>
      </c>
      <c r="E38" s="20" t="s">
        <v>94</v>
      </c>
      <c r="F38" s="17" t="s">
        <v>13</v>
      </c>
      <c r="G38" s="17" t="s">
        <v>15</v>
      </c>
      <c r="H38" s="18" t="s">
        <v>1</v>
      </c>
      <c r="I38" s="19" t="s">
        <v>25</v>
      </c>
      <c r="J38" s="17" t="s">
        <v>2</v>
      </c>
      <c r="K38" s="20" t="s">
        <v>94</v>
      </c>
      <c r="L38" s="20" t="s">
        <v>22</v>
      </c>
      <c r="M38" s="19" t="s">
        <v>8</v>
      </c>
      <c r="N38" s="19" t="s">
        <v>16</v>
      </c>
      <c r="O38" s="19" t="s">
        <v>17</v>
      </c>
      <c r="P38" s="19" t="s">
        <v>18</v>
      </c>
      <c r="Q38" s="20" t="s">
        <v>10</v>
      </c>
      <c r="R38" s="20" t="s">
        <v>23</v>
      </c>
      <c r="S38" s="19" t="s">
        <v>9</v>
      </c>
      <c r="T38" s="19" t="s">
        <v>19</v>
      </c>
      <c r="U38" s="19" t="s">
        <v>20</v>
      </c>
      <c r="V38" s="19" t="s">
        <v>24</v>
      </c>
    </row>
    <row r="39" spans="1:34" ht="14.45" x14ac:dyDescent="0.3">
      <c r="A39" s="41" t="s">
        <v>181</v>
      </c>
      <c r="C39" s="173" t="s">
        <v>115</v>
      </c>
      <c r="D39" s="8">
        <v>221600</v>
      </c>
      <c r="E39" s="8">
        <v>494.78</v>
      </c>
      <c r="F39" s="8">
        <v>1</v>
      </c>
      <c r="G39" s="11">
        <v>410.3</v>
      </c>
      <c r="H39" s="7"/>
      <c r="I39" s="7"/>
      <c r="J39" s="8" t="s">
        <v>58</v>
      </c>
      <c r="K39" s="8">
        <v>162.15</v>
      </c>
      <c r="L39" s="46">
        <f>464*K39</f>
        <v>75237.600000000006</v>
      </c>
      <c r="M39" s="42" t="s">
        <v>40</v>
      </c>
      <c r="N39" s="45">
        <v>853000</v>
      </c>
      <c r="O39" s="1">
        <v>0.89500000000000002</v>
      </c>
      <c r="P39" s="11">
        <f>N39*O39</f>
        <v>763435</v>
      </c>
      <c r="Q39" s="8"/>
      <c r="R39" s="8"/>
      <c r="S39" s="7"/>
      <c r="T39" s="7"/>
      <c r="U39" s="7"/>
      <c r="V39" s="11">
        <f>T39*U39</f>
        <v>0</v>
      </c>
    </row>
    <row r="40" spans="1:34" ht="14.45" x14ac:dyDescent="0.3">
      <c r="C40" s="57" t="s">
        <v>61</v>
      </c>
      <c r="D40" s="8">
        <v>81200</v>
      </c>
      <c r="E40" s="8">
        <v>175.18</v>
      </c>
      <c r="F40" s="8">
        <v>1.1299999999999999</v>
      </c>
      <c r="G40" s="11">
        <f>D40/E40</f>
        <v>463.52323324580431</v>
      </c>
      <c r="H40" s="1"/>
      <c r="I40" s="1"/>
      <c r="J40" s="25"/>
      <c r="K40" s="26"/>
      <c r="L40" s="46"/>
      <c r="M40" s="42" t="s">
        <v>62</v>
      </c>
      <c r="N40" s="45">
        <v>239000</v>
      </c>
      <c r="O40" s="1">
        <v>1.0329999999999999</v>
      </c>
      <c r="P40" s="11">
        <f>N40*O40</f>
        <v>246886.99999999997</v>
      </c>
      <c r="Q40" s="8"/>
      <c r="R40" s="8"/>
      <c r="S40" s="7"/>
      <c r="T40" s="7"/>
      <c r="U40" s="7"/>
      <c r="V40" s="11">
        <f>T40*U40</f>
        <v>0</v>
      </c>
    </row>
    <row r="41" spans="1:34" ht="14.45" x14ac:dyDescent="0.3">
      <c r="C41" s="8"/>
      <c r="D41" s="8"/>
      <c r="E41" s="8"/>
      <c r="F41" s="8"/>
      <c r="G41" s="10"/>
      <c r="H41" s="1"/>
      <c r="I41" s="1"/>
      <c r="J41" s="25"/>
      <c r="K41" s="26"/>
      <c r="L41" s="46"/>
      <c r="M41" s="42"/>
      <c r="N41" s="45"/>
      <c r="O41" s="1"/>
      <c r="P41" s="11"/>
      <c r="Q41" s="8"/>
      <c r="R41" s="8"/>
      <c r="S41" s="7"/>
      <c r="T41" s="7"/>
      <c r="U41" s="7"/>
      <c r="V41" s="11">
        <f>T41*U41</f>
        <v>0</v>
      </c>
    </row>
    <row r="42" spans="1:34" ht="14.45" x14ac:dyDescent="0.3">
      <c r="C42" s="10" t="s">
        <v>4</v>
      </c>
      <c r="D42" s="157">
        <f>SUM(D39:D40)</f>
        <v>302800</v>
      </c>
      <c r="E42" s="11">
        <f>SUM(E39:E40)</f>
        <v>669.96</v>
      </c>
      <c r="F42" s="10"/>
      <c r="G42" s="165">
        <f>SUM(G39:G40)</f>
        <v>873.82323324580432</v>
      </c>
      <c r="I42" s="23">
        <f>SUM(I39:I40)</f>
        <v>0</v>
      </c>
      <c r="L42" s="47">
        <f>SUM(L39:L41)</f>
        <v>75237.600000000006</v>
      </c>
      <c r="N42" s="95">
        <f>SUM(N39:N41)</f>
        <v>1092000</v>
      </c>
      <c r="P42" s="23">
        <f>SUM(P39:P41)</f>
        <v>1010322</v>
      </c>
      <c r="R42" s="23">
        <f>SUM(R39:R41)</f>
        <v>0</v>
      </c>
      <c r="V42" s="23">
        <f>SUM(V39:V41)</f>
        <v>0</v>
      </c>
    </row>
    <row r="43" spans="1:34" ht="14.45" x14ac:dyDescent="0.3">
      <c r="C43" s="4"/>
      <c r="D43" s="3"/>
      <c r="E43" s="3"/>
      <c r="F43" s="3"/>
      <c r="G43" s="4"/>
      <c r="H43" s="4"/>
      <c r="I43" s="4"/>
      <c r="M43" s="4"/>
      <c r="N43" s="4"/>
      <c r="O43" s="4"/>
      <c r="P43" s="4"/>
      <c r="Q43" s="4"/>
      <c r="R43" s="4"/>
      <c r="S43" s="4"/>
      <c r="T43" s="4"/>
      <c r="U43" s="4"/>
      <c r="V43" s="4"/>
    </row>
    <row r="44" spans="1:34" ht="14.45" x14ac:dyDescent="0.3">
      <c r="C44" s="4"/>
      <c r="D44" s="3"/>
      <c r="E44" s="3"/>
      <c r="F44" s="3"/>
      <c r="G44" s="4"/>
      <c r="H44" s="4"/>
      <c r="K44" s="162" t="s">
        <v>133</v>
      </c>
      <c r="L44" s="96">
        <f>(T46/G39)*100</f>
        <v>86.6687487148602</v>
      </c>
      <c r="N44" s="49"/>
      <c r="O44" s="4"/>
      <c r="P44" s="4"/>
      <c r="Q44" s="4"/>
      <c r="R44" s="4"/>
      <c r="S44" s="4"/>
    </row>
    <row r="45" spans="1:34" ht="14.45" x14ac:dyDescent="0.3">
      <c r="C45" s="4"/>
      <c r="D45" s="3"/>
      <c r="E45" s="3"/>
      <c r="F45" s="3"/>
      <c r="G45" s="4"/>
      <c r="H45" s="4"/>
      <c r="K45" s="159" t="s">
        <v>134</v>
      </c>
      <c r="L45" s="97">
        <f>(S46/(E42)*100)</f>
        <v>71.608752761358886</v>
      </c>
      <c r="R45" s="5" t="s">
        <v>11</v>
      </c>
      <c r="S45" s="5" t="s">
        <v>12</v>
      </c>
      <c r="T45" s="5" t="s">
        <v>0</v>
      </c>
    </row>
    <row r="46" spans="1:34" ht="14.45" x14ac:dyDescent="0.3">
      <c r="C46" s="4"/>
      <c r="D46" s="3"/>
      <c r="E46" s="3"/>
      <c r="F46" s="3"/>
      <c r="G46" s="4"/>
      <c r="H46" s="4"/>
      <c r="K46" s="162" t="s">
        <v>135</v>
      </c>
      <c r="L46" s="96">
        <f>(R46/D42)*100</f>
        <v>56.340819022457069</v>
      </c>
      <c r="P46" s="4"/>
      <c r="Q46" s="5" t="s">
        <v>3</v>
      </c>
      <c r="R46" s="9">
        <v>170600</v>
      </c>
      <c r="S46" s="9">
        <v>479.75</v>
      </c>
      <c r="T46" s="48">
        <f>R46/S46</f>
        <v>355.60187597707142</v>
      </c>
    </row>
    <row r="47" spans="1:34" ht="16.149999999999999" x14ac:dyDescent="0.3">
      <c r="C47" s="4"/>
      <c r="D47" s="3"/>
      <c r="E47" s="3"/>
      <c r="F47" s="3"/>
      <c r="G47" s="4"/>
      <c r="H47" s="4"/>
      <c r="K47" s="159" t="s">
        <v>136</v>
      </c>
      <c r="L47" s="13">
        <f>(D42+I42+L42+P42+R42+V42)/R46</f>
        <v>8.1380984759671744</v>
      </c>
      <c r="O47" s="4"/>
      <c r="P47" s="4"/>
      <c r="S47" s="53"/>
      <c r="T47" s="3"/>
    </row>
    <row r="48" spans="1:34" ht="16.149999999999999" x14ac:dyDescent="0.3">
      <c r="C48" s="4"/>
      <c r="D48" s="3"/>
      <c r="E48" s="3"/>
      <c r="F48" s="3"/>
      <c r="G48" s="4"/>
      <c r="H48" s="4"/>
      <c r="I48" s="4"/>
      <c r="K48" s="163" t="s">
        <v>137</v>
      </c>
      <c r="L48" s="15">
        <f>(D42+I42+L42)/R46</f>
        <v>2.2159296600234466</v>
      </c>
      <c r="O48" s="4"/>
      <c r="P48" s="4"/>
      <c r="S48" s="4"/>
    </row>
    <row r="49" spans="1:22" ht="16.149999999999999" x14ac:dyDescent="0.3">
      <c r="C49" s="4"/>
      <c r="D49" s="3"/>
      <c r="E49" s="3"/>
      <c r="F49" s="3"/>
      <c r="G49" s="4"/>
      <c r="H49" s="4"/>
      <c r="I49" s="4"/>
      <c r="K49" s="164" t="s">
        <v>138</v>
      </c>
      <c r="L49" s="16">
        <f>(P42+V42)/R46</f>
        <v>5.9221688159437278</v>
      </c>
      <c r="M49" s="4"/>
      <c r="N49" s="163" t="s">
        <v>139</v>
      </c>
      <c r="O49" s="93">
        <f>(G39/N42)*1000</f>
        <v>0.37573260073260073</v>
      </c>
      <c r="P49" s="4"/>
      <c r="U49" s="4"/>
      <c r="V49" s="4"/>
    </row>
    <row r="50" spans="1:22" ht="14.45" x14ac:dyDescent="0.3">
      <c r="C50" s="6"/>
      <c r="D50"/>
      <c r="E50" s="3"/>
      <c r="F50" s="3"/>
      <c r="G50" s="4"/>
      <c r="H50" s="4"/>
      <c r="I50" s="4"/>
      <c r="M50" s="4"/>
      <c r="N50" s="4"/>
      <c r="O50" s="4"/>
      <c r="P50" s="4"/>
      <c r="Q50" s="4"/>
      <c r="R50" s="4"/>
      <c r="S50" s="4"/>
      <c r="T50" s="4"/>
      <c r="U50" s="4"/>
      <c r="V50" s="4"/>
    </row>
    <row r="51" spans="1:22" ht="14.45" x14ac:dyDescent="0.3">
      <c r="C51" s="6"/>
      <c r="D51"/>
      <c r="E51" s="3"/>
      <c r="F51" s="3"/>
      <c r="G51" s="4"/>
      <c r="H51" s="4"/>
      <c r="I51" s="4"/>
      <c r="K51" s="4"/>
      <c r="L51" s="4"/>
      <c r="N51" s="4"/>
      <c r="O51" s="4"/>
      <c r="P51" s="4"/>
      <c r="Q51" s="4"/>
      <c r="R51" s="4"/>
      <c r="S51" s="4"/>
      <c r="T51" s="4"/>
      <c r="U51" s="4"/>
      <c r="V51" s="4"/>
    </row>
    <row r="52" spans="1:22" s="29" customFormat="1" ht="14.45" x14ac:dyDescent="0.3">
      <c r="A52" s="28" t="s">
        <v>126</v>
      </c>
      <c r="D52" s="30"/>
      <c r="E52" s="30"/>
      <c r="F52" s="30"/>
    </row>
    <row r="53" spans="1:22" ht="14.45" x14ac:dyDescent="0.3">
      <c r="C53" s="6" t="s">
        <v>26</v>
      </c>
      <c r="D53" s="53"/>
      <c r="E53" s="53"/>
      <c r="F53" s="53"/>
    </row>
    <row r="54" spans="1:22" ht="32.450000000000003" x14ac:dyDescent="0.3">
      <c r="C54" s="17" t="s">
        <v>14</v>
      </c>
      <c r="D54" s="20" t="s">
        <v>21</v>
      </c>
      <c r="E54" s="20" t="s">
        <v>94</v>
      </c>
      <c r="F54" s="17" t="s">
        <v>13</v>
      </c>
      <c r="G54" s="17" t="s">
        <v>15</v>
      </c>
      <c r="H54" s="18" t="s">
        <v>1</v>
      </c>
      <c r="I54" s="19" t="s">
        <v>25</v>
      </c>
      <c r="J54" s="17" t="s">
        <v>2</v>
      </c>
      <c r="K54" s="20" t="s">
        <v>94</v>
      </c>
      <c r="L54" s="20" t="s">
        <v>22</v>
      </c>
      <c r="M54" s="19" t="s">
        <v>8</v>
      </c>
      <c r="N54" s="19" t="s">
        <v>16</v>
      </c>
      <c r="O54" s="19" t="s">
        <v>17</v>
      </c>
      <c r="P54" s="19" t="s">
        <v>18</v>
      </c>
      <c r="Q54" s="20" t="s">
        <v>10</v>
      </c>
      <c r="R54" s="20" t="s">
        <v>23</v>
      </c>
      <c r="S54" s="19" t="s">
        <v>9</v>
      </c>
      <c r="T54" s="19" t="s">
        <v>19</v>
      </c>
      <c r="U54" s="19" t="s">
        <v>20</v>
      </c>
      <c r="V54" s="19" t="s">
        <v>24</v>
      </c>
    </row>
    <row r="55" spans="1:22" x14ac:dyDescent="0.25">
      <c r="A55" s="41" t="s">
        <v>180</v>
      </c>
      <c r="C55" s="176" t="s">
        <v>57</v>
      </c>
      <c r="D55" s="56">
        <v>63000</v>
      </c>
      <c r="E55" s="8">
        <v>212.2</v>
      </c>
      <c r="F55" s="8">
        <v>1</v>
      </c>
      <c r="G55" s="11">
        <f>D55/E55</f>
        <v>296.88972667295008</v>
      </c>
      <c r="H55" s="7"/>
      <c r="I55" s="7"/>
      <c r="J55" s="8" t="s">
        <v>58</v>
      </c>
      <c r="K55" s="8">
        <v>162.15</v>
      </c>
      <c r="L55" s="46">
        <v>60650</v>
      </c>
      <c r="M55" s="42" t="s">
        <v>40</v>
      </c>
      <c r="N55" s="45">
        <f>$N$14/N16*742224</f>
        <v>371112</v>
      </c>
      <c r="O55" s="1">
        <v>0.89500000000000002</v>
      </c>
      <c r="P55" s="11">
        <f>N55*O55</f>
        <v>332145.24</v>
      </c>
      <c r="Q55" s="8"/>
      <c r="R55" s="8"/>
      <c r="S55" s="7"/>
      <c r="T55" s="7"/>
      <c r="U55" s="7"/>
      <c r="V55" s="11">
        <f>T55*U55</f>
        <v>0</v>
      </c>
    </row>
    <row r="56" spans="1:22" x14ac:dyDescent="0.25">
      <c r="C56" s="8" t="s">
        <v>59</v>
      </c>
      <c r="D56" s="8">
        <v>63420</v>
      </c>
      <c r="E56" s="8">
        <v>194.28</v>
      </c>
      <c r="F56" s="8">
        <v>1.1399999999999999</v>
      </c>
      <c r="G56" s="11">
        <f>D56/E56</f>
        <v>326.43607164916614</v>
      </c>
      <c r="H56" s="1"/>
      <c r="I56" s="1"/>
      <c r="J56" s="25" t="s">
        <v>60</v>
      </c>
      <c r="K56" s="26">
        <v>138.21</v>
      </c>
      <c r="L56" s="46">
        <v>41000</v>
      </c>
      <c r="M56" s="42" t="s">
        <v>40</v>
      </c>
      <c r="N56" s="45">
        <f>$N$14/$N$16*742224</f>
        <v>371112</v>
      </c>
      <c r="O56" s="1">
        <v>0.89500000000000002</v>
      </c>
      <c r="P56" s="11">
        <f>N56*O56</f>
        <v>332145.24</v>
      </c>
      <c r="Q56" s="8"/>
      <c r="R56" s="8"/>
      <c r="S56" s="7"/>
      <c r="T56" s="7"/>
      <c r="U56" s="7"/>
      <c r="V56" s="11">
        <f t="shared" ref="V56" si="1">T56*U56</f>
        <v>0</v>
      </c>
    </row>
    <row r="57" spans="1:22" x14ac:dyDescent="0.25">
      <c r="C57" s="10" t="s">
        <v>4</v>
      </c>
      <c r="D57" s="157">
        <f>SUM(D55:D56)</f>
        <v>126420</v>
      </c>
      <c r="E57" s="11">
        <f>SUM(E55:E56)</f>
        <v>406.48</v>
      </c>
      <c r="F57" s="10"/>
      <c r="G57" s="165">
        <f>SUM(G55:G56)</f>
        <v>623.32579832211627</v>
      </c>
      <c r="I57" s="23">
        <f>SUM(I55:I56)</f>
        <v>0</v>
      </c>
      <c r="L57" s="47">
        <f>SUM(L55:L56)</f>
        <v>101650</v>
      </c>
      <c r="N57" s="95">
        <f>SUM(N55:N56)</f>
        <v>742224</v>
      </c>
      <c r="P57" s="23">
        <f>SUM(P55:P56)</f>
        <v>664290.48</v>
      </c>
      <c r="R57" s="23">
        <f>SUM(R55:R56)</f>
        <v>0</v>
      </c>
      <c r="V57" s="23">
        <f>SUM(V55:V56)</f>
        <v>0</v>
      </c>
    </row>
    <row r="58" spans="1:22" x14ac:dyDescent="0.25">
      <c r="C58" s="4"/>
      <c r="D58" s="3"/>
      <c r="E58" s="3"/>
      <c r="F58" s="3"/>
      <c r="G58" s="4"/>
      <c r="H58" s="4"/>
      <c r="I58" s="4"/>
      <c r="M58" s="49"/>
      <c r="N58" s="4"/>
      <c r="O58" s="4"/>
      <c r="P58" s="4"/>
      <c r="Q58" s="4"/>
      <c r="R58" s="4"/>
      <c r="S58" s="4"/>
      <c r="T58" s="4"/>
      <c r="U58" s="4"/>
      <c r="V58" s="4"/>
    </row>
    <row r="59" spans="1:22" x14ac:dyDescent="0.25">
      <c r="C59" s="4"/>
      <c r="D59" s="3"/>
      <c r="E59" s="3"/>
      <c r="F59" s="3"/>
      <c r="G59" s="4"/>
      <c r="H59" s="4"/>
      <c r="K59" s="162" t="s">
        <v>133</v>
      </c>
      <c r="L59" s="96">
        <f>(T61/G55)*100</f>
        <v>89.309107431951475</v>
      </c>
      <c r="M59" s="49"/>
      <c r="O59" s="4"/>
      <c r="P59" s="4"/>
      <c r="Q59" s="4"/>
      <c r="R59" s="4"/>
      <c r="S59" s="4"/>
    </row>
    <row r="60" spans="1:22" x14ac:dyDescent="0.25">
      <c r="C60" s="4"/>
      <c r="D60" s="3"/>
      <c r="E60" s="3"/>
      <c r="F60" s="3"/>
      <c r="G60" s="4"/>
      <c r="H60" s="4"/>
      <c r="K60" s="159" t="s">
        <v>134</v>
      </c>
      <c r="L60" s="97">
        <f>(S61/(E57)*100)</f>
        <v>95.566817555599286</v>
      </c>
      <c r="M60" s="49"/>
      <c r="R60" s="5" t="s">
        <v>11</v>
      </c>
      <c r="S60" s="5" t="s">
        <v>12</v>
      </c>
      <c r="T60" s="5" t="s">
        <v>0</v>
      </c>
    </row>
    <row r="61" spans="1:22" x14ac:dyDescent="0.25">
      <c r="C61" s="4"/>
      <c r="D61" s="3"/>
      <c r="E61" s="3"/>
      <c r="F61" s="3"/>
      <c r="G61" s="4"/>
      <c r="H61" s="4"/>
      <c r="K61" s="162" t="s">
        <v>135</v>
      </c>
      <c r="L61" s="96">
        <f>(R61/D57)*100</f>
        <v>81.474450245214371</v>
      </c>
      <c r="P61" s="4"/>
      <c r="Q61" s="5" t="s">
        <v>3</v>
      </c>
      <c r="R61" s="9">
        <f>103*1000</f>
        <v>103000</v>
      </c>
      <c r="S61" s="9">
        <v>388.46</v>
      </c>
      <c r="T61" s="22">
        <f>R61/S61</f>
        <v>265.14956494877208</v>
      </c>
    </row>
    <row r="62" spans="1:22" ht="17.25" x14ac:dyDescent="0.25">
      <c r="C62" s="4"/>
      <c r="D62" s="3"/>
      <c r="E62" s="3"/>
      <c r="F62" s="3"/>
      <c r="G62" s="4"/>
      <c r="H62" s="4"/>
      <c r="K62" s="159" t="s">
        <v>136</v>
      </c>
      <c r="L62" s="13">
        <f>(D57+I57+L57+P57+R57+V57)/R61</f>
        <v>8.6636939805825239</v>
      </c>
      <c r="O62" s="4"/>
      <c r="P62" s="4"/>
      <c r="S62" s="53"/>
      <c r="T62" s="3"/>
    </row>
    <row r="63" spans="1:22" ht="17.25" x14ac:dyDescent="0.25">
      <c r="C63" s="4"/>
      <c r="D63" s="3"/>
      <c r="E63" s="3"/>
      <c r="F63" s="3"/>
      <c r="G63" s="4"/>
      <c r="H63" s="4"/>
      <c r="I63" s="4"/>
      <c r="K63" s="163" t="s">
        <v>137</v>
      </c>
      <c r="L63" s="15">
        <f>(D57+I57+L57)/R61</f>
        <v>2.2142718446601943</v>
      </c>
      <c r="N63" s="163" t="s">
        <v>139</v>
      </c>
      <c r="O63" s="93">
        <f>(G55/N57)*1000</f>
        <v>0.40000017066673954</v>
      </c>
      <c r="P63" s="4"/>
      <c r="S63" s="4"/>
    </row>
    <row r="64" spans="1:22" ht="17.25" x14ac:dyDescent="0.25">
      <c r="C64" s="4"/>
      <c r="D64" s="3"/>
      <c r="E64" s="3"/>
      <c r="F64" s="3"/>
      <c r="G64" s="4"/>
      <c r="H64" s="4"/>
      <c r="I64" s="4"/>
      <c r="K64" s="164" t="s">
        <v>138</v>
      </c>
      <c r="L64" s="16">
        <f>(P57+V57)/R61</f>
        <v>6.4494221359223296</v>
      </c>
      <c r="M64" s="4"/>
      <c r="N64" s="4"/>
      <c r="O64" s="4"/>
      <c r="P64" s="4"/>
      <c r="U64" s="4"/>
      <c r="V64" s="4"/>
    </row>
    <row r="65" spans="1:22" x14ac:dyDescent="0.25">
      <c r="C65" s="6"/>
      <c r="D65"/>
      <c r="E65" s="3"/>
      <c r="F65" s="3"/>
      <c r="G65" s="4"/>
      <c r="H65" s="4"/>
      <c r="I65" s="4"/>
      <c r="M65" s="4"/>
      <c r="P65" s="4"/>
      <c r="Q65" s="4"/>
      <c r="R65" s="4"/>
      <c r="S65" s="4"/>
      <c r="T65" s="4"/>
      <c r="U65" s="4"/>
      <c r="V65" s="4"/>
    </row>
    <row r="66" spans="1:22" x14ac:dyDescent="0.25">
      <c r="C66" s="6" t="s">
        <v>26</v>
      </c>
      <c r="D66" s="53"/>
      <c r="E66" s="53"/>
      <c r="F66" s="53"/>
    </row>
    <row r="67" spans="1:22" ht="34.5" x14ac:dyDescent="0.25">
      <c r="C67" s="17" t="s">
        <v>14</v>
      </c>
      <c r="D67" s="20" t="s">
        <v>21</v>
      </c>
      <c r="E67" s="20" t="s">
        <v>94</v>
      </c>
      <c r="F67" s="17" t="s">
        <v>13</v>
      </c>
      <c r="G67" s="17" t="s">
        <v>15</v>
      </c>
      <c r="H67" s="18" t="s">
        <v>1</v>
      </c>
      <c r="I67" s="19" t="s">
        <v>25</v>
      </c>
      <c r="J67" s="17" t="s">
        <v>2</v>
      </c>
      <c r="K67" s="20" t="s">
        <v>94</v>
      </c>
      <c r="L67" s="20" t="s">
        <v>22</v>
      </c>
      <c r="M67" s="19" t="s">
        <v>8</v>
      </c>
      <c r="N67" s="19" t="s">
        <v>16</v>
      </c>
      <c r="O67" s="19" t="s">
        <v>17</v>
      </c>
      <c r="P67" s="19" t="s">
        <v>18</v>
      </c>
      <c r="Q67" s="20" t="s">
        <v>10</v>
      </c>
      <c r="R67" s="20" t="s">
        <v>23</v>
      </c>
      <c r="S67" s="19" t="s">
        <v>9</v>
      </c>
      <c r="T67" s="19" t="s">
        <v>19</v>
      </c>
      <c r="U67" s="19" t="s">
        <v>20</v>
      </c>
      <c r="V67" s="19" t="s">
        <v>24</v>
      </c>
    </row>
    <row r="68" spans="1:22" x14ac:dyDescent="0.25">
      <c r="A68" s="41" t="s">
        <v>181</v>
      </c>
      <c r="C68" s="173" t="s">
        <v>115</v>
      </c>
      <c r="D68" s="8">
        <v>221600</v>
      </c>
      <c r="E68" s="8">
        <v>494.78</v>
      </c>
      <c r="F68" s="8">
        <v>1</v>
      </c>
      <c r="G68" s="11">
        <v>410.3</v>
      </c>
      <c r="H68" s="7"/>
      <c r="I68" s="7"/>
      <c r="J68" s="8" t="s">
        <v>58</v>
      </c>
      <c r="K68" s="8">
        <v>162.15</v>
      </c>
      <c r="L68" s="46">
        <f>464*K68</f>
        <v>75237.600000000006</v>
      </c>
      <c r="M68" s="42" t="s">
        <v>40</v>
      </c>
      <c r="N68" s="45">
        <f>N39/$N$42*1025000</f>
        <v>800663.91941391944</v>
      </c>
      <c r="O68" s="42">
        <v>0.89500000000000002</v>
      </c>
      <c r="P68" s="11">
        <f>N68*O68</f>
        <v>716594.20787545794</v>
      </c>
      <c r="Q68" s="8"/>
      <c r="R68" s="8"/>
      <c r="S68" s="7"/>
      <c r="T68" s="7"/>
      <c r="U68" s="7"/>
      <c r="V68" s="11">
        <f>T68*U68</f>
        <v>0</v>
      </c>
    </row>
    <row r="69" spans="1:22" x14ac:dyDescent="0.25">
      <c r="C69" s="57" t="s">
        <v>61</v>
      </c>
      <c r="D69" s="8">
        <v>81200</v>
      </c>
      <c r="E69" s="8">
        <v>175.18</v>
      </c>
      <c r="F69" s="8">
        <v>1.1299999999999999</v>
      </c>
      <c r="G69" s="11">
        <f>D69/E69</f>
        <v>463.52323324580431</v>
      </c>
      <c r="H69" s="1"/>
      <c r="I69" s="1"/>
      <c r="J69" s="25"/>
      <c r="K69" s="26"/>
      <c r="L69" s="46"/>
      <c r="M69" s="42" t="s">
        <v>62</v>
      </c>
      <c r="N69" s="45">
        <f>N40/$N$42*1025000</f>
        <v>224336.08058608058</v>
      </c>
      <c r="O69" s="1">
        <v>1.0329999999999999</v>
      </c>
      <c r="P69" s="11">
        <f>N69*O69</f>
        <v>231739.17124542122</v>
      </c>
      <c r="Q69" s="8"/>
      <c r="R69" s="8"/>
      <c r="S69" s="7"/>
      <c r="T69" s="7"/>
      <c r="U69" s="7"/>
      <c r="V69" s="11">
        <f t="shared" ref="V69:V70" si="2">T69*U69</f>
        <v>0</v>
      </c>
    </row>
    <row r="70" spans="1:22" x14ac:dyDescent="0.25">
      <c r="C70" s="8"/>
      <c r="D70" s="8"/>
      <c r="E70" s="8"/>
      <c r="F70" s="8"/>
      <c r="G70" s="10"/>
      <c r="H70" s="1"/>
      <c r="I70" s="1"/>
      <c r="J70" s="25"/>
      <c r="K70" s="26"/>
      <c r="L70" s="46"/>
      <c r="M70" s="42"/>
      <c r="N70" s="45"/>
      <c r="O70" s="1"/>
      <c r="P70" s="11">
        <f t="shared" ref="P70" si="3">N70*O70</f>
        <v>0</v>
      </c>
      <c r="Q70" s="8"/>
      <c r="R70" s="8"/>
      <c r="S70" s="7"/>
      <c r="T70" s="7"/>
      <c r="U70" s="7"/>
      <c r="V70" s="11">
        <f t="shared" si="2"/>
        <v>0</v>
      </c>
    </row>
    <row r="71" spans="1:22" x14ac:dyDescent="0.25">
      <c r="C71" s="10" t="s">
        <v>4</v>
      </c>
      <c r="D71" s="157">
        <f>SUM(D68:D69)</f>
        <v>302800</v>
      </c>
      <c r="E71" s="11">
        <f>SUM(E68:E69)</f>
        <v>669.96</v>
      </c>
      <c r="F71" s="10"/>
      <c r="G71" s="165">
        <f>SUM(G68:G69)</f>
        <v>873.82323324580432</v>
      </c>
      <c r="I71" s="23">
        <f>SUM(I68:I69)</f>
        <v>0</v>
      </c>
      <c r="L71" s="47">
        <f>SUM(L68:L70)</f>
        <v>75237.600000000006</v>
      </c>
      <c r="N71" s="95">
        <f>SUM(N68:N70)</f>
        <v>1025000</v>
      </c>
      <c r="P71" s="23">
        <f>SUM(P68:P70)</f>
        <v>948333.37912087911</v>
      </c>
      <c r="R71" s="23">
        <f>SUM(R68:R70)</f>
        <v>0</v>
      </c>
      <c r="V71" s="23">
        <f>SUM(V68:V70)</f>
        <v>0</v>
      </c>
    </row>
    <row r="72" spans="1:22" x14ac:dyDescent="0.25">
      <c r="C72" s="4"/>
      <c r="D72" s="3"/>
      <c r="E72" s="3"/>
      <c r="F72" s="3"/>
      <c r="G72" s="4"/>
      <c r="H72" s="4"/>
      <c r="I72" s="4"/>
      <c r="M72" s="4"/>
      <c r="N72" s="4"/>
      <c r="O72" s="4"/>
      <c r="P72" s="4"/>
      <c r="Q72" s="4"/>
      <c r="R72" s="4"/>
      <c r="S72" s="4"/>
      <c r="T72" s="4"/>
      <c r="U72" s="4"/>
      <c r="V72" s="4"/>
    </row>
    <row r="73" spans="1:22" x14ac:dyDescent="0.25">
      <c r="C73" s="4"/>
      <c r="D73" s="3"/>
      <c r="E73" s="3"/>
      <c r="F73" s="3"/>
      <c r="G73" s="4"/>
      <c r="H73" s="4"/>
      <c r="K73" s="162" t="s">
        <v>133</v>
      </c>
      <c r="L73" s="96">
        <f>(T75/G68)*100</f>
        <v>86.6687487148602</v>
      </c>
      <c r="N73" s="49"/>
      <c r="O73" s="4"/>
      <c r="P73" s="4"/>
      <c r="Q73" s="4"/>
      <c r="R73" s="4"/>
      <c r="S73" s="4"/>
    </row>
    <row r="74" spans="1:22" x14ac:dyDescent="0.25">
      <c r="C74" s="4"/>
      <c r="D74" s="3"/>
      <c r="E74" s="3"/>
      <c r="F74" s="3"/>
      <c r="G74" s="4"/>
      <c r="H74" s="4"/>
      <c r="K74" s="159" t="s">
        <v>134</v>
      </c>
      <c r="L74" s="97">
        <f>(S75/(E71)*100)</f>
        <v>71.608752761358886</v>
      </c>
      <c r="N74" s="49"/>
      <c r="R74" s="5" t="s">
        <v>11</v>
      </c>
      <c r="S74" s="5" t="s">
        <v>12</v>
      </c>
      <c r="T74" s="5" t="s">
        <v>0</v>
      </c>
    </row>
    <row r="75" spans="1:22" x14ac:dyDescent="0.25">
      <c r="C75" s="4"/>
      <c r="D75" s="3"/>
      <c r="E75" s="3"/>
      <c r="F75" s="3"/>
      <c r="G75" s="4"/>
      <c r="H75" s="4"/>
      <c r="K75" s="162" t="s">
        <v>135</v>
      </c>
      <c r="L75" s="96">
        <f>(R75/D71)*100</f>
        <v>56.340819022457069</v>
      </c>
      <c r="P75" s="4"/>
      <c r="Q75" s="5" t="s">
        <v>3</v>
      </c>
      <c r="R75" s="9">
        <v>170600</v>
      </c>
      <c r="S75" s="9">
        <v>479.75</v>
      </c>
      <c r="T75" s="48">
        <f>R75/S75</f>
        <v>355.60187597707142</v>
      </c>
    </row>
    <row r="76" spans="1:22" ht="17.25" x14ac:dyDescent="0.25">
      <c r="C76" s="4"/>
      <c r="D76" s="3"/>
      <c r="E76" s="3"/>
      <c r="F76" s="3"/>
      <c r="G76" s="4"/>
      <c r="H76" s="4"/>
      <c r="K76" s="159" t="s">
        <v>136</v>
      </c>
      <c r="L76" s="13">
        <f>(D71+I71+L71+P71+R71+V71)/R75</f>
        <v>7.774741964366231</v>
      </c>
      <c r="O76" s="4"/>
      <c r="P76" s="4"/>
      <c r="S76" s="53"/>
      <c r="T76" s="3"/>
    </row>
    <row r="77" spans="1:22" ht="17.25" x14ac:dyDescent="0.25">
      <c r="C77" s="4"/>
      <c r="D77" s="3"/>
      <c r="E77" s="3"/>
      <c r="F77" s="3"/>
      <c r="G77" s="4"/>
      <c r="H77" s="4"/>
      <c r="I77" s="4"/>
      <c r="K77" s="163" t="s">
        <v>137</v>
      </c>
      <c r="L77" s="15">
        <f>(D71+I71+L71)/R75</f>
        <v>2.2159296600234466</v>
      </c>
      <c r="O77" s="4"/>
      <c r="P77" s="4"/>
      <c r="S77" s="4"/>
    </row>
    <row r="78" spans="1:22" ht="17.25" x14ac:dyDescent="0.25">
      <c r="C78" s="4"/>
      <c r="D78" s="3"/>
      <c r="E78" s="3"/>
      <c r="F78" s="3"/>
      <c r="G78" s="4"/>
      <c r="H78" s="4"/>
      <c r="I78" s="4"/>
      <c r="K78" s="164" t="s">
        <v>138</v>
      </c>
      <c r="L78" s="16">
        <f>(P71+V71)/R75</f>
        <v>5.5588123043427853</v>
      </c>
      <c r="M78" s="4"/>
      <c r="N78" s="163" t="s">
        <v>139</v>
      </c>
      <c r="O78" s="93">
        <f>(G68/N71)*1000</f>
        <v>0.40029268292682929</v>
      </c>
      <c r="P78" s="4"/>
      <c r="U78" s="4"/>
      <c r="V78" s="4"/>
    </row>
    <row r="79" spans="1:22" x14ac:dyDescent="0.25">
      <c r="C79" s="6"/>
      <c r="D79"/>
      <c r="E79" s="3"/>
      <c r="F79" s="3"/>
      <c r="G79" s="4"/>
      <c r="H79" s="4"/>
      <c r="I79" s="4"/>
      <c r="M79" s="4"/>
      <c r="N79" s="4"/>
      <c r="O79" s="4"/>
      <c r="P79" s="4"/>
      <c r="Q79" s="4"/>
      <c r="R79" s="4"/>
      <c r="S79" s="4"/>
      <c r="T79" s="4"/>
      <c r="U79" s="4"/>
      <c r="V79" s="4"/>
    </row>
    <row r="80" spans="1:22" x14ac:dyDescent="0.25">
      <c r="C80" s="6"/>
      <c r="D80"/>
      <c r="E80" s="3"/>
      <c r="F80" s="3"/>
      <c r="G80" s="4"/>
      <c r="H80" s="4"/>
      <c r="I80" s="4"/>
      <c r="M80" s="4"/>
      <c r="N80" s="4"/>
      <c r="O80" s="4"/>
      <c r="P80" s="4"/>
      <c r="Q80" s="4"/>
      <c r="R80" s="4"/>
      <c r="S80" s="4"/>
      <c r="T80" s="4"/>
      <c r="U80" s="4"/>
      <c r="V80" s="4"/>
    </row>
    <row r="81" spans="1:22" s="29" customFormat="1" x14ac:dyDescent="0.25">
      <c r="A81" s="28" t="s">
        <v>108</v>
      </c>
      <c r="D81" s="30"/>
      <c r="E81" s="30"/>
      <c r="F81" s="30"/>
    </row>
    <row r="82" spans="1:22" x14ac:dyDescent="0.25">
      <c r="C82" s="6" t="s">
        <v>26</v>
      </c>
      <c r="D82" s="53"/>
      <c r="E82" s="53"/>
      <c r="F82" s="53"/>
    </row>
    <row r="83" spans="1:22" ht="34.5" x14ac:dyDescent="0.25">
      <c r="C83" s="17" t="s">
        <v>14</v>
      </c>
      <c r="D83" s="20" t="s">
        <v>21</v>
      </c>
      <c r="E83" s="20" t="s">
        <v>94</v>
      </c>
      <c r="F83" s="17" t="s">
        <v>13</v>
      </c>
      <c r="G83" s="17" t="s">
        <v>15</v>
      </c>
      <c r="H83" s="18" t="s">
        <v>1</v>
      </c>
      <c r="I83" s="19" t="s">
        <v>25</v>
      </c>
      <c r="J83" s="17" t="s">
        <v>2</v>
      </c>
      <c r="K83" s="20" t="s">
        <v>94</v>
      </c>
      <c r="L83" s="20" t="s">
        <v>22</v>
      </c>
      <c r="M83" s="19" t="s">
        <v>8</v>
      </c>
      <c r="N83" s="19" t="s">
        <v>16</v>
      </c>
      <c r="O83" s="19" t="s">
        <v>17</v>
      </c>
      <c r="P83" s="19" t="s">
        <v>18</v>
      </c>
      <c r="Q83" s="20" t="s">
        <v>10</v>
      </c>
      <c r="R83" s="20" t="s">
        <v>23</v>
      </c>
      <c r="S83" s="19" t="s">
        <v>9</v>
      </c>
      <c r="T83" s="19" t="s">
        <v>19</v>
      </c>
      <c r="U83" s="19" t="s">
        <v>20</v>
      </c>
      <c r="V83" s="19" t="s">
        <v>24</v>
      </c>
    </row>
    <row r="84" spans="1:22" x14ac:dyDescent="0.25">
      <c r="A84" s="41" t="s">
        <v>180</v>
      </c>
      <c r="C84" s="176" t="s">
        <v>57</v>
      </c>
      <c r="D84" s="56">
        <v>63000</v>
      </c>
      <c r="E84" s="8">
        <v>212.2</v>
      </c>
      <c r="F84" s="8">
        <v>1</v>
      </c>
      <c r="G84" s="11">
        <f>D84/E84</f>
        <v>296.88972667295008</v>
      </c>
      <c r="H84" s="7"/>
      <c r="I84" s="7"/>
      <c r="J84" s="8" t="s">
        <v>58</v>
      </c>
      <c r="K84" s="8">
        <v>162.15</v>
      </c>
      <c r="L84" s="46">
        <v>60650</v>
      </c>
      <c r="M84" s="42" t="s">
        <v>40</v>
      </c>
      <c r="N84" s="45">
        <v>378000</v>
      </c>
      <c r="O84" s="1">
        <v>0.89500000000000002</v>
      </c>
      <c r="P84" s="11">
        <f>N84*O84</f>
        <v>338310</v>
      </c>
      <c r="Q84" s="8"/>
      <c r="R84" s="8"/>
      <c r="S84" s="7"/>
      <c r="T84" s="7"/>
      <c r="U84" s="7"/>
      <c r="V84" s="11">
        <f>T84*U84</f>
        <v>0</v>
      </c>
    </row>
    <row r="85" spans="1:22" x14ac:dyDescent="0.25">
      <c r="C85" s="8" t="s">
        <v>59</v>
      </c>
      <c r="D85" s="8">
        <v>63420</v>
      </c>
      <c r="E85" s="8">
        <v>194.28</v>
      </c>
      <c r="F85" s="8">
        <v>1.1399999999999999</v>
      </c>
      <c r="G85" s="11">
        <f>D85/E85</f>
        <v>326.43607164916614</v>
      </c>
      <c r="H85" s="1"/>
      <c r="I85" s="1"/>
      <c r="J85" s="25" t="s">
        <v>60</v>
      </c>
      <c r="K85" s="26">
        <v>138.21</v>
      </c>
      <c r="L85" s="46">
        <v>41000</v>
      </c>
      <c r="M85" s="42" t="s">
        <v>40</v>
      </c>
      <c r="N85" s="2">
        <v>378000</v>
      </c>
      <c r="O85" s="1">
        <v>0.89500000000000002</v>
      </c>
      <c r="P85" s="11">
        <f>N85*O85</f>
        <v>338310</v>
      </c>
      <c r="Q85" s="8"/>
      <c r="R85" s="8"/>
      <c r="S85" s="7"/>
      <c r="T85" s="7"/>
      <c r="U85" s="7"/>
      <c r="V85" s="11">
        <f t="shared" ref="V85" si="4">T85*U85</f>
        <v>0</v>
      </c>
    </row>
    <row r="86" spans="1:22" x14ac:dyDescent="0.25">
      <c r="C86" s="10" t="s">
        <v>4</v>
      </c>
      <c r="D86" s="157">
        <f>SUM(D84:D85)</f>
        <v>126420</v>
      </c>
      <c r="E86" s="11">
        <f>SUM(E84:E85)</f>
        <v>406.48</v>
      </c>
      <c r="F86" s="10"/>
      <c r="G86" s="165">
        <f>SUM(G84:G85)</f>
        <v>623.32579832211627</v>
      </c>
      <c r="I86" s="23">
        <f>SUM(I84:I85)</f>
        <v>0</v>
      </c>
      <c r="L86" s="47">
        <f>SUM(L84:L85)</f>
        <v>101650</v>
      </c>
      <c r="N86" s="94">
        <f>SUM(N84:N85)</f>
        <v>756000</v>
      </c>
      <c r="P86" s="23">
        <f>SUM(P84:P85)</f>
        <v>676620</v>
      </c>
      <c r="R86" s="23">
        <f>SUM(R84:R85)</f>
        <v>0</v>
      </c>
      <c r="V86" s="23">
        <f>SUM(V84:V85)</f>
        <v>0</v>
      </c>
    </row>
    <row r="87" spans="1:22" x14ac:dyDescent="0.25">
      <c r="C87" s="4"/>
      <c r="D87" s="3"/>
      <c r="E87" s="3"/>
      <c r="F87" s="3"/>
      <c r="G87" s="4"/>
      <c r="H87" s="4"/>
      <c r="I87" s="4"/>
      <c r="M87" s="49"/>
      <c r="N87" s="4"/>
      <c r="O87" s="4"/>
      <c r="P87" s="4"/>
      <c r="Q87" s="4"/>
      <c r="R87" s="4"/>
      <c r="S87" s="4"/>
      <c r="T87" s="4"/>
      <c r="U87" s="4"/>
      <c r="V87" s="4"/>
    </row>
    <row r="88" spans="1:22" x14ac:dyDescent="0.25">
      <c r="C88" s="4"/>
      <c r="D88" s="3"/>
      <c r="E88" s="3"/>
      <c r="F88" s="3"/>
      <c r="G88" s="4"/>
      <c r="H88" s="4"/>
      <c r="K88" s="162" t="s">
        <v>133</v>
      </c>
      <c r="L88" s="96">
        <f>(T90/G84)*100</f>
        <v>90</v>
      </c>
      <c r="M88" s="49"/>
      <c r="O88" s="4"/>
      <c r="P88" s="4"/>
      <c r="Q88" s="4"/>
      <c r="R88" s="4"/>
      <c r="S88" s="4"/>
    </row>
    <row r="89" spans="1:22" x14ac:dyDescent="0.25">
      <c r="C89" s="4"/>
      <c r="D89" s="3"/>
      <c r="E89" s="3"/>
      <c r="F89" s="3"/>
      <c r="G89" s="4"/>
      <c r="H89" s="4"/>
      <c r="K89" s="159" t="s">
        <v>134</v>
      </c>
      <c r="L89" s="97">
        <f>(S90/(E86)*100)</f>
        <v>95.566817555599286</v>
      </c>
      <c r="M89" s="49"/>
      <c r="R89" s="5" t="s">
        <v>11</v>
      </c>
      <c r="S89" s="5" t="s">
        <v>12</v>
      </c>
      <c r="T89" s="5" t="s">
        <v>0</v>
      </c>
    </row>
    <row r="90" spans="1:22" x14ac:dyDescent="0.25">
      <c r="C90" s="4"/>
      <c r="D90" s="3"/>
      <c r="E90" s="3"/>
      <c r="F90" s="3"/>
      <c r="G90" s="4"/>
      <c r="H90" s="4"/>
      <c r="K90" s="162" t="s">
        <v>135</v>
      </c>
      <c r="L90" s="96">
        <f>(R90/D86)*100</f>
        <v>82.104734140987787</v>
      </c>
      <c r="P90" s="4"/>
      <c r="Q90" s="5" t="s">
        <v>3</v>
      </c>
      <c r="R90" s="9">
        <f>S90*T90</f>
        <v>103796.80490103677</v>
      </c>
      <c r="S90" s="9">
        <v>388.46</v>
      </c>
      <c r="T90" s="22">
        <f>G84*0.9</f>
        <v>267.20075400565509</v>
      </c>
    </row>
    <row r="91" spans="1:22" ht="17.25" x14ac:dyDescent="0.25">
      <c r="C91" s="4"/>
      <c r="D91" s="3"/>
      <c r="E91" s="3"/>
      <c r="F91" s="3"/>
      <c r="G91" s="4"/>
      <c r="H91" s="4"/>
      <c r="K91" s="159" t="s">
        <v>136</v>
      </c>
      <c r="L91" s="13">
        <f>(D86+I86+L86+P86+R86+V86)/R90</f>
        <v>8.715971564467333</v>
      </c>
      <c r="O91" s="4"/>
      <c r="P91" s="4"/>
      <c r="S91" s="53"/>
      <c r="T91" s="3"/>
    </row>
    <row r="92" spans="1:22" ht="17.25" x14ac:dyDescent="0.25">
      <c r="C92" s="4"/>
      <c r="D92" s="3"/>
      <c r="E92" s="3"/>
      <c r="F92" s="3"/>
      <c r="G92" s="4"/>
      <c r="H92" s="4"/>
      <c r="I92" s="4"/>
      <c r="K92" s="163" t="s">
        <v>137</v>
      </c>
      <c r="L92" s="15">
        <f>(D86+I86+L86)/R90</f>
        <v>2.1972738006478072</v>
      </c>
      <c r="N92" s="163" t="s">
        <v>139</v>
      </c>
      <c r="O92" s="93">
        <f>G84/N86*1000</f>
        <v>0.39271127866792338</v>
      </c>
      <c r="P92" s="4"/>
      <c r="S92" s="4"/>
    </row>
    <row r="93" spans="1:22" ht="17.25" x14ac:dyDescent="0.25">
      <c r="C93" s="4"/>
      <c r="D93" s="3"/>
      <c r="E93" s="3"/>
      <c r="F93" s="3"/>
      <c r="G93" s="4"/>
      <c r="H93" s="4"/>
      <c r="I93" s="4"/>
      <c r="K93" s="164" t="s">
        <v>138</v>
      </c>
      <c r="L93" s="16">
        <f>(P86+V86)/R90</f>
        <v>6.5186977638195263</v>
      </c>
      <c r="M93" s="4"/>
      <c r="N93" s="4"/>
      <c r="O93" s="4"/>
      <c r="P93" s="4"/>
      <c r="U93" s="4"/>
      <c r="V93" s="4"/>
    </row>
    <row r="94" spans="1:22" x14ac:dyDescent="0.25">
      <c r="C94" s="6"/>
      <c r="D94"/>
      <c r="E94" s="3"/>
      <c r="F94" s="3"/>
      <c r="G94" s="4"/>
      <c r="H94" s="4"/>
      <c r="I94" s="4"/>
      <c r="M94" s="4"/>
      <c r="P94" s="4"/>
      <c r="Q94" s="4"/>
      <c r="R94" s="4"/>
      <c r="S94" s="4"/>
      <c r="T94" s="4"/>
      <c r="U94" s="4"/>
      <c r="V94" s="4"/>
    </row>
    <row r="95" spans="1:22" x14ac:dyDescent="0.25">
      <c r="C95" s="6" t="s">
        <v>26</v>
      </c>
      <c r="D95" s="53"/>
      <c r="E95" s="53"/>
      <c r="F95" s="53"/>
    </row>
    <row r="96" spans="1:22" ht="34.5" x14ac:dyDescent="0.25">
      <c r="C96" s="17" t="s">
        <v>14</v>
      </c>
      <c r="D96" s="20" t="s">
        <v>21</v>
      </c>
      <c r="E96" s="20" t="s">
        <v>94</v>
      </c>
      <c r="F96" s="17" t="s">
        <v>13</v>
      </c>
      <c r="G96" s="17" t="s">
        <v>15</v>
      </c>
      <c r="H96" s="18" t="s">
        <v>1</v>
      </c>
      <c r="I96" s="19" t="s">
        <v>25</v>
      </c>
      <c r="J96" s="17" t="s">
        <v>2</v>
      </c>
      <c r="K96" s="20" t="s">
        <v>94</v>
      </c>
      <c r="L96" s="20" t="s">
        <v>22</v>
      </c>
      <c r="M96" s="19" t="s">
        <v>8</v>
      </c>
      <c r="N96" s="19" t="s">
        <v>16</v>
      </c>
      <c r="O96" s="19" t="s">
        <v>17</v>
      </c>
      <c r="P96" s="19" t="s">
        <v>18</v>
      </c>
      <c r="Q96" s="20" t="s">
        <v>10</v>
      </c>
      <c r="R96" s="20" t="s">
        <v>23</v>
      </c>
      <c r="S96" s="19" t="s">
        <v>9</v>
      </c>
      <c r="T96" s="19" t="s">
        <v>19</v>
      </c>
      <c r="U96" s="19" t="s">
        <v>20</v>
      </c>
      <c r="V96" s="19" t="s">
        <v>24</v>
      </c>
    </row>
    <row r="97" spans="1:22" x14ac:dyDescent="0.25">
      <c r="A97" s="41" t="s">
        <v>181</v>
      </c>
      <c r="C97" s="173" t="s">
        <v>115</v>
      </c>
      <c r="D97" s="8">
        <v>221600</v>
      </c>
      <c r="E97" s="8">
        <v>494.78</v>
      </c>
      <c r="F97" s="8">
        <v>1</v>
      </c>
      <c r="G97" s="11">
        <v>410.3</v>
      </c>
      <c r="H97" s="7"/>
      <c r="I97" s="7"/>
      <c r="J97" s="8" t="s">
        <v>58</v>
      </c>
      <c r="K97" s="8">
        <v>162.15</v>
      </c>
      <c r="L97" s="46">
        <f>464*K97</f>
        <v>75237.600000000006</v>
      </c>
      <c r="M97" s="42" t="s">
        <v>40</v>
      </c>
      <c r="N97" s="45">
        <v>853000</v>
      </c>
      <c r="O97" s="42">
        <v>0.89500000000000002</v>
      </c>
      <c r="P97" s="11">
        <f>N97*O97</f>
        <v>763435</v>
      </c>
      <c r="Q97" s="8"/>
      <c r="R97" s="8"/>
      <c r="S97" s="7"/>
      <c r="T97" s="7"/>
      <c r="U97" s="7"/>
      <c r="V97" s="11">
        <f>T97*U97</f>
        <v>0</v>
      </c>
    </row>
    <row r="98" spans="1:22" x14ac:dyDescent="0.25">
      <c r="C98" s="57" t="s">
        <v>61</v>
      </c>
      <c r="D98" s="8">
        <v>81200</v>
      </c>
      <c r="E98" s="8">
        <v>175.18</v>
      </c>
      <c r="F98" s="8">
        <v>1.1299999999999999</v>
      </c>
      <c r="G98" s="11">
        <f>D98/E98</f>
        <v>463.52323324580431</v>
      </c>
      <c r="H98" s="1"/>
      <c r="I98" s="1"/>
      <c r="J98" s="25"/>
      <c r="K98" s="26"/>
      <c r="L98" s="46"/>
      <c r="M98" s="42" t="s">
        <v>62</v>
      </c>
      <c r="N98" s="45">
        <v>239000</v>
      </c>
      <c r="O98" s="1">
        <v>1.0329999999999999</v>
      </c>
      <c r="P98" s="11">
        <f>N98*O98</f>
        <v>246886.99999999997</v>
      </c>
      <c r="Q98" s="8"/>
      <c r="R98" s="8"/>
      <c r="S98" s="7"/>
      <c r="T98" s="7"/>
      <c r="U98" s="7"/>
      <c r="V98" s="11">
        <f t="shared" ref="V98:V99" si="5">T98*U98</f>
        <v>0</v>
      </c>
    </row>
    <row r="99" spans="1:22" x14ac:dyDescent="0.25">
      <c r="C99" s="8"/>
      <c r="D99" s="8"/>
      <c r="E99" s="8"/>
      <c r="F99" s="8"/>
      <c r="G99" s="10"/>
      <c r="H99" s="1"/>
      <c r="I99" s="1"/>
      <c r="J99" s="25"/>
      <c r="K99" s="26"/>
      <c r="L99" s="46"/>
      <c r="M99" s="42"/>
      <c r="N99" s="45"/>
      <c r="O99" s="1"/>
      <c r="P99" s="11"/>
      <c r="Q99" s="8"/>
      <c r="R99" s="8"/>
      <c r="S99" s="7"/>
      <c r="T99" s="7"/>
      <c r="U99" s="7"/>
      <c r="V99" s="11">
        <f t="shared" si="5"/>
        <v>0</v>
      </c>
    </row>
    <row r="100" spans="1:22" x14ac:dyDescent="0.25">
      <c r="C100" s="10" t="s">
        <v>4</v>
      </c>
      <c r="D100" s="157">
        <f>SUM(D97:D98)</f>
        <v>302800</v>
      </c>
      <c r="E100" s="11">
        <f>SUM(E97:E98)</f>
        <v>669.96</v>
      </c>
      <c r="F100" s="10"/>
      <c r="G100" s="165">
        <f>SUM(G97:G98)</f>
        <v>873.82323324580432</v>
      </c>
      <c r="I100" s="23">
        <f>SUM(I97:I98)</f>
        <v>0</v>
      </c>
      <c r="L100" s="47">
        <f>SUM(L97:L99)</f>
        <v>75237.600000000006</v>
      </c>
      <c r="N100" s="95">
        <f>SUM(N97:N99)</f>
        <v>1092000</v>
      </c>
      <c r="P100" s="23">
        <f>SUM(P97:P99)</f>
        <v>1010322</v>
      </c>
      <c r="R100" s="23">
        <f>SUM(R97:R99)</f>
        <v>0</v>
      </c>
      <c r="V100" s="23">
        <f>SUM(V97:V99)</f>
        <v>0</v>
      </c>
    </row>
    <row r="101" spans="1:22" x14ac:dyDescent="0.25">
      <c r="C101" s="4"/>
      <c r="D101" s="3"/>
      <c r="E101" s="3"/>
      <c r="F101" s="3"/>
      <c r="G101" s="4"/>
      <c r="H101" s="4"/>
      <c r="I101" s="4"/>
      <c r="M101" s="4"/>
      <c r="N101" s="4"/>
      <c r="O101" s="4"/>
      <c r="P101" s="4"/>
      <c r="Q101" s="4"/>
      <c r="R101" s="4"/>
      <c r="S101" s="4"/>
      <c r="T101" s="4"/>
      <c r="U101" s="4"/>
      <c r="V101" s="4"/>
    </row>
    <row r="102" spans="1:22" x14ac:dyDescent="0.25">
      <c r="C102" s="4"/>
      <c r="D102" s="3"/>
      <c r="E102" s="3"/>
      <c r="F102" s="3"/>
      <c r="G102" s="4"/>
      <c r="H102" s="4"/>
      <c r="K102" s="162" t="s">
        <v>133</v>
      </c>
      <c r="L102" s="96">
        <f>(T104/G97)*100</f>
        <v>90</v>
      </c>
      <c r="N102" s="49"/>
      <c r="O102" s="4"/>
      <c r="P102" s="4"/>
      <c r="Q102" s="4"/>
      <c r="R102" s="4"/>
      <c r="S102" s="4"/>
    </row>
    <row r="103" spans="1:22" x14ac:dyDescent="0.25">
      <c r="C103" s="4"/>
      <c r="D103" s="3"/>
      <c r="E103" s="3"/>
      <c r="F103" s="3"/>
      <c r="G103" s="4"/>
      <c r="H103" s="4"/>
      <c r="K103" s="159" t="s">
        <v>134</v>
      </c>
      <c r="L103" s="97">
        <f>(S104/(E100)*100)</f>
        <v>71.608752761358886</v>
      </c>
      <c r="R103" s="5" t="s">
        <v>11</v>
      </c>
      <c r="S103" s="5" t="s">
        <v>12</v>
      </c>
      <c r="T103" s="5" t="s">
        <v>0</v>
      </c>
    </row>
    <row r="104" spans="1:22" x14ac:dyDescent="0.25">
      <c r="C104" s="4"/>
      <c r="D104" s="3"/>
      <c r="E104" s="3"/>
      <c r="F104" s="3"/>
      <c r="G104" s="4"/>
      <c r="H104" s="4"/>
      <c r="K104" s="162" t="s">
        <v>135</v>
      </c>
      <c r="L104" s="96">
        <f>(R104/D100)*100</f>
        <v>58.506368064729209</v>
      </c>
      <c r="P104" s="4"/>
      <c r="Q104" s="5" t="s">
        <v>3</v>
      </c>
      <c r="R104" s="9">
        <f>S104*T104</f>
        <v>177157.28250000003</v>
      </c>
      <c r="S104" s="9">
        <v>479.75</v>
      </c>
      <c r="T104" s="48">
        <f>G97*0.9</f>
        <v>369.27000000000004</v>
      </c>
    </row>
    <row r="105" spans="1:22" ht="17.25" x14ac:dyDescent="0.25">
      <c r="C105" s="4"/>
      <c r="D105" s="3"/>
      <c r="E105" s="3"/>
      <c r="F105" s="3"/>
      <c r="G105" s="4"/>
      <c r="H105" s="4"/>
      <c r="K105" s="159" t="s">
        <v>136</v>
      </c>
      <c r="L105" s="13">
        <f>(D100+I100+L100+P100+R100+V100)/R104</f>
        <v>7.8368756870042855</v>
      </c>
      <c r="O105" s="4"/>
      <c r="P105" s="4"/>
      <c r="S105" s="53"/>
      <c r="T105" s="3"/>
    </row>
    <row r="106" spans="1:22" ht="17.25" x14ac:dyDescent="0.25">
      <c r="C106" s="4"/>
      <c r="D106" s="3"/>
      <c r="E106" s="3"/>
      <c r="F106" s="3"/>
      <c r="G106" s="4"/>
      <c r="H106" s="4"/>
      <c r="I106" s="4"/>
      <c r="K106" s="163" t="s">
        <v>137</v>
      </c>
      <c r="L106" s="15">
        <f>(D100+I100+L100)/R104</f>
        <v>2.1339094541597516</v>
      </c>
      <c r="O106" s="4"/>
      <c r="P106" s="4"/>
      <c r="S106" s="4"/>
    </row>
    <row r="107" spans="1:22" ht="17.25" x14ac:dyDescent="0.25">
      <c r="C107" s="4"/>
      <c r="D107" s="3"/>
      <c r="E107" s="3"/>
      <c r="F107" s="3"/>
      <c r="G107" s="4"/>
      <c r="H107" s="4"/>
      <c r="I107" s="4"/>
      <c r="K107" s="164" t="s">
        <v>138</v>
      </c>
      <c r="L107" s="16">
        <f>(P100+V100)/R104</f>
        <v>5.7029662328445339</v>
      </c>
      <c r="M107" s="4"/>
      <c r="N107" s="163" t="s">
        <v>139</v>
      </c>
      <c r="O107" s="93">
        <f>(G97/N100)*1000</f>
        <v>0.37573260073260073</v>
      </c>
      <c r="P107" s="4"/>
      <c r="U107" s="4"/>
      <c r="V107" s="4"/>
    </row>
    <row r="108" spans="1:22" x14ac:dyDescent="0.25">
      <c r="C108" s="6"/>
      <c r="D108"/>
      <c r="E108" s="3"/>
      <c r="F108" s="3"/>
      <c r="G108" s="4"/>
      <c r="H108" s="4"/>
      <c r="I108" s="4"/>
      <c r="M108" s="4"/>
      <c r="N108" s="4"/>
      <c r="O108" s="4"/>
      <c r="P108" s="4"/>
      <c r="Q108" s="4"/>
      <c r="R108" s="4"/>
      <c r="S108" s="4"/>
      <c r="T108" s="4"/>
      <c r="U108" s="4"/>
      <c r="V108" s="4"/>
    </row>
    <row r="109" spans="1:22" x14ac:dyDescent="0.25">
      <c r="C109" s="6"/>
      <c r="D109"/>
      <c r="E109" s="3"/>
      <c r="F109" s="3"/>
      <c r="G109" s="4"/>
      <c r="H109" s="4"/>
      <c r="I109" s="4"/>
      <c r="M109" s="4"/>
      <c r="N109" s="4"/>
      <c r="O109" s="4"/>
      <c r="P109" s="4"/>
      <c r="Q109" s="4"/>
      <c r="R109" s="4"/>
      <c r="S109" s="4"/>
      <c r="T109" s="4"/>
      <c r="U109" s="4"/>
      <c r="V109" s="4"/>
    </row>
    <row r="110" spans="1:22" s="29" customFormat="1" x14ac:dyDescent="0.25">
      <c r="A110" s="28" t="s">
        <v>105</v>
      </c>
      <c r="D110" s="30"/>
      <c r="E110" s="30"/>
      <c r="F110" s="30"/>
    </row>
    <row r="111" spans="1:22" x14ac:dyDescent="0.25">
      <c r="C111" s="6" t="s">
        <v>26</v>
      </c>
      <c r="D111" s="53"/>
      <c r="E111" s="53"/>
      <c r="F111" s="53"/>
    </row>
    <row r="112" spans="1:22" ht="34.5" x14ac:dyDescent="0.25">
      <c r="C112" s="17" t="s">
        <v>14</v>
      </c>
      <c r="D112" s="20" t="s">
        <v>21</v>
      </c>
      <c r="E112" s="20" t="s">
        <v>94</v>
      </c>
      <c r="F112" s="17" t="s">
        <v>13</v>
      </c>
      <c r="G112" s="17" t="s">
        <v>15</v>
      </c>
      <c r="H112" s="18" t="s">
        <v>1</v>
      </c>
      <c r="I112" s="19" t="s">
        <v>25</v>
      </c>
      <c r="J112" s="17" t="s">
        <v>2</v>
      </c>
      <c r="K112" s="20" t="s">
        <v>94</v>
      </c>
      <c r="L112" s="20" t="s">
        <v>22</v>
      </c>
      <c r="M112" s="19" t="s">
        <v>8</v>
      </c>
      <c r="N112" s="19" t="s">
        <v>16</v>
      </c>
      <c r="O112" s="19" t="s">
        <v>17</v>
      </c>
      <c r="P112" s="19" t="s">
        <v>18</v>
      </c>
      <c r="Q112" s="20" t="s">
        <v>10</v>
      </c>
      <c r="R112" s="20" t="s">
        <v>23</v>
      </c>
      <c r="S112" s="19" t="s">
        <v>9</v>
      </c>
      <c r="T112" s="19" t="s">
        <v>19</v>
      </c>
      <c r="U112" s="19" t="s">
        <v>20</v>
      </c>
      <c r="V112" s="19" t="s">
        <v>24</v>
      </c>
    </row>
    <row r="113" spans="1:22" x14ac:dyDescent="0.25">
      <c r="A113" s="41" t="s">
        <v>180</v>
      </c>
      <c r="C113" s="176" t="s">
        <v>57</v>
      </c>
      <c r="D113" s="56">
        <v>63000</v>
      </c>
      <c r="E113" s="8">
        <v>212.2</v>
      </c>
      <c r="F113" s="8">
        <v>1</v>
      </c>
      <c r="G113" s="11">
        <f>D113/E113</f>
        <v>296.88972667295008</v>
      </c>
      <c r="H113" s="7"/>
      <c r="I113" s="7"/>
      <c r="J113" s="8" t="s">
        <v>58</v>
      </c>
      <c r="K113" s="8">
        <v>162.15</v>
      </c>
      <c r="L113" s="46">
        <v>60650</v>
      </c>
      <c r="M113" s="42" t="s">
        <v>40</v>
      </c>
      <c r="N113" s="45">
        <f>$N$14/N86*742224</f>
        <v>371112</v>
      </c>
      <c r="O113" s="1">
        <v>0.89500000000000002</v>
      </c>
      <c r="P113" s="11">
        <f>N113*O113</f>
        <v>332145.24</v>
      </c>
      <c r="Q113" s="8"/>
      <c r="R113" s="8"/>
      <c r="S113" s="7"/>
      <c r="T113" s="7"/>
      <c r="U113" s="7"/>
      <c r="V113" s="11">
        <f>T113*U113</f>
        <v>0</v>
      </c>
    </row>
    <row r="114" spans="1:22" x14ac:dyDescent="0.25">
      <c r="C114" s="8" t="s">
        <v>59</v>
      </c>
      <c r="D114" s="8">
        <v>63420</v>
      </c>
      <c r="E114" s="8">
        <v>194.28</v>
      </c>
      <c r="F114" s="8">
        <v>1.1399999999999999</v>
      </c>
      <c r="G114" s="11">
        <f>D114/E114</f>
        <v>326.43607164916614</v>
      </c>
      <c r="H114" s="1"/>
      <c r="I114" s="1"/>
      <c r="J114" s="25" t="s">
        <v>60</v>
      </c>
      <c r="K114" s="26">
        <v>138.21</v>
      </c>
      <c r="L114" s="46">
        <v>41000</v>
      </c>
      <c r="M114" s="42" t="s">
        <v>40</v>
      </c>
      <c r="N114" s="45">
        <f>$N$14/$N$16*742224</f>
        <v>371112</v>
      </c>
      <c r="O114" s="1">
        <v>0.89500000000000002</v>
      </c>
      <c r="P114" s="11">
        <f>N114*O114</f>
        <v>332145.24</v>
      </c>
      <c r="Q114" s="8"/>
      <c r="R114" s="8"/>
      <c r="S114" s="7"/>
      <c r="T114" s="7"/>
      <c r="U114" s="7"/>
      <c r="V114" s="11">
        <f t="shared" ref="V114" si="6">T114*U114</f>
        <v>0</v>
      </c>
    </row>
    <row r="115" spans="1:22" x14ac:dyDescent="0.25">
      <c r="C115" s="10" t="s">
        <v>4</v>
      </c>
      <c r="D115" s="157">
        <f>SUM(D113:D114)</f>
        <v>126420</v>
      </c>
      <c r="E115" s="11">
        <f>SUM(E113:E114)</f>
        <v>406.48</v>
      </c>
      <c r="F115" s="10"/>
      <c r="G115" s="165">
        <f>SUM(G113:G114)</f>
        <v>623.32579832211627</v>
      </c>
      <c r="I115" s="23">
        <f>SUM(I113:I114)</f>
        <v>0</v>
      </c>
      <c r="L115" s="47">
        <f>SUM(L113:L114)</f>
        <v>101650</v>
      </c>
      <c r="N115" s="95">
        <f>SUM(N113:N114)</f>
        <v>742224</v>
      </c>
      <c r="P115" s="23">
        <f>SUM(P113:P114)</f>
        <v>664290.48</v>
      </c>
      <c r="R115" s="23">
        <f>SUM(R113:R114)</f>
        <v>0</v>
      </c>
      <c r="V115" s="23">
        <f>SUM(V113:V114)</f>
        <v>0</v>
      </c>
    </row>
    <row r="116" spans="1:22" x14ac:dyDescent="0.25">
      <c r="C116" s="4"/>
      <c r="D116" s="3"/>
      <c r="E116" s="3"/>
      <c r="F116" s="3"/>
      <c r="G116" s="4"/>
      <c r="H116" s="4"/>
      <c r="I116" s="4"/>
      <c r="M116" s="49"/>
      <c r="N116" s="4"/>
      <c r="O116" s="4"/>
      <c r="P116" s="4"/>
      <c r="Q116" s="4"/>
      <c r="R116" s="4"/>
      <c r="S116" s="4"/>
      <c r="T116" s="4"/>
      <c r="U116" s="4"/>
      <c r="V116" s="4"/>
    </row>
    <row r="117" spans="1:22" x14ac:dyDescent="0.25">
      <c r="C117" s="4"/>
      <c r="D117" s="3"/>
      <c r="E117" s="3"/>
      <c r="F117" s="3"/>
      <c r="G117" s="4"/>
      <c r="H117" s="4"/>
      <c r="K117" s="162" t="s">
        <v>133</v>
      </c>
      <c r="L117" s="96">
        <f>(T119/G113)*100</f>
        <v>90</v>
      </c>
      <c r="M117" s="49"/>
      <c r="O117" s="4"/>
      <c r="P117" s="4"/>
      <c r="Q117" s="4"/>
      <c r="R117" s="4"/>
      <c r="S117" s="4"/>
    </row>
    <row r="118" spans="1:22" x14ac:dyDescent="0.25">
      <c r="C118" s="4"/>
      <c r="D118" s="3"/>
      <c r="E118" s="3"/>
      <c r="F118" s="3"/>
      <c r="G118" s="4"/>
      <c r="H118" s="4"/>
      <c r="K118" s="159" t="s">
        <v>134</v>
      </c>
      <c r="L118" s="97">
        <f>(S119/(E115)*100)</f>
        <v>95.566817555599286</v>
      </c>
      <c r="M118" s="49"/>
      <c r="R118" s="5" t="s">
        <v>11</v>
      </c>
      <c r="S118" s="5" t="s">
        <v>12</v>
      </c>
      <c r="T118" s="5" t="s">
        <v>0</v>
      </c>
    </row>
    <row r="119" spans="1:22" x14ac:dyDescent="0.25">
      <c r="C119" s="4"/>
      <c r="D119" s="3"/>
      <c r="E119" s="3"/>
      <c r="F119" s="3"/>
      <c r="G119" s="4"/>
      <c r="H119" s="4"/>
      <c r="K119" s="162" t="s">
        <v>135</v>
      </c>
      <c r="L119" s="96">
        <f>(R119/D115)*100</f>
        <v>82.104734140987787</v>
      </c>
      <c r="P119" s="4"/>
      <c r="Q119" s="5" t="s">
        <v>3</v>
      </c>
      <c r="R119" s="9">
        <f>T119*S119</f>
        <v>103796.80490103677</v>
      </c>
      <c r="S119" s="9">
        <v>388.46</v>
      </c>
      <c r="T119" s="22">
        <f>G113*0.9</f>
        <v>267.20075400565509</v>
      </c>
    </row>
    <row r="120" spans="1:22" ht="17.25" x14ac:dyDescent="0.25">
      <c r="C120" s="4"/>
      <c r="D120" s="3"/>
      <c r="E120" s="3"/>
      <c r="F120" s="3"/>
      <c r="G120" s="4"/>
      <c r="H120" s="4"/>
      <c r="K120" s="159" t="s">
        <v>136</v>
      </c>
      <c r="L120" s="13">
        <f>(D115+I115+L115+P115+R115+V115)/R119</f>
        <v>8.5971864052155098</v>
      </c>
      <c r="O120" s="4"/>
      <c r="P120" s="4"/>
      <c r="S120" s="53"/>
      <c r="T120" s="3"/>
    </row>
    <row r="121" spans="1:22" ht="17.25" x14ac:dyDescent="0.25">
      <c r="C121" s="4"/>
      <c r="D121" s="3"/>
      <c r="E121" s="3"/>
      <c r="F121" s="3"/>
      <c r="G121" s="4"/>
      <c r="H121" s="4"/>
      <c r="I121" s="4"/>
      <c r="K121" s="163" t="s">
        <v>137</v>
      </c>
      <c r="L121" s="15">
        <f>(D115+I115+L115)/R119</f>
        <v>2.1972738006478072</v>
      </c>
      <c r="N121" s="163" t="s">
        <v>139</v>
      </c>
      <c r="O121" s="93">
        <f>G113/N115*1000</f>
        <v>0.40000017066673954</v>
      </c>
      <c r="P121" s="4"/>
      <c r="S121" s="4"/>
    </row>
    <row r="122" spans="1:22" ht="17.25" x14ac:dyDescent="0.25">
      <c r="C122" s="4"/>
      <c r="D122" s="3"/>
      <c r="E122" s="3"/>
      <c r="F122" s="3"/>
      <c r="G122" s="4"/>
      <c r="H122" s="4"/>
      <c r="I122" s="4"/>
      <c r="K122" s="164" t="s">
        <v>138</v>
      </c>
      <c r="L122" s="16">
        <f>(P115+V115)/R119</f>
        <v>6.3999126045677031</v>
      </c>
      <c r="M122" s="4"/>
      <c r="N122" s="4"/>
      <c r="O122" s="4"/>
      <c r="P122" s="4"/>
      <c r="U122" s="4"/>
      <c r="V122" s="4"/>
    </row>
    <row r="123" spans="1:22" x14ac:dyDescent="0.25">
      <c r="C123" s="6"/>
      <c r="D123"/>
      <c r="E123" s="3"/>
      <c r="F123" s="3"/>
      <c r="G123" s="4"/>
      <c r="H123" s="4"/>
      <c r="I123" s="4"/>
      <c r="M123" s="4"/>
      <c r="P123" s="4"/>
      <c r="Q123" s="4"/>
      <c r="R123" s="4"/>
      <c r="S123" s="4"/>
      <c r="T123" s="4"/>
      <c r="U123" s="4"/>
      <c r="V123" s="4"/>
    </row>
    <row r="124" spans="1:22" x14ac:dyDescent="0.25">
      <c r="C124" s="6" t="s">
        <v>26</v>
      </c>
      <c r="D124" s="53"/>
      <c r="E124" s="53"/>
      <c r="F124" s="53"/>
    </row>
    <row r="125" spans="1:22" ht="34.5" x14ac:dyDescent="0.25">
      <c r="C125" s="17" t="s">
        <v>14</v>
      </c>
      <c r="D125" s="20" t="s">
        <v>21</v>
      </c>
      <c r="E125" s="20" t="s">
        <v>94</v>
      </c>
      <c r="F125" s="17" t="s">
        <v>13</v>
      </c>
      <c r="G125" s="17" t="s">
        <v>15</v>
      </c>
      <c r="H125" s="18" t="s">
        <v>1</v>
      </c>
      <c r="I125" s="19" t="s">
        <v>25</v>
      </c>
      <c r="J125" s="17" t="s">
        <v>2</v>
      </c>
      <c r="K125" s="20" t="s">
        <v>94</v>
      </c>
      <c r="L125" s="20" t="s">
        <v>22</v>
      </c>
      <c r="M125" s="19" t="s">
        <v>8</v>
      </c>
      <c r="N125" s="19" t="s">
        <v>16</v>
      </c>
      <c r="O125" s="19" t="s">
        <v>17</v>
      </c>
      <c r="P125" s="19" t="s">
        <v>18</v>
      </c>
      <c r="Q125" s="20" t="s">
        <v>10</v>
      </c>
      <c r="R125" s="20" t="s">
        <v>23</v>
      </c>
      <c r="S125" s="19" t="s">
        <v>9</v>
      </c>
      <c r="T125" s="19" t="s">
        <v>19</v>
      </c>
      <c r="U125" s="19" t="s">
        <v>20</v>
      </c>
      <c r="V125" s="19" t="s">
        <v>24</v>
      </c>
    </row>
    <row r="126" spans="1:22" x14ac:dyDescent="0.25">
      <c r="A126" s="41" t="s">
        <v>181</v>
      </c>
      <c r="C126" s="173" t="s">
        <v>115</v>
      </c>
      <c r="D126" s="8">
        <v>221600</v>
      </c>
      <c r="E126" s="8">
        <v>494.78</v>
      </c>
      <c r="F126" s="8">
        <v>1</v>
      </c>
      <c r="G126" s="11">
        <v>410.3</v>
      </c>
      <c r="H126" s="7"/>
      <c r="I126" s="7"/>
      <c r="J126" s="8" t="s">
        <v>58</v>
      </c>
      <c r="K126" s="8">
        <v>162.15</v>
      </c>
      <c r="L126" s="46">
        <f>464*K126</f>
        <v>75237.600000000006</v>
      </c>
      <c r="M126" s="42" t="s">
        <v>40</v>
      </c>
      <c r="N126" s="45">
        <f>N97/$N$42*1025000</f>
        <v>800663.91941391944</v>
      </c>
      <c r="O126" s="42">
        <v>0.89500000000000002</v>
      </c>
      <c r="P126" s="11">
        <f>N126*O126</f>
        <v>716594.20787545794</v>
      </c>
      <c r="Q126" s="8"/>
      <c r="R126" s="8"/>
      <c r="S126" s="7"/>
      <c r="T126" s="7"/>
      <c r="U126" s="7"/>
      <c r="V126" s="11">
        <f>T126*U126</f>
        <v>0</v>
      </c>
    </row>
    <row r="127" spans="1:22" x14ac:dyDescent="0.25">
      <c r="C127" s="57" t="s">
        <v>61</v>
      </c>
      <c r="D127" s="8">
        <v>81200</v>
      </c>
      <c r="E127" s="8">
        <v>175.18</v>
      </c>
      <c r="F127" s="8">
        <v>1.1299999999999999</v>
      </c>
      <c r="G127" s="11">
        <f>D127/E127</f>
        <v>463.52323324580431</v>
      </c>
      <c r="H127" s="1"/>
      <c r="I127" s="1"/>
      <c r="J127" s="25"/>
      <c r="K127" s="26"/>
      <c r="L127" s="46"/>
      <c r="M127" s="42" t="s">
        <v>62</v>
      </c>
      <c r="N127" s="45">
        <f>N98/$N$42*1025000</f>
        <v>224336.08058608058</v>
      </c>
      <c r="O127" s="1">
        <v>1.0329999999999999</v>
      </c>
      <c r="P127" s="11">
        <f>N127*O127</f>
        <v>231739.17124542122</v>
      </c>
      <c r="Q127" s="8"/>
      <c r="R127" s="8"/>
      <c r="S127" s="7"/>
      <c r="T127" s="7"/>
      <c r="U127" s="7"/>
      <c r="V127" s="11">
        <f t="shared" ref="V127:V128" si="7">T127*U127</f>
        <v>0</v>
      </c>
    </row>
    <row r="128" spans="1:22" x14ac:dyDescent="0.25">
      <c r="C128" s="8"/>
      <c r="D128" s="8"/>
      <c r="E128" s="8"/>
      <c r="F128" s="8"/>
      <c r="G128" s="10"/>
      <c r="H128" s="1"/>
      <c r="I128" s="1"/>
      <c r="J128" s="25"/>
      <c r="K128" s="26"/>
      <c r="L128" s="46"/>
      <c r="M128" s="42"/>
      <c r="N128" s="45"/>
      <c r="O128" s="1"/>
      <c r="P128" s="11"/>
      <c r="Q128" s="8"/>
      <c r="R128" s="8"/>
      <c r="S128" s="7"/>
      <c r="T128" s="7"/>
      <c r="U128" s="7"/>
      <c r="V128" s="11">
        <f t="shared" si="7"/>
        <v>0</v>
      </c>
    </row>
    <row r="129" spans="1:22" x14ac:dyDescent="0.25">
      <c r="C129" s="10" t="s">
        <v>4</v>
      </c>
      <c r="D129" s="157">
        <f>SUM(D126:D127)</f>
        <v>302800</v>
      </c>
      <c r="E129" s="11">
        <f>SUM(E126:E127)</f>
        <v>669.96</v>
      </c>
      <c r="F129" s="10"/>
      <c r="G129" s="165">
        <f>SUM(G126:G127)</f>
        <v>873.82323324580432</v>
      </c>
      <c r="I129" s="23">
        <f>SUM(I126:I127)</f>
        <v>0</v>
      </c>
      <c r="L129" s="47">
        <f>SUM(L126:L128)</f>
        <v>75237.600000000006</v>
      </c>
      <c r="N129" s="95">
        <f>SUM(N126:N128)</f>
        <v>1025000</v>
      </c>
      <c r="P129" s="23">
        <f>SUM(P126:P128)</f>
        <v>948333.37912087911</v>
      </c>
      <c r="R129" s="23">
        <f>SUM(R126:R128)</f>
        <v>0</v>
      </c>
      <c r="V129" s="23">
        <f>SUM(V126:V128)</f>
        <v>0</v>
      </c>
    </row>
    <row r="130" spans="1:22" x14ac:dyDescent="0.25">
      <c r="C130" s="4"/>
      <c r="D130" s="3"/>
      <c r="E130" s="3"/>
      <c r="F130" s="3"/>
      <c r="G130" s="4"/>
      <c r="H130" s="4"/>
      <c r="I130" s="4"/>
      <c r="M130" s="4"/>
      <c r="N130" s="4"/>
      <c r="O130" s="4"/>
      <c r="P130" s="4"/>
      <c r="Q130" s="4"/>
      <c r="R130" s="4"/>
      <c r="S130" s="4"/>
      <c r="T130" s="4"/>
      <c r="U130" s="4"/>
      <c r="V130" s="4"/>
    </row>
    <row r="131" spans="1:22" x14ac:dyDescent="0.25">
      <c r="C131" s="4"/>
      <c r="D131" s="3"/>
      <c r="E131" s="3"/>
      <c r="F131" s="3"/>
      <c r="G131" s="4"/>
      <c r="H131" s="4"/>
      <c r="K131" s="162" t="s">
        <v>133</v>
      </c>
      <c r="L131" s="96">
        <f>(T133/G126)*100</f>
        <v>90</v>
      </c>
      <c r="N131" s="49"/>
      <c r="O131" s="4"/>
      <c r="P131" s="4"/>
      <c r="Q131" s="4"/>
      <c r="R131" s="4"/>
      <c r="S131" s="4"/>
    </row>
    <row r="132" spans="1:22" x14ac:dyDescent="0.25">
      <c r="C132" s="4"/>
      <c r="D132" s="3"/>
      <c r="E132" s="3"/>
      <c r="F132" s="3"/>
      <c r="G132" s="4"/>
      <c r="H132" s="4"/>
      <c r="K132" s="159" t="s">
        <v>134</v>
      </c>
      <c r="L132" s="97">
        <f>(S133/(E129)*100)</f>
        <v>71.608752761358886</v>
      </c>
      <c r="R132" s="5" t="s">
        <v>11</v>
      </c>
      <c r="S132" s="5" t="s">
        <v>12</v>
      </c>
      <c r="T132" s="5" t="s">
        <v>0</v>
      </c>
    </row>
    <row r="133" spans="1:22" x14ac:dyDescent="0.25">
      <c r="C133" s="4"/>
      <c r="D133" s="3"/>
      <c r="E133" s="3"/>
      <c r="F133" s="3"/>
      <c r="G133" s="4"/>
      <c r="H133" s="4"/>
      <c r="K133" s="162" t="s">
        <v>135</v>
      </c>
      <c r="L133" s="96">
        <f>(R133/D129)*100</f>
        <v>58.506368064729209</v>
      </c>
      <c r="P133" s="4"/>
      <c r="Q133" s="5" t="s">
        <v>3</v>
      </c>
      <c r="R133" s="9">
        <f>S133*T133</f>
        <v>177157.28250000003</v>
      </c>
      <c r="S133" s="9">
        <v>479.75</v>
      </c>
      <c r="T133" s="48">
        <f>G126*0.9</f>
        <v>369.27000000000004</v>
      </c>
    </row>
    <row r="134" spans="1:22" ht="17.25" x14ac:dyDescent="0.25">
      <c r="C134" s="4"/>
      <c r="D134" s="3"/>
      <c r="E134" s="3"/>
      <c r="F134" s="3"/>
      <c r="G134" s="4"/>
      <c r="H134" s="4"/>
      <c r="K134" s="159" t="s">
        <v>136</v>
      </c>
      <c r="L134" s="13">
        <f>(D129+I129+L129+P129+R129+V129)/R133</f>
        <v>7.4869684181392815</v>
      </c>
      <c r="O134" s="4"/>
      <c r="P134" s="4"/>
      <c r="S134" s="53"/>
      <c r="T134" s="3"/>
    </row>
    <row r="135" spans="1:22" ht="17.25" x14ac:dyDescent="0.25">
      <c r="C135" s="4"/>
      <c r="D135" s="3"/>
      <c r="E135" s="3"/>
      <c r="F135" s="3"/>
      <c r="G135" s="4"/>
      <c r="H135" s="4"/>
      <c r="I135" s="4"/>
      <c r="K135" s="163" t="s">
        <v>137</v>
      </c>
      <c r="L135" s="15">
        <f>(D129+I129+L129)/R133</f>
        <v>2.1339094541597516</v>
      </c>
      <c r="O135" s="4"/>
      <c r="P135" s="4"/>
      <c r="S135" s="4"/>
    </row>
    <row r="136" spans="1:22" ht="17.25" x14ac:dyDescent="0.25">
      <c r="C136" s="4"/>
      <c r="D136" s="3"/>
      <c r="E136" s="3"/>
      <c r="F136" s="3"/>
      <c r="G136" s="4"/>
      <c r="H136" s="4"/>
      <c r="I136" s="4"/>
      <c r="K136" s="164" t="s">
        <v>138</v>
      </c>
      <c r="L136" s="16">
        <f>(P129+V129)/R133</f>
        <v>5.3530589639795298</v>
      </c>
      <c r="M136" s="4"/>
      <c r="N136" s="163" t="s">
        <v>139</v>
      </c>
      <c r="O136" s="93">
        <f>(G126/N129)*1000</f>
        <v>0.40029268292682929</v>
      </c>
      <c r="P136" s="4"/>
      <c r="U136" s="4"/>
      <c r="V136" s="4"/>
    </row>
    <row r="137" spans="1:22" x14ac:dyDescent="0.25">
      <c r="C137" s="6"/>
      <c r="D137"/>
      <c r="E137" s="3"/>
      <c r="F137" s="3"/>
      <c r="G137" s="4"/>
      <c r="H137" s="4"/>
      <c r="I137" s="4"/>
      <c r="M137" s="4"/>
      <c r="N137" s="4"/>
      <c r="O137" s="4"/>
      <c r="P137" s="4"/>
      <c r="Q137" s="4"/>
      <c r="R137" s="4"/>
      <c r="S137" s="4"/>
      <c r="T137" s="4"/>
      <c r="U137" s="4"/>
      <c r="V137" s="4"/>
    </row>
    <row r="138" spans="1:22" x14ac:dyDescent="0.25">
      <c r="C138" s="6"/>
      <c r="D138"/>
      <c r="E138" s="3"/>
      <c r="F138" s="3"/>
      <c r="G138" s="4"/>
      <c r="H138" s="4"/>
      <c r="I138" s="4"/>
      <c r="M138" s="4"/>
      <c r="N138" s="4"/>
      <c r="O138" s="4"/>
      <c r="P138" s="4"/>
      <c r="Q138" s="4"/>
      <c r="R138" s="4"/>
      <c r="S138" s="4"/>
      <c r="T138" s="4"/>
      <c r="U138" s="4"/>
      <c r="V138" s="4"/>
    </row>
    <row r="139" spans="1:22" s="29" customFormat="1" x14ac:dyDescent="0.25">
      <c r="A139" s="28" t="s">
        <v>106</v>
      </c>
      <c r="D139" s="30"/>
      <c r="E139" s="30"/>
      <c r="F139" s="30"/>
    </row>
    <row r="140" spans="1:22" x14ac:dyDescent="0.25">
      <c r="C140" s="6" t="s">
        <v>26</v>
      </c>
      <c r="D140" s="81"/>
      <c r="E140" s="81"/>
      <c r="F140" s="81"/>
    </row>
    <row r="141" spans="1:22" ht="34.5" x14ac:dyDescent="0.25">
      <c r="C141" s="17" t="s">
        <v>14</v>
      </c>
      <c r="D141" s="20" t="s">
        <v>21</v>
      </c>
      <c r="E141" s="20" t="s">
        <v>94</v>
      </c>
      <c r="F141" s="17" t="s">
        <v>13</v>
      </c>
      <c r="G141" s="17" t="s">
        <v>15</v>
      </c>
      <c r="H141" s="18" t="s">
        <v>1</v>
      </c>
      <c r="I141" s="19" t="s">
        <v>25</v>
      </c>
      <c r="J141" s="17" t="s">
        <v>2</v>
      </c>
      <c r="K141" s="20" t="s">
        <v>94</v>
      </c>
      <c r="L141" s="20" t="s">
        <v>22</v>
      </c>
      <c r="M141" s="19" t="s">
        <v>8</v>
      </c>
      <c r="N141" s="19" t="s">
        <v>16</v>
      </c>
      <c r="O141" s="19" t="s">
        <v>17</v>
      </c>
      <c r="P141" s="19" t="s">
        <v>18</v>
      </c>
      <c r="Q141" s="20" t="s">
        <v>10</v>
      </c>
      <c r="R141" s="20" t="s">
        <v>23</v>
      </c>
      <c r="S141" s="19" t="s">
        <v>9</v>
      </c>
      <c r="T141" s="19" t="s">
        <v>19</v>
      </c>
      <c r="U141" s="19" t="s">
        <v>20</v>
      </c>
      <c r="V141" s="19" t="s">
        <v>24</v>
      </c>
    </row>
    <row r="142" spans="1:22" x14ac:dyDescent="0.25">
      <c r="A142" s="41" t="s">
        <v>180</v>
      </c>
      <c r="C142" s="176" t="s">
        <v>57</v>
      </c>
      <c r="D142" s="160">
        <v>63000</v>
      </c>
      <c r="E142" s="8">
        <v>212.2</v>
      </c>
      <c r="F142" s="8">
        <v>1</v>
      </c>
      <c r="G142" s="11">
        <f>D142/E142</f>
        <v>296.88972667295008</v>
      </c>
      <c r="H142" s="7"/>
      <c r="I142" s="7"/>
      <c r="J142" s="8" t="s">
        <v>58</v>
      </c>
      <c r="K142" s="8">
        <v>162.15</v>
      </c>
      <c r="L142" s="46">
        <v>60650</v>
      </c>
      <c r="M142" s="42" t="s">
        <v>40</v>
      </c>
      <c r="N142" s="45">
        <f>$N$14/N115*742224</f>
        <v>378000</v>
      </c>
      <c r="O142" s="1">
        <v>0.89500000000000002</v>
      </c>
      <c r="P142" s="11">
        <f>N142*O142</f>
        <v>338310</v>
      </c>
      <c r="Q142" s="8"/>
      <c r="R142" s="8"/>
      <c r="S142" s="7"/>
      <c r="T142" s="7"/>
      <c r="U142" s="7"/>
      <c r="V142" s="11">
        <f>T142*U142</f>
        <v>0</v>
      </c>
    </row>
    <row r="143" spans="1:22" x14ac:dyDescent="0.25">
      <c r="C143" s="8" t="s">
        <v>59</v>
      </c>
      <c r="D143" s="8">
        <v>63420</v>
      </c>
      <c r="E143" s="8">
        <v>194.28</v>
      </c>
      <c r="F143" s="8">
        <v>1.1399999999999999</v>
      </c>
      <c r="G143" s="11">
        <f>D143/E143</f>
        <v>326.43607164916614</v>
      </c>
      <c r="H143" s="1"/>
      <c r="I143" s="1"/>
      <c r="J143" s="25" t="s">
        <v>60</v>
      </c>
      <c r="K143" s="26">
        <v>138.21</v>
      </c>
      <c r="L143" s="46">
        <v>41000</v>
      </c>
      <c r="M143" s="42" t="s">
        <v>40</v>
      </c>
      <c r="N143" s="45">
        <f>$N$14/$N$16*742224</f>
        <v>371112</v>
      </c>
      <c r="O143" s="1">
        <v>0.89500000000000002</v>
      </c>
      <c r="P143" s="11">
        <f>N143*O143</f>
        <v>332145.24</v>
      </c>
      <c r="Q143" s="8"/>
      <c r="R143" s="8"/>
      <c r="S143" s="7"/>
      <c r="T143" s="7"/>
      <c r="U143" s="7"/>
      <c r="V143" s="11">
        <f t="shared" ref="V143" si="8">T143*U143</f>
        <v>0</v>
      </c>
    </row>
    <row r="144" spans="1:22" x14ac:dyDescent="0.25">
      <c r="C144" s="10" t="s">
        <v>4</v>
      </c>
      <c r="D144" s="157">
        <f>SUM(D142:D143)</f>
        <v>126420</v>
      </c>
      <c r="E144" s="11">
        <f>SUM(E142:E143)</f>
        <v>406.48</v>
      </c>
      <c r="F144" s="10"/>
      <c r="G144" s="165">
        <f>SUM(G142:G143)</f>
        <v>623.32579832211627</v>
      </c>
      <c r="I144" s="23">
        <f>SUM(I142:I143)</f>
        <v>0</v>
      </c>
      <c r="L144" s="47">
        <f>SUM(L142:L143)</f>
        <v>101650</v>
      </c>
      <c r="N144" s="95">
        <f>SUM(N142:N143)</f>
        <v>749112</v>
      </c>
      <c r="P144" s="23">
        <f>SUM(P142:P143)</f>
        <v>670455.24</v>
      </c>
      <c r="R144" s="23">
        <f>SUM(R142:R143)</f>
        <v>0</v>
      </c>
      <c r="V144" s="23">
        <f>SUM(V142:V143)</f>
        <v>0</v>
      </c>
    </row>
    <row r="145" spans="1:22" x14ac:dyDescent="0.25">
      <c r="C145" s="4"/>
      <c r="D145" s="3"/>
      <c r="E145" s="3"/>
      <c r="F145" s="3"/>
      <c r="G145" s="4"/>
      <c r="H145" s="4"/>
      <c r="I145" s="4"/>
      <c r="M145" s="49"/>
      <c r="N145" s="4"/>
      <c r="O145" s="4"/>
      <c r="P145" s="4"/>
      <c r="Q145" s="4"/>
      <c r="R145" s="4"/>
      <c r="S145" s="4"/>
      <c r="T145" s="4"/>
      <c r="U145" s="4"/>
      <c r="V145" s="4"/>
    </row>
    <row r="146" spans="1:22" x14ac:dyDescent="0.25">
      <c r="C146" s="4"/>
      <c r="D146" s="3"/>
      <c r="E146" s="3"/>
      <c r="F146" s="3"/>
      <c r="G146" s="4"/>
      <c r="H146" s="4"/>
      <c r="K146" s="162" t="s">
        <v>133</v>
      </c>
      <c r="L146" s="96">
        <f>(T148/G142)*100</f>
        <v>50</v>
      </c>
      <c r="M146" s="49"/>
      <c r="O146" s="4"/>
      <c r="P146" s="4"/>
      <c r="Q146" s="4"/>
      <c r="R146" s="4"/>
      <c r="S146" s="4"/>
    </row>
    <row r="147" spans="1:22" x14ac:dyDescent="0.25">
      <c r="C147" s="4"/>
      <c r="D147" s="3"/>
      <c r="E147" s="3"/>
      <c r="F147" s="3"/>
      <c r="G147" s="4"/>
      <c r="H147" s="4"/>
      <c r="K147" s="159" t="s">
        <v>134</v>
      </c>
      <c r="L147" s="97">
        <f>(S148/(E144)*100)</f>
        <v>95.566817555599286</v>
      </c>
      <c r="M147" s="49"/>
      <c r="R147" s="5" t="s">
        <v>11</v>
      </c>
      <c r="S147" s="5" t="s">
        <v>12</v>
      </c>
      <c r="T147" s="5" t="s">
        <v>0</v>
      </c>
    </row>
    <row r="148" spans="1:22" x14ac:dyDescent="0.25">
      <c r="C148" s="4"/>
      <c r="D148" s="3"/>
      <c r="E148" s="3"/>
      <c r="F148" s="3"/>
      <c r="G148" s="4"/>
      <c r="H148" s="4"/>
      <c r="K148" s="162" t="s">
        <v>135</v>
      </c>
      <c r="L148" s="96">
        <f>(R148/D144)*100</f>
        <v>45.613741189437661</v>
      </c>
      <c r="P148" s="4"/>
      <c r="Q148" s="5" t="s">
        <v>3</v>
      </c>
      <c r="R148" s="9">
        <f>S148*T148</f>
        <v>57664.89161168709</v>
      </c>
      <c r="S148" s="9">
        <v>388.46</v>
      </c>
      <c r="T148" s="22">
        <f>G142*0.5</f>
        <v>148.44486333647504</v>
      </c>
    </row>
    <row r="149" spans="1:22" ht="17.25" x14ac:dyDescent="0.25">
      <c r="C149" s="4"/>
      <c r="D149" s="3"/>
      <c r="E149" s="3"/>
      <c r="F149" s="3"/>
      <c r="G149" s="4"/>
      <c r="H149" s="4"/>
      <c r="K149" s="159" t="s">
        <v>136</v>
      </c>
      <c r="L149" s="13">
        <f>(D144+I144+L144+P144+R144+V144)/R148</f>
        <v>15.581842172714561</v>
      </c>
      <c r="O149" s="4"/>
      <c r="P149" s="4"/>
      <c r="S149" s="81"/>
      <c r="T149" s="3"/>
    </row>
    <row r="150" spans="1:22" ht="17.25" x14ac:dyDescent="0.25">
      <c r="C150" s="4"/>
      <c r="D150" s="3"/>
      <c r="E150" s="3"/>
      <c r="F150" s="3"/>
      <c r="G150" s="4"/>
      <c r="H150" s="4"/>
      <c r="I150" s="4"/>
      <c r="K150" s="163" t="s">
        <v>137</v>
      </c>
      <c r="L150" s="15">
        <f>(D144+I144+L144)/R148</f>
        <v>3.9550928411660533</v>
      </c>
      <c r="N150" s="163" t="s">
        <v>139</v>
      </c>
      <c r="O150" s="93">
        <f>G142/N144*1000</f>
        <v>0.3963222143991153</v>
      </c>
      <c r="P150" s="4"/>
      <c r="S150" s="4"/>
    </row>
    <row r="151" spans="1:22" ht="17.25" x14ac:dyDescent="0.25">
      <c r="C151" s="4"/>
      <c r="D151" s="3"/>
      <c r="E151" s="3"/>
      <c r="F151" s="3"/>
      <c r="G151" s="4"/>
      <c r="H151" s="4"/>
      <c r="I151" s="4"/>
      <c r="K151" s="164" t="s">
        <v>138</v>
      </c>
      <c r="L151" s="16">
        <f>(P144+V144)/R148</f>
        <v>11.626749331548508</v>
      </c>
      <c r="M151" s="4"/>
      <c r="N151" s="4"/>
      <c r="O151" s="4"/>
      <c r="P151" s="4"/>
      <c r="U151" s="4"/>
      <c r="V151" s="4"/>
    </row>
    <row r="152" spans="1:22" x14ac:dyDescent="0.25">
      <c r="C152" s="6"/>
      <c r="D152"/>
      <c r="E152" s="3"/>
      <c r="F152" s="3"/>
      <c r="G152" s="4"/>
      <c r="H152" s="4"/>
      <c r="I152" s="4"/>
      <c r="M152" s="4"/>
      <c r="P152" s="4"/>
      <c r="Q152" s="4"/>
      <c r="R152" s="4"/>
      <c r="S152" s="4"/>
      <c r="T152" s="4"/>
      <c r="U152" s="4"/>
      <c r="V152" s="4"/>
    </row>
    <row r="153" spans="1:22" x14ac:dyDescent="0.25">
      <c r="C153" s="6" t="s">
        <v>26</v>
      </c>
      <c r="D153" s="81"/>
      <c r="E153" s="81"/>
      <c r="F153" s="81"/>
    </row>
    <row r="154" spans="1:22" ht="34.5" x14ac:dyDescent="0.25">
      <c r="C154" s="17" t="s">
        <v>14</v>
      </c>
      <c r="D154" s="20" t="s">
        <v>21</v>
      </c>
      <c r="E154" s="20" t="s">
        <v>94</v>
      </c>
      <c r="F154" s="17" t="s">
        <v>13</v>
      </c>
      <c r="G154" s="17" t="s">
        <v>15</v>
      </c>
      <c r="H154" s="18" t="s">
        <v>1</v>
      </c>
      <c r="I154" s="19" t="s">
        <v>25</v>
      </c>
      <c r="J154" s="17" t="s">
        <v>2</v>
      </c>
      <c r="K154" s="20" t="s">
        <v>94</v>
      </c>
      <c r="L154" s="20" t="s">
        <v>22</v>
      </c>
      <c r="M154" s="19" t="s">
        <v>8</v>
      </c>
      <c r="N154" s="19" t="s">
        <v>16</v>
      </c>
      <c r="O154" s="19" t="s">
        <v>17</v>
      </c>
      <c r="P154" s="19" t="s">
        <v>18</v>
      </c>
      <c r="Q154" s="20" t="s">
        <v>10</v>
      </c>
      <c r="R154" s="20" t="s">
        <v>23</v>
      </c>
      <c r="S154" s="19" t="s">
        <v>9</v>
      </c>
      <c r="T154" s="19" t="s">
        <v>19</v>
      </c>
      <c r="U154" s="19" t="s">
        <v>20</v>
      </c>
      <c r="V154" s="19" t="s">
        <v>24</v>
      </c>
    </row>
    <row r="155" spans="1:22" x14ac:dyDescent="0.25">
      <c r="A155" s="41" t="s">
        <v>181</v>
      </c>
      <c r="C155" s="173" t="s">
        <v>115</v>
      </c>
      <c r="D155" s="8">
        <v>221600</v>
      </c>
      <c r="E155" s="8">
        <v>494.78</v>
      </c>
      <c r="F155" s="8">
        <v>1</v>
      </c>
      <c r="G155" s="11">
        <v>410.3</v>
      </c>
      <c r="H155" s="7"/>
      <c r="I155" s="7"/>
      <c r="J155" s="8" t="s">
        <v>58</v>
      </c>
      <c r="K155" s="8">
        <v>162.15</v>
      </c>
      <c r="L155" s="46">
        <f>464*K155</f>
        <v>75237.600000000006</v>
      </c>
      <c r="M155" s="42" t="s">
        <v>40</v>
      </c>
      <c r="N155" s="45">
        <f>N97/$N$42*1025000</f>
        <v>800663.91941391944</v>
      </c>
      <c r="O155" s="42">
        <v>0.89500000000000002</v>
      </c>
      <c r="P155" s="11">
        <f>N155*O155</f>
        <v>716594.20787545794</v>
      </c>
      <c r="Q155" s="8"/>
      <c r="R155" s="8"/>
      <c r="S155" s="7"/>
      <c r="T155" s="7"/>
      <c r="U155" s="7"/>
      <c r="V155" s="11">
        <f>T155*U155</f>
        <v>0</v>
      </c>
    </row>
    <row r="156" spans="1:22" x14ac:dyDescent="0.25">
      <c r="C156" s="57" t="s">
        <v>61</v>
      </c>
      <c r="D156" s="8">
        <v>81200</v>
      </c>
      <c r="E156" s="8">
        <v>175.18</v>
      </c>
      <c r="F156" s="8">
        <v>1.1299999999999999</v>
      </c>
      <c r="G156" s="11">
        <f>D156/E156</f>
        <v>463.52323324580431</v>
      </c>
      <c r="H156" s="1"/>
      <c r="I156" s="1"/>
      <c r="J156" s="25"/>
      <c r="K156" s="26"/>
      <c r="L156" s="46"/>
      <c r="M156" s="42" t="s">
        <v>62</v>
      </c>
      <c r="N156" s="45">
        <f>N98/$N$42*1025000</f>
        <v>224336.08058608058</v>
      </c>
      <c r="O156" s="1">
        <v>1.0329999999999999</v>
      </c>
      <c r="P156" s="11">
        <f>N156*O156</f>
        <v>231739.17124542122</v>
      </c>
      <c r="Q156" s="8"/>
      <c r="R156" s="8"/>
      <c r="S156" s="7"/>
      <c r="T156" s="7"/>
      <c r="U156" s="7"/>
      <c r="V156" s="11">
        <f t="shared" ref="V156:V157" si="9">T156*U156</f>
        <v>0</v>
      </c>
    </row>
    <row r="157" spans="1:22" x14ac:dyDescent="0.25">
      <c r="C157" s="8"/>
      <c r="D157" s="8"/>
      <c r="E157" s="8"/>
      <c r="F157" s="8"/>
      <c r="G157" s="10"/>
      <c r="H157" s="1"/>
      <c r="I157" s="1"/>
      <c r="J157" s="25"/>
      <c r="K157" s="26"/>
      <c r="L157" s="46"/>
      <c r="M157" s="42"/>
      <c r="N157" s="45"/>
      <c r="O157" s="1"/>
      <c r="P157" s="11"/>
      <c r="Q157" s="8"/>
      <c r="R157" s="8"/>
      <c r="S157" s="7"/>
      <c r="T157" s="7"/>
      <c r="U157" s="7"/>
      <c r="V157" s="11">
        <f t="shared" si="9"/>
        <v>0</v>
      </c>
    </row>
    <row r="158" spans="1:22" x14ac:dyDescent="0.25">
      <c r="C158" s="10" t="s">
        <v>4</v>
      </c>
      <c r="D158" s="157">
        <f>SUM(D155:D156)</f>
        <v>302800</v>
      </c>
      <c r="E158" s="11">
        <f>SUM(E155:E156)</f>
        <v>669.96</v>
      </c>
      <c r="F158" s="10"/>
      <c r="G158" s="165">
        <f>SUM(G155:G156)</f>
        <v>873.82323324580432</v>
      </c>
      <c r="I158" s="23">
        <f>SUM(I155:I156)</f>
        <v>0</v>
      </c>
      <c r="L158" s="47">
        <f>SUM(L155:L157)</f>
        <v>75237.600000000006</v>
      </c>
      <c r="N158" s="95">
        <f>SUM(N155:N157)</f>
        <v>1025000</v>
      </c>
      <c r="P158" s="23">
        <f>SUM(P155:P157)</f>
        <v>948333.37912087911</v>
      </c>
      <c r="R158" s="23">
        <f>SUM(R155:R157)</f>
        <v>0</v>
      </c>
      <c r="V158" s="23">
        <f>SUM(V155:V157)</f>
        <v>0</v>
      </c>
    </row>
    <row r="159" spans="1:22" x14ac:dyDescent="0.25">
      <c r="C159" s="4"/>
      <c r="D159" s="3"/>
      <c r="E159" s="3"/>
      <c r="F159" s="3"/>
      <c r="G159" s="4"/>
      <c r="H159" s="4"/>
      <c r="I159" s="4"/>
      <c r="M159" s="4"/>
      <c r="N159" s="4"/>
      <c r="O159" s="4"/>
      <c r="P159" s="4"/>
      <c r="Q159" s="4"/>
      <c r="R159" s="4"/>
      <c r="S159" s="4"/>
      <c r="T159" s="4"/>
      <c r="U159" s="4"/>
      <c r="V159" s="4"/>
    </row>
    <row r="160" spans="1:22" x14ac:dyDescent="0.25">
      <c r="C160" s="4"/>
      <c r="D160" s="3"/>
      <c r="E160" s="3"/>
      <c r="F160" s="3"/>
      <c r="G160" s="4"/>
      <c r="H160" s="4"/>
      <c r="K160" s="162" t="s">
        <v>133</v>
      </c>
      <c r="L160" s="96">
        <f>(T162/G155)*100</f>
        <v>50</v>
      </c>
      <c r="N160" s="49"/>
      <c r="O160" s="4"/>
      <c r="P160" s="4"/>
      <c r="Q160" s="4"/>
      <c r="R160" s="4"/>
      <c r="S160" s="4"/>
    </row>
    <row r="161" spans="1:23" x14ac:dyDescent="0.25">
      <c r="C161" s="4"/>
      <c r="D161" s="3"/>
      <c r="E161" s="3"/>
      <c r="F161" s="3"/>
      <c r="G161" s="4"/>
      <c r="H161" s="4"/>
      <c r="K161" s="159" t="s">
        <v>134</v>
      </c>
      <c r="L161" s="97">
        <f>(S162/(E158)*100)</f>
        <v>71.608752761358886</v>
      </c>
      <c r="R161" s="5" t="s">
        <v>11</v>
      </c>
      <c r="S161" s="5" t="s">
        <v>12</v>
      </c>
      <c r="T161" s="5" t="s">
        <v>0</v>
      </c>
    </row>
    <row r="162" spans="1:23" x14ac:dyDescent="0.25">
      <c r="C162" s="4"/>
      <c r="D162" s="3"/>
      <c r="E162" s="3"/>
      <c r="F162" s="3"/>
      <c r="G162" s="4"/>
      <c r="H162" s="4"/>
      <c r="K162" s="162" t="s">
        <v>135</v>
      </c>
      <c r="L162" s="96">
        <f>(R162/D158)*100</f>
        <v>32.50353781373844</v>
      </c>
      <c r="P162" s="4"/>
      <c r="Q162" s="5" t="s">
        <v>3</v>
      </c>
      <c r="R162" s="9">
        <f>S162*T162</f>
        <v>98420.712500000009</v>
      </c>
      <c r="S162" s="9">
        <v>479.75</v>
      </c>
      <c r="T162" s="48">
        <f>G155*0.5</f>
        <v>205.15</v>
      </c>
    </row>
    <row r="163" spans="1:23" ht="17.25" x14ac:dyDescent="0.25">
      <c r="C163" s="4"/>
      <c r="D163" s="3"/>
      <c r="E163" s="3"/>
      <c r="F163" s="3"/>
      <c r="G163" s="4"/>
      <c r="H163" s="4"/>
      <c r="K163" s="159" t="s">
        <v>136</v>
      </c>
      <c r="L163" s="13">
        <f>(D158+I158+L158+P158+R158+V158)/R162</f>
        <v>13.476543152650708</v>
      </c>
      <c r="O163" s="4"/>
      <c r="P163" s="4"/>
      <c r="S163" s="81"/>
      <c r="T163" s="3"/>
    </row>
    <row r="164" spans="1:23" ht="17.25" x14ac:dyDescent="0.25">
      <c r="C164" s="4"/>
      <c r="D164" s="3"/>
      <c r="E164" s="3"/>
      <c r="F164" s="3"/>
      <c r="G164" s="4"/>
      <c r="H164" s="4"/>
      <c r="I164" s="4"/>
      <c r="K164" s="163" t="s">
        <v>137</v>
      </c>
      <c r="L164" s="15">
        <f>(D158+I158+L158)/R162</f>
        <v>3.8410370174875532</v>
      </c>
      <c r="O164" s="4"/>
      <c r="P164" s="4"/>
      <c r="S164" s="4"/>
    </row>
    <row r="165" spans="1:23" ht="17.25" x14ac:dyDescent="0.25">
      <c r="C165" s="4"/>
      <c r="D165" s="3"/>
      <c r="E165" s="3"/>
      <c r="F165" s="3"/>
      <c r="G165" s="4"/>
      <c r="H165" s="4"/>
      <c r="I165" s="4"/>
      <c r="K165" s="164" t="s">
        <v>138</v>
      </c>
      <c r="L165" s="16">
        <f>(P158+V158)/R162</f>
        <v>9.6355061351631548</v>
      </c>
      <c r="M165" s="4"/>
      <c r="N165" s="163" t="s">
        <v>139</v>
      </c>
      <c r="O165" s="93">
        <f>(G155/N158)*1000</f>
        <v>0.40029268292682929</v>
      </c>
      <c r="P165" s="4"/>
      <c r="U165" s="4"/>
      <c r="V165" s="4"/>
    </row>
    <row r="166" spans="1:23" x14ac:dyDescent="0.25">
      <c r="C166" s="6"/>
      <c r="D166"/>
      <c r="E166" s="3"/>
      <c r="F166" s="3"/>
      <c r="G166" s="4"/>
      <c r="H166" s="4"/>
      <c r="I166" s="4"/>
      <c r="M166" s="4"/>
      <c r="N166" s="4"/>
      <c r="O166" s="4"/>
      <c r="P166" s="4"/>
      <c r="Q166" s="4"/>
      <c r="R166" s="4"/>
      <c r="S166" s="4"/>
      <c r="T166" s="4"/>
      <c r="U166" s="4"/>
      <c r="V166" s="4"/>
    </row>
    <row r="169" spans="1:23" s="168" customFormat="1" x14ac:dyDescent="0.25">
      <c r="A169" s="167" t="s">
        <v>140</v>
      </c>
      <c r="C169" s="169"/>
      <c r="D169" s="169"/>
      <c r="E169" s="169"/>
    </row>
    <row r="170" spans="1:23" x14ac:dyDescent="0.25">
      <c r="K170" s="35"/>
    </row>
    <row r="171" spans="1:23" x14ac:dyDescent="0.25">
      <c r="D171" s="121" t="s">
        <v>117</v>
      </c>
      <c r="E171" s="105"/>
      <c r="F171" s="105"/>
    </row>
    <row r="172" spans="1:23" ht="15.95" customHeight="1" x14ac:dyDescent="0.25">
      <c r="D172" s="112" t="s">
        <v>29</v>
      </c>
      <c r="E172" s="112" t="s">
        <v>30</v>
      </c>
      <c r="F172" s="111" t="s">
        <v>6</v>
      </c>
      <c r="G172" s="112" t="s">
        <v>7</v>
      </c>
      <c r="H172" s="112" t="s">
        <v>32</v>
      </c>
      <c r="I172" s="112" t="s">
        <v>34</v>
      </c>
      <c r="J172" s="112" t="s">
        <v>35</v>
      </c>
      <c r="K172" s="112" t="s">
        <v>5</v>
      </c>
      <c r="L172" s="54"/>
      <c r="M172" s="54"/>
      <c r="N172" s="54"/>
      <c r="O172" s="54"/>
      <c r="P172" s="54"/>
      <c r="Q172" s="54"/>
      <c r="R172" s="54"/>
      <c r="S172" s="54"/>
      <c r="T172" s="54"/>
      <c r="U172" s="54"/>
    </row>
    <row r="173" spans="1:23" x14ac:dyDescent="0.25">
      <c r="D173" s="114"/>
      <c r="E173" s="114"/>
      <c r="F173" s="113" t="s">
        <v>31</v>
      </c>
      <c r="G173" s="114" t="s">
        <v>31</v>
      </c>
      <c r="H173" s="114" t="s">
        <v>33</v>
      </c>
      <c r="I173" s="114" t="s">
        <v>33</v>
      </c>
      <c r="J173" s="114" t="s">
        <v>33</v>
      </c>
      <c r="K173" s="114" t="s">
        <v>31</v>
      </c>
      <c r="L173" s="54"/>
      <c r="M173" s="54"/>
      <c r="N173" s="54"/>
      <c r="O173" s="54"/>
      <c r="P173" s="54"/>
      <c r="Q173" s="54"/>
      <c r="R173" s="54"/>
      <c r="S173" s="54"/>
      <c r="T173" s="54"/>
      <c r="U173" s="54"/>
    </row>
    <row r="174" spans="1:23" ht="18" customHeight="1" x14ac:dyDescent="0.25">
      <c r="D174" s="127" t="str">
        <f>A1</f>
        <v xml:space="preserve">Literature data reported </v>
      </c>
      <c r="E174" s="127"/>
      <c r="F174" s="127"/>
      <c r="G174" s="127"/>
      <c r="H174" s="127"/>
      <c r="I174" s="127"/>
      <c r="J174" s="127"/>
      <c r="K174" s="128"/>
      <c r="L174" s="54"/>
      <c r="M174" s="54"/>
      <c r="N174" s="41" t="s">
        <v>180</v>
      </c>
      <c r="O174" s="62" t="s">
        <v>56</v>
      </c>
      <c r="P174" s="62"/>
      <c r="Q174" s="62"/>
      <c r="R174" s="54"/>
      <c r="S174" s="54"/>
      <c r="T174" s="54"/>
      <c r="U174" s="54"/>
    </row>
    <row r="175" spans="1:23" ht="15" customHeight="1" x14ac:dyDescent="0.25">
      <c r="D175" s="90"/>
      <c r="E175" s="106" t="s">
        <v>182</v>
      </c>
      <c r="F175" s="91">
        <f>L19</f>
        <v>95.566817555599286</v>
      </c>
      <c r="G175" s="91">
        <f>L20</f>
        <v>81.474450245214371</v>
      </c>
      <c r="H175" s="92">
        <f>L21</f>
        <v>8.7833980582524269</v>
      </c>
      <c r="I175" s="92">
        <f>L22</f>
        <v>2.2142718446601943</v>
      </c>
      <c r="J175" s="92">
        <f>L23</f>
        <v>6.5691262135922326</v>
      </c>
      <c r="K175" s="60">
        <f>L18</f>
        <v>89.309107431951475</v>
      </c>
      <c r="L175" s="54"/>
      <c r="M175" s="54"/>
      <c r="N175" s="192"/>
      <c r="O175" s="192"/>
      <c r="P175" s="192"/>
      <c r="Q175" s="192"/>
      <c r="R175" s="192"/>
      <c r="S175" s="192"/>
      <c r="T175" s="192"/>
      <c r="U175" s="192"/>
      <c r="V175" s="192"/>
      <c r="W175" s="192"/>
    </row>
    <row r="176" spans="1:23" ht="15.95" customHeight="1" x14ac:dyDescent="0.25">
      <c r="D176" s="115"/>
      <c r="E176" s="114" t="s">
        <v>183</v>
      </c>
      <c r="F176" s="116">
        <f>L45</f>
        <v>71.608752761358886</v>
      </c>
      <c r="G176" s="116">
        <f>L46</f>
        <v>56.340819022457069</v>
      </c>
      <c r="H176" s="117">
        <f>L47</f>
        <v>8.1380984759671744</v>
      </c>
      <c r="I176" s="117">
        <f>L48</f>
        <v>2.2159296600234466</v>
      </c>
      <c r="J176" s="117">
        <f>L49</f>
        <v>5.9221688159437278</v>
      </c>
      <c r="K176" s="118">
        <f>L44</f>
        <v>86.6687487148602</v>
      </c>
      <c r="L176" s="54"/>
      <c r="M176" s="54"/>
      <c r="N176" s="192"/>
      <c r="O176" s="192"/>
      <c r="P176" s="192"/>
      <c r="Q176" s="192"/>
      <c r="R176" s="192"/>
      <c r="S176" s="192"/>
      <c r="T176" s="192"/>
      <c r="U176" s="192"/>
      <c r="V176" s="192"/>
      <c r="W176" s="192"/>
    </row>
    <row r="177" spans="4:23" ht="15" customHeight="1" x14ac:dyDescent="0.25">
      <c r="D177" s="123" t="str">
        <f>A52</f>
        <v>Simulation A: [Acid] = 0.4 M, Literature data yield</v>
      </c>
      <c r="E177" s="123"/>
      <c r="F177" s="123"/>
      <c r="G177" s="123"/>
      <c r="H177" s="123"/>
      <c r="I177" s="123"/>
      <c r="J177" s="123"/>
      <c r="K177" s="129"/>
      <c r="L177" s="54"/>
      <c r="M177" s="54"/>
      <c r="N177" s="192"/>
      <c r="O177" s="192"/>
      <c r="P177" s="192"/>
      <c r="Q177" s="192"/>
      <c r="R177" s="192"/>
      <c r="S177" s="192"/>
      <c r="T177" s="192"/>
      <c r="U177" s="192"/>
      <c r="V177" s="192"/>
      <c r="W177" s="192"/>
    </row>
    <row r="178" spans="4:23" x14ac:dyDescent="0.25">
      <c r="D178" s="102"/>
      <c r="E178" s="102" t="s">
        <v>184</v>
      </c>
      <c r="F178" s="99">
        <f>L60</f>
        <v>95.566817555599286</v>
      </c>
      <c r="G178" s="100">
        <f>L61</f>
        <v>81.474450245214371</v>
      </c>
      <c r="H178" s="101">
        <f>L62</f>
        <v>8.6636939805825239</v>
      </c>
      <c r="I178" s="101">
        <f>L63</f>
        <v>2.2142718446601943</v>
      </c>
      <c r="J178" s="101">
        <f>L64</f>
        <v>6.4494221359223296</v>
      </c>
      <c r="K178" s="60">
        <f>L59</f>
        <v>89.309107431951475</v>
      </c>
      <c r="L178" s="54"/>
      <c r="M178" s="54"/>
      <c r="N178" s="192"/>
      <c r="O178" s="192"/>
      <c r="P178" s="192"/>
      <c r="Q178" s="192"/>
      <c r="R178" s="192"/>
      <c r="S178" s="192"/>
      <c r="T178" s="192"/>
      <c r="U178" s="192"/>
      <c r="V178" s="192"/>
      <c r="W178" s="192"/>
    </row>
    <row r="179" spans="4:23" x14ac:dyDescent="0.25">
      <c r="D179" s="102"/>
      <c r="E179" s="102" t="s">
        <v>181</v>
      </c>
      <c r="F179" s="99">
        <f>L74</f>
        <v>71.608752761358886</v>
      </c>
      <c r="G179" s="100">
        <f>L75</f>
        <v>56.340819022457069</v>
      </c>
      <c r="H179" s="101">
        <f>L76</f>
        <v>7.774741964366231</v>
      </c>
      <c r="I179" s="101">
        <f>L77</f>
        <v>2.2159296600234466</v>
      </c>
      <c r="J179" s="101">
        <f>L78</f>
        <v>5.5588123043427853</v>
      </c>
      <c r="K179" s="60">
        <f>L73</f>
        <v>86.6687487148602</v>
      </c>
      <c r="L179" s="54"/>
      <c r="M179" s="54"/>
      <c r="N179" s="192"/>
      <c r="O179" s="192"/>
      <c r="P179" s="192"/>
      <c r="Q179" s="192"/>
      <c r="R179" s="192"/>
      <c r="S179" s="192"/>
      <c r="T179" s="192"/>
      <c r="U179" s="192"/>
      <c r="V179" s="192"/>
      <c r="W179" s="192"/>
    </row>
    <row r="180" spans="4:23" ht="15" customHeight="1" x14ac:dyDescent="0.25">
      <c r="D180" s="123" t="str">
        <f>A81</f>
        <v>Simulation B: [Acid] = Literature data, 90% Yield</v>
      </c>
      <c r="E180" s="123"/>
      <c r="F180" s="123"/>
      <c r="G180" s="123"/>
      <c r="H180" s="123"/>
      <c r="I180" s="123"/>
      <c r="J180" s="123"/>
      <c r="K180" s="119"/>
      <c r="L180" s="54"/>
      <c r="M180" s="54"/>
      <c r="N180" s="192"/>
      <c r="O180" s="192"/>
      <c r="P180" s="192"/>
      <c r="Q180" s="192"/>
      <c r="R180" s="192"/>
      <c r="S180" s="192"/>
      <c r="T180" s="192"/>
      <c r="U180" s="192"/>
      <c r="V180" s="192"/>
      <c r="W180" s="192"/>
    </row>
    <row r="181" spans="4:23" x14ac:dyDescent="0.25">
      <c r="D181" s="102"/>
      <c r="E181" s="102" t="s">
        <v>184</v>
      </c>
      <c r="F181" s="99">
        <f>L89</f>
        <v>95.566817555599286</v>
      </c>
      <c r="G181" s="100">
        <f>L90</f>
        <v>82.104734140987787</v>
      </c>
      <c r="H181" s="101">
        <f>L91</f>
        <v>8.715971564467333</v>
      </c>
      <c r="I181" s="101">
        <f>L92</f>
        <v>2.1972738006478072</v>
      </c>
      <c r="J181" s="101">
        <f>L93</f>
        <v>6.5186977638195263</v>
      </c>
      <c r="K181" s="60">
        <f>L88</f>
        <v>90</v>
      </c>
      <c r="L181" s="54"/>
      <c r="M181" s="54"/>
      <c r="N181" s="192"/>
      <c r="O181" s="192"/>
      <c r="P181" s="192"/>
      <c r="Q181" s="192"/>
      <c r="R181" s="192"/>
      <c r="S181" s="192"/>
      <c r="T181" s="192"/>
      <c r="U181" s="192"/>
      <c r="V181" s="192"/>
      <c r="W181" s="192"/>
    </row>
    <row r="182" spans="4:23" x14ac:dyDescent="0.25">
      <c r="D182" s="102"/>
      <c r="E182" s="102" t="s">
        <v>181</v>
      </c>
      <c r="F182" s="99">
        <f>L103</f>
        <v>71.608752761358886</v>
      </c>
      <c r="G182" s="100">
        <f>L104</f>
        <v>58.506368064729209</v>
      </c>
      <c r="H182" s="101">
        <f>L105</f>
        <v>7.8368756870042855</v>
      </c>
      <c r="I182" s="101">
        <f>L106</f>
        <v>2.1339094541597516</v>
      </c>
      <c r="J182" s="101">
        <f>L107</f>
        <v>5.7029662328445339</v>
      </c>
      <c r="K182" s="60">
        <f>L102</f>
        <v>90</v>
      </c>
      <c r="L182" s="54"/>
      <c r="M182" s="54"/>
      <c r="N182" s="192"/>
      <c r="O182" s="192"/>
      <c r="P182" s="192"/>
      <c r="Q182" s="192"/>
      <c r="R182" s="192"/>
      <c r="S182" s="192"/>
      <c r="T182" s="192"/>
      <c r="U182" s="192"/>
      <c r="V182" s="192"/>
      <c r="W182" s="192"/>
    </row>
    <row r="183" spans="4:23" ht="15" customHeight="1" x14ac:dyDescent="0.25">
      <c r="D183" s="123" t="str">
        <f>A110</f>
        <v>Simulation C: [Acid] = 0.4 M, 90% Yield</v>
      </c>
      <c r="E183" s="123"/>
      <c r="F183" s="123"/>
      <c r="G183" s="123"/>
      <c r="H183" s="123"/>
      <c r="I183" s="123"/>
      <c r="J183" s="123"/>
      <c r="K183" s="119"/>
      <c r="N183" s="192"/>
      <c r="O183" s="192"/>
      <c r="P183" s="192"/>
      <c r="Q183" s="192"/>
      <c r="R183" s="192"/>
      <c r="S183" s="192"/>
      <c r="T183" s="192"/>
      <c r="U183" s="192"/>
      <c r="V183" s="192"/>
      <c r="W183" s="192"/>
    </row>
    <row r="184" spans="4:23" x14ac:dyDescent="0.25">
      <c r="D184" s="102"/>
      <c r="E184" s="102" t="s">
        <v>184</v>
      </c>
      <c r="F184" s="99">
        <f>L118</f>
        <v>95.566817555599286</v>
      </c>
      <c r="G184" s="100">
        <f>L119</f>
        <v>82.104734140987787</v>
      </c>
      <c r="H184" s="101">
        <f>L120</f>
        <v>8.5971864052155098</v>
      </c>
      <c r="I184" s="101">
        <f>L121</f>
        <v>2.1972738006478072</v>
      </c>
      <c r="J184" s="101">
        <f>L122</f>
        <v>6.3999126045677031</v>
      </c>
      <c r="K184" s="60">
        <f>L117</f>
        <v>90</v>
      </c>
      <c r="N184" s="192"/>
      <c r="O184" s="192"/>
      <c r="P184" s="192"/>
      <c r="Q184" s="192"/>
      <c r="R184" s="192"/>
      <c r="S184" s="192"/>
      <c r="T184" s="192"/>
      <c r="U184" s="192"/>
      <c r="V184" s="192"/>
      <c r="W184" s="192"/>
    </row>
    <row r="185" spans="4:23" x14ac:dyDescent="0.25">
      <c r="D185" s="102"/>
      <c r="E185" s="102" t="s">
        <v>181</v>
      </c>
      <c r="F185" s="99">
        <f>L132</f>
        <v>71.608752761358886</v>
      </c>
      <c r="G185" s="100">
        <f>L133</f>
        <v>58.506368064729209</v>
      </c>
      <c r="H185" s="101">
        <f>L134</f>
        <v>7.4869684181392815</v>
      </c>
      <c r="I185" s="101">
        <f>L135</f>
        <v>2.1339094541597516</v>
      </c>
      <c r="J185" s="101">
        <f>L136</f>
        <v>5.3530589639795298</v>
      </c>
      <c r="K185" s="60">
        <f>L131</f>
        <v>90</v>
      </c>
    </row>
    <row r="186" spans="4:23" ht="15" customHeight="1" x14ac:dyDescent="0.25">
      <c r="D186" s="123" t="str">
        <f>A139</f>
        <v>Simulation D: [Acid] = 0.4 M, 50% Yield</v>
      </c>
      <c r="E186" s="123"/>
      <c r="F186" s="123"/>
      <c r="G186" s="123"/>
      <c r="H186" s="123"/>
      <c r="I186" s="123"/>
      <c r="J186" s="123"/>
      <c r="K186" s="119"/>
    </row>
    <row r="187" spans="4:23" x14ac:dyDescent="0.25">
      <c r="D187" s="106"/>
      <c r="E187" s="102" t="s">
        <v>184</v>
      </c>
      <c r="F187" s="79">
        <f>L147</f>
        <v>95.566817555599286</v>
      </c>
      <c r="G187" s="60">
        <f>L148</f>
        <v>45.613741189437661</v>
      </c>
      <c r="H187" s="37">
        <f>L149</f>
        <v>15.581842172714561</v>
      </c>
      <c r="I187" s="37">
        <f>L150</f>
        <v>3.9550928411660533</v>
      </c>
      <c r="J187" s="37">
        <f>L151</f>
        <v>11.626749331548508</v>
      </c>
      <c r="K187" s="60">
        <f>L146</f>
        <v>50</v>
      </c>
      <c r="N187" s="41" t="s">
        <v>181</v>
      </c>
      <c r="O187" s="62" t="s">
        <v>63</v>
      </c>
      <c r="P187" s="62"/>
      <c r="Q187" s="62"/>
    </row>
    <row r="188" spans="4:23" x14ac:dyDescent="0.25">
      <c r="D188" s="106"/>
      <c r="E188" s="102" t="s">
        <v>181</v>
      </c>
      <c r="F188" s="79">
        <f>L161</f>
        <v>71.608752761358886</v>
      </c>
      <c r="G188" s="60">
        <f>L162</f>
        <v>32.50353781373844</v>
      </c>
      <c r="H188" s="37">
        <f>L163</f>
        <v>13.476543152650708</v>
      </c>
      <c r="I188" s="37">
        <f>L164</f>
        <v>3.8410370174875532</v>
      </c>
      <c r="J188" s="37">
        <f>L165</f>
        <v>9.6355061351631548</v>
      </c>
      <c r="K188" s="60">
        <f>L160</f>
        <v>50</v>
      </c>
      <c r="N188" s="192"/>
      <c r="O188" s="192"/>
      <c r="P188" s="192"/>
      <c r="Q188" s="192"/>
      <c r="R188" s="192"/>
      <c r="S188" s="192"/>
      <c r="T188" s="192"/>
      <c r="U188" s="192"/>
      <c r="V188" s="192"/>
    </row>
    <row r="189" spans="4:23" x14ac:dyDescent="0.25">
      <c r="D189" s="120"/>
      <c r="E189" s="120"/>
      <c r="F189" s="120"/>
      <c r="G189" s="120"/>
      <c r="H189" s="120"/>
      <c r="I189" s="120"/>
      <c r="J189" s="120"/>
      <c r="K189" s="85"/>
      <c r="N189" s="192"/>
      <c r="O189" s="192"/>
      <c r="P189" s="192"/>
      <c r="Q189" s="192"/>
      <c r="R189" s="192"/>
      <c r="S189" s="192"/>
      <c r="T189" s="192"/>
      <c r="U189" s="192"/>
      <c r="V189" s="192"/>
    </row>
    <row r="190" spans="4:23" x14ac:dyDescent="0.25">
      <c r="D190" s="77"/>
      <c r="E190" s="77"/>
      <c r="F190" s="79"/>
      <c r="G190" s="79"/>
      <c r="H190" s="85"/>
      <c r="I190" s="85"/>
      <c r="J190" s="85"/>
      <c r="K190" s="85"/>
      <c r="N190" s="192"/>
      <c r="O190" s="192"/>
      <c r="P190" s="192"/>
      <c r="Q190" s="192"/>
      <c r="R190" s="192"/>
      <c r="S190" s="192"/>
      <c r="T190" s="192"/>
      <c r="U190" s="192"/>
      <c r="V190" s="192"/>
    </row>
    <row r="191" spans="4:23" x14ac:dyDescent="0.25">
      <c r="D191" s="77"/>
      <c r="E191" s="77"/>
      <c r="F191" s="79"/>
      <c r="G191" s="79"/>
      <c r="H191" s="85"/>
      <c r="I191" s="85"/>
      <c r="J191" s="85"/>
      <c r="K191" s="85"/>
      <c r="N191" s="192"/>
      <c r="O191" s="192"/>
      <c r="P191" s="192"/>
      <c r="Q191" s="192"/>
      <c r="R191" s="192"/>
      <c r="S191" s="192"/>
      <c r="T191" s="192"/>
      <c r="U191" s="192"/>
      <c r="V191" s="192"/>
    </row>
    <row r="192" spans="4:23" ht="15" customHeight="1" x14ac:dyDescent="0.25">
      <c r="D192" s="120"/>
      <c r="E192" s="120"/>
      <c r="F192" s="120"/>
      <c r="G192" s="120"/>
      <c r="H192" s="120"/>
      <c r="I192" s="120"/>
      <c r="J192" s="120"/>
      <c r="K192" s="120"/>
      <c r="N192" s="192"/>
      <c r="O192" s="192"/>
      <c r="P192" s="192"/>
      <c r="Q192" s="192"/>
      <c r="R192" s="192"/>
      <c r="S192" s="192"/>
      <c r="T192" s="192"/>
      <c r="U192" s="192"/>
      <c r="V192" s="192"/>
    </row>
    <row r="193" spans="4:22" x14ac:dyDescent="0.25">
      <c r="D193" s="77"/>
      <c r="E193" s="77"/>
      <c r="F193" s="79"/>
      <c r="G193" s="79"/>
      <c r="H193" s="85"/>
      <c r="I193" s="85"/>
      <c r="J193" s="85"/>
      <c r="K193" s="85"/>
      <c r="N193" s="192"/>
      <c r="O193" s="192"/>
      <c r="P193" s="192"/>
      <c r="Q193" s="192"/>
      <c r="R193" s="192"/>
      <c r="S193" s="192"/>
      <c r="T193" s="192"/>
      <c r="U193" s="192"/>
      <c r="V193" s="192"/>
    </row>
    <row r="194" spans="4:22" x14ac:dyDescent="0.25">
      <c r="D194" s="77"/>
      <c r="E194" s="77"/>
      <c r="F194" s="79"/>
      <c r="G194" s="79"/>
      <c r="H194" s="85"/>
      <c r="I194" s="85"/>
      <c r="J194" s="85"/>
      <c r="K194" s="85"/>
      <c r="N194" s="192"/>
      <c r="O194" s="192"/>
      <c r="P194" s="192"/>
      <c r="Q194" s="192"/>
      <c r="R194" s="192"/>
      <c r="S194" s="192"/>
      <c r="T194" s="192"/>
      <c r="U194" s="192"/>
      <c r="V194" s="192"/>
    </row>
    <row r="195" spans="4:22" x14ac:dyDescent="0.25">
      <c r="D195" s="31"/>
      <c r="E195" s="31"/>
      <c r="F195" s="33"/>
      <c r="G195" s="34"/>
      <c r="H195" s="32"/>
      <c r="I195" s="32"/>
      <c r="J195" s="32"/>
      <c r="K195" s="37"/>
      <c r="N195" s="192"/>
      <c r="O195" s="192"/>
      <c r="P195" s="192"/>
      <c r="Q195" s="192"/>
      <c r="R195" s="192"/>
      <c r="S195" s="192"/>
      <c r="T195" s="192"/>
      <c r="U195" s="192"/>
      <c r="V195" s="192"/>
    </row>
    <row r="196" spans="4:22" x14ac:dyDescent="0.25">
      <c r="D196" s="31"/>
      <c r="E196" s="31"/>
      <c r="F196" s="33"/>
      <c r="G196" s="34"/>
      <c r="H196" s="32"/>
      <c r="I196" s="32"/>
      <c r="J196" s="32"/>
      <c r="K196" s="37"/>
      <c r="N196" s="192"/>
      <c r="O196" s="192"/>
      <c r="P196" s="192"/>
      <c r="Q196" s="192"/>
      <c r="R196" s="192"/>
      <c r="S196" s="192"/>
      <c r="T196" s="192"/>
      <c r="U196" s="192"/>
      <c r="V196" s="192"/>
    </row>
    <row r="197" spans="4:22" x14ac:dyDescent="0.25">
      <c r="D197" s="31"/>
      <c r="E197" s="31"/>
      <c r="F197" s="33"/>
      <c r="G197" s="34"/>
      <c r="H197" s="32"/>
      <c r="I197" s="32"/>
      <c r="J197" s="32"/>
      <c r="K197" s="37"/>
      <c r="N197" s="192"/>
      <c r="O197" s="192"/>
      <c r="P197" s="192"/>
      <c r="Q197" s="192"/>
      <c r="R197" s="192"/>
      <c r="S197" s="192"/>
      <c r="T197" s="192"/>
      <c r="U197" s="192"/>
      <c r="V197" s="192"/>
    </row>
    <row r="198" spans="4:22" ht="15" customHeight="1" x14ac:dyDescent="0.25">
      <c r="K198" s="36"/>
      <c r="N198" s="103"/>
      <c r="O198" s="103"/>
      <c r="P198" s="103"/>
      <c r="Q198" s="103"/>
      <c r="R198" s="103"/>
      <c r="S198" s="103"/>
      <c r="T198" s="103"/>
      <c r="U198" s="103"/>
      <c r="V198" s="103"/>
    </row>
    <row r="199" spans="4:22" x14ac:dyDescent="0.25">
      <c r="K199" s="37"/>
    </row>
    <row r="200" spans="4:22" x14ac:dyDescent="0.25">
      <c r="K200" s="37"/>
    </row>
    <row r="201" spans="4:22" x14ac:dyDescent="0.25">
      <c r="D201" s="31"/>
      <c r="E201" s="31"/>
      <c r="F201" s="33"/>
      <c r="G201" s="34"/>
      <c r="H201" s="32"/>
      <c r="I201" s="32"/>
      <c r="J201" s="32"/>
      <c r="K201" s="37"/>
    </row>
    <row r="202" spans="4:22" x14ac:dyDescent="0.25">
      <c r="D202" s="31"/>
      <c r="E202" s="31"/>
      <c r="F202" s="33"/>
      <c r="G202" s="34"/>
      <c r="H202" s="32"/>
      <c r="I202" s="32"/>
      <c r="J202" s="32"/>
      <c r="K202" s="37"/>
    </row>
    <row r="203" spans="4:22" x14ac:dyDescent="0.25">
      <c r="D203" s="31"/>
      <c r="E203" s="31"/>
      <c r="F203" s="33"/>
      <c r="G203" s="34"/>
      <c r="H203" s="32"/>
      <c r="I203" s="32"/>
      <c r="J203" s="32"/>
      <c r="K203" s="37"/>
    </row>
    <row r="204" spans="4:22" ht="15" customHeight="1" x14ac:dyDescent="0.25">
      <c r="K204" s="36"/>
    </row>
    <row r="205" spans="4:22" x14ac:dyDescent="0.25">
      <c r="K205" s="37"/>
    </row>
    <row r="206" spans="4:22" x14ac:dyDescent="0.25">
      <c r="K206" s="37"/>
    </row>
    <row r="207" spans="4:22" x14ac:dyDescent="0.25">
      <c r="D207" s="31"/>
      <c r="E207" s="31"/>
      <c r="F207" s="33"/>
      <c r="G207" s="34"/>
      <c r="H207" s="32"/>
      <c r="I207" s="32"/>
      <c r="J207" s="32"/>
      <c r="K207" s="37"/>
    </row>
    <row r="208" spans="4:22" x14ac:dyDescent="0.25">
      <c r="D208" s="31"/>
      <c r="E208" s="31"/>
      <c r="F208" s="33"/>
      <c r="G208" s="34"/>
      <c r="H208" s="32"/>
      <c r="I208" s="32"/>
      <c r="J208" s="32"/>
      <c r="K208" s="37"/>
    </row>
    <row r="209" spans="4:11" x14ac:dyDescent="0.25">
      <c r="D209" s="31"/>
      <c r="E209" s="31"/>
      <c r="F209" s="33"/>
      <c r="G209" s="34"/>
      <c r="H209" s="32"/>
      <c r="I209" s="32"/>
      <c r="J209" s="32"/>
      <c r="K209" s="37"/>
    </row>
    <row r="210" spans="4:11" ht="15" customHeight="1" x14ac:dyDescent="0.25">
      <c r="K210" s="36"/>
    </row>
    <row r="211" spans="4:11" x14ac:dyDescent="0.25">
      <c r="K211" s="37"/>
    </row>
    <row r="212" spans="4:11" x14ac:dyDescent="0.25">
      <c r="K212" s="37"/>
    </row>
    <row r="213" spans="4:11" x14ac:dyDescent="0.25">
      <c r="D213" s="31"/>
      <c r="E213" s="31"/>
      <c r="F213" s="33"/>
      <c r="G213" s="34"/>
      <c r="H213" s="32"/>
      <c r="I213" s="32"/>
      <c r="J213" s="32"/>
      <c r="K213" s="37"/>
    </row>
    <row r="214" spans="4:11" x14ac:dyDescent="0.25">
      <c r="D214" s="31"/>
      <c r="E214" s="31"/>
      <c r="F214" s="33"/>
      <c r="G214" s="34"/>
      <c r="H214" s="32"/>
      <c r="I214" s="32"/>
      <c r="J214" s="32"/>
      <c r="K214" s="37"/>
    </row>
    <row r="215" spans="4:11" x14ac:dyDescent="0.25">
      <c r="D215" s="31"/>
      <c r="E215" s="31"/>
      <c r="F215" s="33"/>
      <c r="G215" s="34"/>
      <c r="H215" s="32"/>
      <c r="I215" s="32"/>
      <c r="J215" s="32"/>
      <c r="K215" s="37"/>
    </row>
    <row r="216" spans="4:11" x14ac:dyDescent="0.25">
      <c r="K216" s="35"/>
    </row>
  </sheetData>
  <mergeCells count="4">
    <mergeCell ref="N3:AH11"/>
    <mergeCell ref="N188:V197"/>
    <mergeCell ref="N175:W184"/>
    <mergeCell ref="N27:AH36"/>
  </mergeCells>
  <pageMargins left="0.7" right="0.7" top="0.75" bottom="0.75" header="0.3" footer="0.3"/>
  <pageSetup paperSize="9" scale="22" orientation="portrait" horizontalDpi="4294967293" r:id="rId1"/>
  <drawing r:id="rId2"/>
  <legacyDrawing r:id="rId3"/>
  <oleObjects>
    <mc:AlternateContent xmlns:mc="http://schemas.openxmlformats.org/markup-compatibility/2006">
      <mc:Choice Requires="x14">
        <oleObject progId="ChemDraw.Document.6.0" shapeId="22531" r:id="rId4">
          <objectPr defaultSize="0" r:id="rId5">
            <anchor moveWithCells="1">
              <from>
                <xdr:col>3</xdr:col>
                <xdr:colOff>161925</xdr:colOff>
                <xdr:row>1</xdr:row>
                <xdr:rowOff>171450</xdr:rowOff>
              </from>
              <to>
                <xdr:col>11</xdr:col>
                <xdr:colOff>514350</xdr:colOff>
                <xdr:row>11</xdr:row>
                <xdr:rowOff>0</xdr:rowOff>
              </to>
            </anchor>
          </objectPr>
        </oleObject>
      </mc:Choice>
      <mc:Fallback>
        <oleObject progId="ChemDraw.Document.6.0" shapeId="22531" r:id="rId4"/>
      </mc:Fallback>
    </mc:AlternateContent>
    <mc:AlternateContent xmlns:mc="http://schemas.openxmlformats.org/markup-compatibility/2006">
      <mc:Choice Requires="x14">
        <oleObject progId="ChemDraw.Document.6.0" shapeId="22532" r:id="rId6">
          <objectPr defaultSize="0" r:id="rId7">
            <anchor moveWithCells="1">
              <from>
                <xdr:col>3</xdr:col>
                <xdr:colOff>200025</xdr:colOff>
                <xdr:row>26</xdr:row>
                <xdr:rowOff>66675</xdr:rowOff>
              </from>
              <to>
                <xdr:col>10</xdr:col>
                <xdr:colOff>714375</xdr:colOff>
                <xdr:row>35</xdr:row>
                <xdr:rowOff>38100</xdr:rowOff>
              </to>
            </anchor>
          </objectPr>
        </oleObject>
      </mc:Choice>
      <mc:Fallback>
        <oleObject progId="ChemDraw.Document.6.0" shapeId="22532" r:id="rId6"/>
      </mc:Fallback>
    </mc:AlternateContent>
    <mc:AlternateContent xmlns:mc="http://schemas.openxmlformats.org/markup-compatibility/2006">
      <mc:Choice Requires="x14">
        <oleObject progId="ChemDraw.Document.6.0" shapeId="22533" r:id="rId8">
          <objectPr defaultSize="0" autoPict="0" r:id="rId5">
            <anchor moveWithCells="1">
              <from>
                <xdr:col>13</xdr:col>
                <xdr:colOff>190500</xdr:colOff>
                <xdr:row>174</xdr:row>
                <xdr:rowOff>190500</xdr:rowOff>
              </from>
              <to>
                <xdr:col>21</xdr:col>
                <xdr:colOff>762000</xdr:colOff>
                <xdr:row>184</xdr:row>
                <xdr:rowOff>57150</xdr:rowOff>
              </to>
            </anchor>
          </objectPr>
        </oleObject>
      </mc:Choice>
      <mc:Fallback>
        <oleObject progId="ChemDraw.Document.6.0" shapeId="22533" r:id="rId8"/>
      </mc:Fallback>
    </mc:AlternateContent>
    <mc:AlternateContent xmlns:mc="http://schemas.openxmlformats.org/markup-compatibility/2006">
      <mc:Choice Requires="x14">
        <oleObject progId="ChemDraw.Document.6.0" shapeId="22534" r:id="rId9">
          <objectPr defaultSize="0" autoPict="0" r:id="rId7">
            <anchor moveWithCells="1">
              <from>
                <xdr:col>13</xdr:col>
                <xdr:colOff>438150</xdr:colOff>
                <xdr:row>187</xdr:row>
                <xdr:rowOff>85725</xdr:rowOff>
              </from>
              <to>
                <xdr:col>20</xdr:col>
                <xdr:colOff>666750</xdr:colOff>
                <xdr:row>196</xdr:row>
                <xdr:rowOff>85725</xdr:rowOff>
              </to>
            </anchor>
          </objectPr>
        </oleObject>
      </mc:Choice>
      <mc:Fallback>
        <oleObject progId="ChemDraw.Document.6.0" shapeId="22534" r:id="rId9"/>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J220"/>
  <sheetViews>
    <sheetView topLeftCell="A19" zoomScale="70" zoomScaleNormal="70" workbookViewId="0">
      <selection activeCell="D29" sqref="D29:M37"/>
    </sheetView>
  </sheetViews>
  <sheetFormatPr defaultColWidth="8.85546875" defaultRowHeight="15" x14ac:dyDescent="0.25"/>
  <cols>
    <col min="1" max="1" width="12" customWidth="1"/>
    <col min="2" max="2" width="1.7109375" customWidth="1"/>
    <col min="3" max="3" width="51.85546875" customWidth="1"/>
    <col min="4" max="4" width="10.140625" style="53" customWidth="1"/>
    <col min="5" max="5" width="16.42578125" style="53" bestFit="1" customWidth="1"/>
    <col min="6" max="6" width="12.85546875" style="53" customWidth="1"/>
    <col min="7" max="7" width="10.140625" bestFit="1" customWidth="1"/>
    <col min="8" max="8" width="13.28515625" customWidth="1"/>
    <col min="9" max="9" width="6.85546875" customWidth="1"/>
    <col min="10" max="10" width="11.42578125" bestFit="1" customWidth="1"/>
    <col min="11" max="11" width="17.85546875" bestFit="1" customWidth="1"/>
    <col min="12" max="12" width="9.7109375" customWidth="1"/>
    <col min="13" max="13" width="14.7109375" customWidth="1"/>
    <col min="14" max="14" width="11.140625" bestFit="1" customWidth="1"/>
    <col min="15" max="15" width="20.140625" bestFit="1" customWidth="1"/>
    <col min="16" max="16" width="11.42578125" customWidth="1"/>
    <col min="17" max="17" width="12.140625" bestFit="1" customWidth="1"/>
    <col min="18" max="18" width="10.140625" customWidth="1"/>
    <col min="19" max="19" width="10.28515625" bestFit="1" customWidth="1"/>
    <col min="20" max="20" width="12.28515625" customWidth="1"/>
    <col min="21" max="21" width="10.28515625" customWidth="1"/>
    <col min="22" max="22" width="12.140625" customWidth="1"/>
  </cols>
  <sheetData>
    <row r="1" spans="1:34" s="29" customFormat="1" ht="14.45" x14ac:dyDescent="0.3">
      <c r="A1" s="28" t="s">
        <v>107</v>
      </c>
      <c r="D1" s="30"/>
      <c r="E1" s="30"/>
      <c r="F1" s="30"/>
    </row>
    <row r="2" spans="1:34" x14ac:dyDescent="0.25">
      <c r="D2" s="191"/>
      <c r="E2" s="191"/>
      <c r="F2" s="191"/>
      <c r="G2" s="191"/>
      <c r="H2" s="191"/>
      <c r="I2" s="191"/>
      <c r="J2" s="191"/>
      <c r="K2" s="191"/>
      <c r="L2" s="191"/>
      <c r="M2" s="191"/>
    </row>
    <row r="3" spans="1:34" x14ac:dyDescent="0.25">
      <c r="C3" s="41" t="s">
        <v>185</v>
      </c>
      <c r="D3" s="191"/>
      <c r="E3" s="191"/>
      <c r="F3" s="191"/>
      <c r="G3" s="191"/>
      <c r="H3" s="191"/>
      <c r="I3" s="191"/>
      <c r="J3" s="191"/>
      <c r="K3" s="191"/>
      <c r="L3" s="191"/>
      <c r="M3" s="191"/>
    </row>
    <row r="4" spans="1:34" x14ac:dyDescent="0.25">
      <c r="C4" s="110" t="s">
        <v>70</v>
      </c>
      <c r="D4" s="191"/>
      <c r="E4" s="191"/>
      <c r="F4" s="191"/>
      <c r="G4" s="191"/>
      <c r="H4" s="191"/>
      <c r="I4" s="191"/>
      <c r="J4" s="191"/>
      <c r="K4" s="191"/>
      <c r="L4" s="191"/>
      <c r="M4" s="191"/>
      <c r="O4" s="190" t="s">
        <v>102</v>
      </c>
      <c r="P4" s="190"/>
      <c r="Q4" s="190"/>
      <c r="R4" s="190"/>
      <c r="S4" s="190"/>
      <c r="T4" s="190"/>
      <c r="U4" s="190"/>
      <c r="V4" s="190"/>
      <c r="W4" s="190"/>
      <c r="X4" s="190"/>
      <c r="Y4" s="190"/>
      <c r="Z4" s="190"/>
      <c r="AA4" s="190"/>
      <c r="AB4" s="190"/>
      <c r="AC4" s="190"/>
      <c r="AD4" s="190"/>
      <c r="AE4" s="190"/>
      <c r="AF4" s="190"/>
      <c r="AG4" s="190"/>
      <c r="AH4" s="190"/>
    </row>
    <row r="5" spans="1:34" x14ac:dyDescent="0.25">
      <c r="C5" s="52"/>
      <c r="D5" s="191"/>
      <c r="E5" s="191"/>
      <c r="F5" s="191"/>
      <c r="G5" s="191"/>
      <c r="H5" s="191"/>
      <c r="I5" s="191"/>
      <c r="J5" s="191"/>
      <c r="K5" s="191"/>
      <c r="L5" s="191"/>
      <c r="M5" s="191"/>
      <c r="O5" s="190"/>
      <c r="P5" s="190"/>
      <c r="Q5" s="190"/>
      <c r="R5" s="190"/>
      <c r="S5" s="190"/>
      <c r="T5" s="190"/>
      <c r="U5" s="190"/>
      <c r="V5" s="190"/>
      <c r="W5" s="190"/>
      <c r="X5" s="190"/>
      <c r="Y5" s="190"/>
      <c r="Z5" s="190"/>
      <c r="AA5" s="190"/>
      <c r="AB5" s="190"/>
      <c r="AC5" s="190"/>
      <c r="AD5" s="190"/>
      <c r="AE5" s="190"/>
      <c r="AF5" s="190"/>
      <c r="AG5" s="190"/>
      <c r="AH5" s="190"/>
    </row>
    <row r="6" spans="1:34" x14ac:dyDescent="0.25">
      <c r="C6" s="52"/>
      <c r="D6" s="191"/>
      <c r="E6" s="191"/>
      <c r="F6" s="191"/>
      <c r="G6" s="191"/>
      <c r="H6" s="191"/>
      <c r="I6" s="191"/>
      <c r="J6" s="191"/>
      <c r="K6" s="191"/>
      <c r="L6" s="191"/>
      <c r="M6" s="191"/>
      <c r="O6" s="190"/>
      <c r="P6" s="190"/>
      <c r="Q6" s="190"/>
      <c r="R6" s="190"/>
      <c r="S6" s="190"/>
      <c r="T6" s="190"/>
      <c r="U6" s="190"/>
      <c r="V6" s="190"/>
      <c r="W6" s="190"/>
      <c r="X6" s="190"/>
      <c r="Y6" s="190"/>
      <c r="Z6" s="190"/>
      <c r="AA6" s="190"/>
      <c r="AB6" s="190"/>
      <c r="AC6" s="190"/>
      <c r="AD6" s="190"/>
      <c r="AE6" s="190"/>
      <c r="AF6" s="190"/>
      <c r="AG6" s="190"/>
      <c r="AH6" s="190"/>
    </row>
    <row r="7" spans="1:34" x14ac:dyDescent="0.25">
      <c r="D7" s="191"/>
      <c r="E7" s="191"/>
      <c r="F7" s="191"/>
      <c r="G7" s="191"/>
      <c r="H7" s="191"/>
      <c r="I7" s="191"/>
      <c r="J7" s="191"/>
      <c r="K7" s="191"/>
      <c r="L7" s="191"/>
      <c r="M7" s="191"/>
      <c r="O7" s="190"/>
      <c r="P7" s="190"/>
      <c r="Q7" s="190"/>
      <c r="R7" s="190"/>
      <c r="S7" s="190"/>
      <c r="T7" s="190"/>
      <c r="U7" s="190"/>
      <c r="V7" s="190"/>
      <c r="W7" s="190"/>
      <c r="X7" s="190"/>
      <c r="Y7" s="190"/>
      <c r="Z7" s="190"/>
      <c r="AA7" s="190"/>
      <c r="AB7" s="190"/>
      <c r="AC7" s="190"/>
      <c r="AD7" s="190"/>
      <c r="AE7" s="190"/>
      <c r="AF7" s="190"/>
      <c r="AG7" s="190"/>
      <c r="AH7" s="190"/>
    </row>
    <row r="8" spans="1:34" x14ac:dyDescent="0.25">
      <c r="D8" s="191"/>
      <c r="E8" s="191"/>
      <c r="F8" s="191"/>
      <c r="G8" s="191"/>
      <c r="H8" s="191"/>
      <c r="I8" s="191"/>
      <c r="J8" s="191"/>
      <c r="K8" s="191"/>
      <c r="L8" s="191"/>
      <c r="M8" s="191"/>
      <c r="O8" s="190"/>
      <c r="P8" s="190"/>
      <c r="Q8" s="190"/>
      <c r="R8" s="190"/>
      <c r="S8" s="190"/>
      <c r="T8" s="190"/>
      <c r="U8" s="190"/>
      <c r="V8" s="190"/>
      <c r="W8" s="190"/>
      <c r="X8" s="190"/>
      <c r="Y8" s="190"/>
      <c r="Z8" s="190"/>
      <c r="AA8" s="190"/>
      <c r="AB8" s="190"/>
      <c r="AC8" s="190"/>
      <c r="AD8" s="190"/>
      <c r="AE8" s="190"/>
      <c r="AF8" s="190"/>
      <c r="AG8" s="190"/>
      <c r="AH8" s="190"/>
    </row>
    <row r="9" spans="1:34" x14ac:dyDescent="0.25">
      <c r="D9" s="191"/>
      <c r="E9" s="191"/>
      <c r="F9" s="191"/>
      <c r="G9" s="191"/>
      <c r="H9" s="191"/>
      <c r="I9" s="191"/>
      <c r="J9" s="191"/>
      <c r="K9" s="191"/>
      <c r="L9" s="191"/>
      <c r="M9" s="191"/>
      <c r="O9" s="190"/>
      <c r="P9" s="190"/>
      <c r="Q9" s="190"/>
      <c r="R9" s="190"/>
      <c r="S9" s="190"/>
      <c r="T9" s="190"/>
      <c r="U9" s="190"/>
      <c r="V9" s="190"/>
      <c r="W9" s="190"/>
      <c r="X9" s="190"/>
      <c r="Y9" s="190"/>
      <c r="Z9" s="190"/>
      <c r="AA9" s="190"/>
      <c r="AB9" s="190"/>
      <c r="AC9" s="190"/>
      <c r="AD9" s="190"/>
      <c r="AE9" s="190"/>
      <c r="AF9" s="190"/>
      <c r="AG9" s="190"/>
      <c r="AH9" s="190"/>
    </row>
    <row r="10" spans="1:34" x14ac:dyDescent="0.25">
      <c r="D10" s="191"/>
      <c r="E10" s="191"/>
      <c r="F10" s="191"/>
      <c r="G10" s="191"/>
      <c r="H10" s="191"/>
      <c r="I10" s="191"/>
      <c r="J10" s="191"/>
      <c r="K10" s="191"/>
      <c r="L10" s="191"/>
      <c r="M10" s="191"/>
      <c r="O10" s="190"/>
      <c r="P10" s="190"/>
      <c r="Q10" s="190"/>
      <c r="R10" s="190"/>
      <c r="S10" s="190"/>
      <c r="T10" s="190"/>
      <c r="U10" s="190"/>
      <c r="V10" s="190"/>
      <c r="W10" s="190"/>
      <c r="X10" s="190"/>
      <c r="Y10" s="190"/>
      <c r="Z10" s="190"/>
      <c r="AA10" s="190"/>
      <c r="AB10" s="190"/>
      <c r="AC10" s="190"/>
      <c r="AD10" s="190"/>
      <c r="AE10" s="190"/>
      <c r="AF10" s="190"/>
      <c r="AG10" s="190"/>
      <c r="AH10" s="190"/>
    </row>
    <row r="11" spans="1:34" x14ac:dyDescent="0.25">
      <c r="D11" s="191"/>
      <c r="E11" s="191"/>
      <c r="F11" s="191"/>
      <c r="G11" s="191"/>
      <c r="H11" s="191"/>
      <c r="I11" s="191"/>
      <c r="J11" s="191"/>
      <c r="K11" s="191"/>
      <c r="L11" s="191"/>
      <c r="M11" s="191"/>
      <c r="O11" s="190"/>
      <c r="P11" s="190"/>
      <c r="Q11" s="190"/>
      <c r="R11" s="190"/>
      <c r="S11" s="190"/>
      <c r="T11" s="190"/>
      <c r="U11" s="190"/>
      <c r="V11" s="190"/>
      <c r="W11" s="190"/>
      <c r="X11" s="190"/>
      <c r="Y11" s="190"/>
      <c r="Z11" s="190"/>
      <c r="AA11" s="190"/>
      <c r="AB11" s="190"/>
      <c r="AC11" s="190"/>
      <c r="AD11" s="190"/>
      <c r="AE11" s="190"/>
      <c r="AF11" s="190"/>
      <c r="AG11" s="190"/>
      <c r="AH11" s="190"/>
    </row>
    <row r="12" spans="1:34" x14ac:dyDescent="0.25">
      <c r="D12" s="191"/>
      <c r="E12" s="191"/>
      <c r="F12" s="191"/>
      <c r="G12" s="191"/>
      <c r="H12" s="191"/>
      <c r="I12" s="191"/>
      <c r="J12" s="191"/>
      <c r="K12" s="191"/>
      <c r="L12" s="191"/>
      <c r="M12" s="191"/>
      <c r="O12" s="190"/>
      <c r="P12" s="190"/>
      <c r="Q12" s="190"/>
      <c r="R12" s="190"/>
      <c r="S12" s="190"/>
      <c r="T12" s="190"/>
      <c r="U12" s="190"/>
      <c r="V12" s="190"/>
      <c r="W12" s="190"/>
      <c r="X12" s="190"/>
      <c r="Y12" s="190"/>
      <c r="Z12" s="190"/>
      <c r="AA12" s="190"/>
      <c r="AB12" s="190"/>
      <c r="AC12" s="190"/>
      <c r="AD12" s="190"/>
      <c r="AE12" s="190"/>
      <c r="AF12" s="190"/>
      <c r="AG12" s="190"/>
      <c r="AH12" s="190"/>
    </row>
    <row r="13" spans="1:34" ht="14.45" x14ac:dyDescent="0.3">
      <c r="C13" s="6" t="s">
        <v>26</v>
      </c>
      <c r="D13" s="63"/>
      <c r="E13" s="64"/>
      <c r="F13" s="64"/>
      <c r="G13" s="6"/>
      <c r="H13" s="6"/>
      <c r="I13" s="6"/>
      <c r="J13" s="6"/>
      <c r="K13" s="6"/>
    </row>
    <row r="14" spans="1:34" ht="30.6" x14ac:dyDescent="0.3">
      <c r="C14" s="17" t="s">
        <v>14</v>
      </c>
      <c r="D14" s="20" t="s">
        <v>21</v>
      </c>
      <c r="E14" s="20" t="s">
        <v>94</v>
      </c>
      <c r="F14" s="17" t="s">
        <v>13</v>
      </c>
      <c r="G14" s="17" t="s">
        <v>15</v>
      </c>
      <c r="H14" s="18" t="s">
        <v>1</v>
      </c>
      <c r="I14" s="19" t="s">
        <v>25</v>
      </c>
      <c r="J14" s="17" t="s">
        <v>2</v>
      </c>
      <c r="K14" s="20" t="s">
        <v>94</v>
      </c>
      <c r="L14" s="20" t="s">
        <v>22</v>
      </c>
      <c r="M14" s="19" t="s">
        <v>8</v>
      </c>
      <c r="N14" s="19" t="s">
        <v>16</v>
      </c>
      <c r="O14" s="19" t="s">
        <v>17</v>
      </c>
      <c r="P14" s="19" t="s">
        <v>18</v>
      </c>
      <c r="Q14" s="20" t="s">
        <v>10</v>
      </c>
      <c r="R14" s="20" t="s">
        <v>23</v>
      </c>
      <c r="S14" s="19" t="s">
        <v>9</v>
      </c>
      <c r="T14" s="19" t="s">
        <v>19</v>
      </c>
      <c r="U14" s="19" t="s">
        <v>20</v>
      </c>
      <c r="V14" s="19" t="s">
        <v>24</v>
      </c>
    </row>
    <row r="15" spans="1:34" ht="34.5" customHeight="1" x14ac:dyDescent="0.3">
      <c r="C15" s="171" t="s">
        <v>144</v>
      </c>
      <c r="D15" s="56">
        <v>106.46</v>
      </c>
      <c r="E15" s="8">
        <v>318.42</v>
      </c>
      <c r="F15" s="8">
        <v>1</v>
      </c>
      <c r="G15" s="11">
        <f>D15/E15</f>
        <v>0.33433829533320769</v>
      </c>
      <c r="H15" s="7"/>
      <c r="I15" s="7"/>
      <c r="J15" s="8" t="s">
        <v>45</v>
      </c>
      <c r="K15" s="8">
        <v>40</v>
      </c>
      <c r="L15" s="46">
        <v>22.5</v>
      </c>
      <c r="M15" s="67" t="s">
        <v>64</v>
      </c>
      <c r="N15" s="45">
        <v>650</v>
      </c>
      <c r="O15" s="1">
        <v>0.872</v>
      </c>
      <c r="P15" s="11">
        <f>N15*O15</f>
        <v>566.79999999999995</v>
      </c>
      <c r="Q15" s="8"/>
      <c r="R15" s="8"/>
      <c r="S15" s="7"/>
      <c r="T15" s="7"/>
      <c r="U15" s="7"/>
      <c r="V15" s="11">
        <f>T15*U15</f>
        <v>0</v>
      </c>
    </row>
    <row r="16" spans="1:34" ht="14.45" x14ac:dyDescent="0.3">
      <c r="C16" s="175" t="s">
        <v>145</v>
      </c>
      <c r="D16" s="8">
        <v>88</v>
      </c>
      <c r="E16" s="8">
        <v>279.25</v>
      </c>
      <c r="F16" s="8">
        <f>G16/G15</f>
        <v>0.94254776193781453</v>
      </c>
      <c r="G16" s="161">
        <f>D16/E16</f>
        <v>0.31512981199641898</v>
      </c>
      <c r="H16" s="1"/>
      <c r="I16" s="1"/>
      <c r="J16" s="25" t="s">
        <v>65</v>
      </c>
      <c r="K16" s="26">
        <v>135.13</v>
      </c>
      <c r="L16" s="46">
        <v>40.54</v>
      </c>
      <c r="M16" s="42" t="s">
        <v>27</v>
      </c>
      <c r="N16" s="2">
        <f>530+200+50+100</f>
        <v>880</v>
      </c>
      <c r="O16" s="1">
        <v>0.88300000000000001</v>
      </c>
      <c r="P16" s="11">
        <f>N16*O16</f>
        <v>777.04</v>
      </c>
      <c r="Q16" s="8"/>
      <c r="R16" s="8"/>
      <c r="S16" s="7"/>
      <c r="T16" s="7"/>
      <c r="U16" s="7"/>
      <c r="V16" s="11">
        <f t="shared" ref="V16" si="0">T16*U16</f>
        <v>0</v>
      </c>
    </row>
    <row r="17" spans="3:36" ht="14.45" x14ac:dyDescent="0.3">
      <c r="C17" s="69"/>
      <c r="D17" s="8"/>
      <c r="E17" s="8"/>
      <c r="F17" s="8"/>
      <c r="G17" s="23"/>
      <c r="H17" s="1"/>
      <c r="I17" s="1"/>
      <c r="J17" s="25" t="s">
        <v>66</v>
      </c>
      <c r="K17" s="26">
        <v>206.33</v>
      </c>
      <c r="L17" s="46">
        <f>0.303*K17</f>
        <v>62.517990000000005</v>
      </c>
      <c r="M17" s="42" t="s">
        <v>96</v>
      </c>
      <c r="N17" s="2">
        <v>450</v>
      </c>
      <c r="O17" s="1">
        <v>1</v>
      </c>
      <c r="P17" s="11">
        <f>N17*O17</f>
        <v>450</v>
      </c>
      <c r="Q17" s="8"/>
      <c r="R17" s="8"/>
      <c r="S17" s="7"/>
      <c r="T17" s="7"/>
      <c r="U17" s="7"/>
      <c r="V17" s="11"/>
    </row>
    <row r="18" spans="3:36" ht="14.45" x14ac:dyDescent="0.3">
      <c r="C18" s="10" t="s">
        <v>4</v>
      </c>
      <c r="D18" s="11">
        <f>SUM(D15:D16)</f>
        <v>194.45999999999998</v>
      </c>
      <c r="E18" s="11">
        <f>SUM(E15:E16)</f>
        <v>597.67000000000007</v>
      </c>
      <c r="F18" s="10"/>
      <c r="G18" s="165">
        <f>SUM(G15:G16)</f>
        <v>0.64946810732962668</v>
      </c>
      <c r="I18" s="23">
        <f>SUM(I15:I16)</f>
        <v>0</v>
      </c>
      <c r="L18" s="47">
        <f>SUM(L15:L17)</f>
        <v>125.55799</v>
      </c>
      <c r="N18" s="89">
        <f>SUM(N15:N17)</f>
        <v>1980</v>
      </c>
      <c r="P18" s="23">
        <f>SUM(P15:P17)</f>
        <v>1793.84</v>
      </c>
      <c r="R18" s="23">
        <f>SUM(R15:R16)</f>
        <v>0</v>
      </c>
      <c r="V18" s="23">
        <f>SUM(V15:V16)</f>
        <v>0</v>
      </c>
    </row>
    <row r="19" spans="3:36" ht="14.45" x14ac:dyDescent="0.3">
      <c r="C19" s="4"/>
      <c r="D19" s="3"/>
      <c r="E19" s="3"/>
      <c r="F19" s="3"/>
      <c r="G19" s="4"/>
      <c r="H19" s="4"/>
      <c r="I19" s="4"/>
      <c r="M19" s="49"/>
      <c r="N19" s="4"/>
      <c r="O19" s="4"/>
      <c r="P19" s="4"/>
      <c r="Q19" s="4"/>
      <c r="R19" s="4"/>
      <c r="S19" s="4"/>
      <c r="T19" s="4"/>
      <c r="U19" s="4"/>
      <c r="V19" s="4"/>
    </row>
    <row r="20" spans="3:36" ht="14.45" x14ac:dyDescent="0.3">
      <c r="C20" s="4"/>
      <c r="D20" s="3"/>
      <c r="E20" s="3"/>
      <c r="F20" s="3"/>
      <c r="G20" s="4"/>
      <c r="H20" s="4"/>
      <c r="K20" s="162" t="s">
        <v>133</v>
      </c>
      <c r="L20" s="96">
        <f>(T22/G15)*100</f>
        <v>77.398367887621831</v>
      </c>
      <c r="M20" s="49"/>
      <c r="O20" s="4"/>
      <c r="P20" s="4"/>
      <c r="Q20" s="4"/>
      <c r="R20" s="4"/>
      <c r="S20" s="4"/>
    </row>
    <row r="21" spans="3:36" ht="14.45" x14ac:dyDescent="0.3">
      <c r="C21" s="4"/>
      <c r="D21" s="3"/>
      <c r="E21" s="3"/>
      <c r="F21" s="3"/>
      <c r="G21" s="4"/>
      <c r="H21" s="4"/>
      <c r="K21" s="159" t="s">
        <v>134</v>
      </c>
      <c r="L21" s="97">
        <f>(S22/(E18)*100)</f>
        <v>96.986631418675842</v>
      </c>
      <c r="M21" s="49"/>
      <c r="R21" s="5" t="s">
        <v>11</v>
      </c>
      <c r="S21" s="5" t="s">
        <v>12</v>
      </c>
      <c r="T21" s="5" t="s">
        <v>0</v>
      </c>
    </row>
    <row r="22" spans="3:36" ht="14.45" x14ac:dyDescent="0.3">
      <c r="C22" s="4"/>
      <c r="D22" s="3"/>
      <c r="E22" s="3"/>
      <c r="F22" s="3"/>
      <c r="G22" s="4"/>
      <c r="H22" s="4"/>
      <c r="K22" s="162" t="s">
        <v>135</v>
      </c>
      <c r="L22" s="96">
        <f>(R22/D18)*100</f>
        <v>77.136686207960508</v>
      </c>
      <c r="P22" s="4"/>
      <c r="Q22" s="5" t="s">
        <v>3</v>
      </c>
      <c r="R22" s="9">
        <v>150</v>
      </c>
      <c r="S22" s="9">
        <v>579.66</v>
      </c>
      <c r="T22" s="22">
        <f>R22/S22</f>
        <v>0.25877238381119966</v>
      </c>
    </row>
    <row r="23" spans="3:36" ht="16.149999999999999" x14ac:dyDescent="0.3">
      <c r="C23" s="4"/>
      <c r="D23" s="3"/>
      <c r="E23" s="3"/>
      <c r="F23" s="3"/>
      <c r="G23" s="4"/>
      <c r="H23" s="4"/>
      <c r="K23" s="159" t="s">
        <v>136</v>
      </c>
      <c r="L23" s="13">
        <f>(D18+I18+L18+P18+R18+V18)/R22</f>
        <v>14.092386599999999</v>
      </c>
      <c r="O23" s="4"/>
      <c r="P23" s="4"/>
      <c r="S23" s="63"/>
      <c r="T23" s="3"/>
    </row>
    <row r="24" spans="3:36" ht="16.149999999999999" x14ac:dyDescent="0.3">
      <c r="C24" s="4"/>
      <c r="D24" s="3"/>
      <c r="E24" s="3"/>
      <c r="F24" s="3"/>
      <c r="G24" s="4"/>
      <c r="H24" s="4"/>
      <c r="I24" s="4"/>
      <c r="K24" s="163" t="s">
        <v>137</v>
      </c>
      <c r="L24" s="15">
        <f>(D18+I18+L18)/R22</f>
        <v>2.1334532666666668</v>
      </c>
      <c r="N24" s="163" t="s">
        <v>139</v>
      </c>
      <c r="O24" s="93">
        <f>G15/N18*1000</f>
        <v>0.16885772491576145</v>
      </c>
      <c r="P24" s="4"/>
      <c r="S24" s="4"/>
    </row>
    <row r="25" spans="3:36" ht="16.149999999999999" x14ac:dyDescent="0.3">
      <c r="C25" s="4"/>
      <c r="D25" s="3"/>
      <c r="E25" s="3"/>
      <c r="F25" s="3"/>
      <c r="G25" s="4"/>
      <c r="H25" s="4"/>
      <c r="I25" s="4"/>
      <c r="K25" s="164" t="s">
        <v>138</v>
      </c>
      <c r="L25" s="16">
        <f>(P18+V18)/R22</f>
        <v>11.958933333333333</v>
      </c>
      <c r="M25" s="4"/>
      <c r="N25" s="4"/>
      <c r="O25" s="4"/>
      <c r="P25" s="4"/>
      <c r="U25" s="4"/>
      <c r="V25" s="4"/>
    </row>
    <row r="26" spans="3:36" ht="14.45" x14ac:dyDescent="0.3">
      <c r="C26" s="6"/>
      <c r="D26"/>
      <c r="E26" s="3"/>
      <c r="F26" s="3"/>
      <c r="G26" s="4"/>
      <c r="H26" s="4"/>
      <c r="I26" s="4"/>
      <c r="P26" s="4"/>
      <c r="Q26" s="4"/>
      <c r="R26" s="4"/>
      <c r="S26" s="4"/>
      <c r="T26" s="4"/>
      <c r="U26" s="4"/>
      <c r="V26" s="4"/>
    </row>
    <row r="29" spans="3:36" ht="15" customHeight="1" x14ac:dyDescent="0.25">
      <c r="C29" s="41" t="s">
        <v>186</v>
      </c>
      <c r="D29" s="191"/>
      <c r="E29" s="191"/>
      <c r="F29" s="191"/>
      <c r="G29" s="191"/>
      <c r="H29" s="191"/>
      <c r="I29" s="191"/>
      <c r="J29" s="191"/>
      <c r="K29" s="191"/>
      <c r="L29" s="191"/>
      <c r="M29" s="191"/>
      <c r="O29" s="190" t="s">
        <v>143</v>
      </c>
      <c r="P29" s="190"/>
      <c r="Q29" s="190"/>
      <c r="R29" s="190"/>
      <c r="S29" s="190"/>
      <c r="T29" s="190"/>
      <c r="U29" s="190"/>
      <c r="V29" s="190"/>
      <c r="W29" s="190"/>
      <c r="X29" s="190"/>
      <c r="Y29" s="190"/>
      <c r="Z29" s="190"/>
      <c r="AA29" s="190"/>
      <c r="AB29" s="190"/>
      <c r="AC29" s="190"/>
      <c r="AD29" s="190"/>
      <c r="AE29" s="190"/>
      <c r="AF29" s="125"/>
      <c r="AG29" s="125"/>
      <c r="AH29" s="125"/>
      <c r="AI29" s="125"/>
      <c r="AJ29" s="125"/>
    </row>
    <row r="30" spans="3:36" x14ac:dyDescent="0.25">
      <c r="C30" s="110" t="s">
        <v>71</v>
      </c>
      <c r="D30" s="191"/>
      <c r="E30" s="191"/>
      <c r="F30" s="191"/>
      <c r="G30" s="191"/>
      <c r="H30" s="191"/>
      <c r="I30" s="191"/>
      <c r="J30" s="191"/>
      <c r="K30" s="191"/>
      <c r="L30" s="191"/>
      <c r="M30" s="191"/>
      <c r="O30" s="190"/>
      <c r="P30" s="190"/>
      <c r="Q30" s="190"/>
      <c r="R30" s="190"/>
      <c r="S30" s="190"/>
      <c r="T30" s="190"/>
      <c r="U30" s="190"/>
      <c r="V30" s="190"/>
      <c r="W30" s="190"/>
      <c r="X30" s="190"/>
      <c r="Y30" s="190"/>
      <c r="Z30" s="190"/>
      <c r="AA30" s="190"/>
      <c r="AB30" s="190"/>
      <c r="AC30" s="190"/>
      <c r="AD30" s="190"/>
      <c r="AE30" s="190"/>
      <c r="AF30" s="125"/>
      <c r="AG30" s="125"/>
      <c r="AH30" s="125"/>
      <c r="AI30" s="125"/>
      <c r="AJ30" s="125"/>
    </row>
    <row r="31" spans="3:36" x14ac:dyDescent="0.25">
      <c r="C31" s="52"/>
      <c r="D31" s="191"/>
      <c r="E31" s="191"/>
      <c r="F31" s="191"/>
      <c r="G31" s="191"/>
      <c r="H31" s="191"/>
      <c r="I31" s="191"/>
      <c r="J31" s="191"/>
      <c r="K31" s="191"/>
      <c r="L31" s="191"/>
      <c r="M31" s="191"/>
      <c r="O31" s="190"/>
      <c r="P31" s="190"/>
      <c r="Q31" s="190"/>
      <c r="R31" s="190"/>
      <c r="S31" s="190"/>
      <c r="T31" s="190"/>
      <c r="U31" s="190"/>
      <c r="V31" s="190"/>
      <c r="W31" s="190"/>
      <c r="X31" s="190"/>
      <c r="Y31" s="190"/>
      <c r="Z31" s="190"/>
      <c r="AA31" s="190"/>
      <c r="AB31" s="190"/>
      <c r="AC31" s="190"/>
      <c r="AD31" s="190"/>
      <c r="AE31" s="190"/>
      <c r="AF31" s="125"/>
      <c r="AG31" s="125"/>
      <c r="AH31" s="125"/>
      <c r="AI31" s="125"/>
      <c r="AJ31" s="125"/>
    </row>
    <row r="32" spans="3:36" x14ac:dyDescent="0.25">
      <c r="D32" s="191"/>
      <c r="E32" s="191"/>
      <c r="F32" s="191"/>
      <c r="G32" s="191"/>
      <c r="H32" s="191"/>
      <c r="I32" s="191"/>
      <c r="J32" s="191"/>
      <c r="K32" s="191"/>
      <c r="L32" s="191"/>
      <c r="M32" s="191"/>
      <c r="O32" s="190"/>
      <c r="P32" s="190"/>
      <c r="Q32" s="190"/>
      <c r="R32" s="190"/>
      <c r="S32" s="190"/>
      <c r="T32" s="190"/>
      <c r="U32" s="190"/>
      <c r="V32" s="190"/>
      <c r="W32" s="190"/>
      <c r="X32" s="190"/>
      <c r="Y32" s="190"/>
      <c r="Z32" s="190"/>
      <c r="AA32" s="190"/>
      <c r="AB32" s="190"/>
      <c r="AC32" s="190"/>
      <c r="AD32" s="190"/>
      <c r="AE32" s="190"/>
      <c r="AF32" s="125"/>
      <c r="AG32" s="125"/>
      <c r="AH32" s="125"/>
      <c r="AI32" s="125"/>
      <c r="AJ32" s="125"/>
    </row>
    <row r="33" spans="3:36" x14ac:dyDescent="0.25">
      <c r="D33" s="191"/>
      <c r="E33" s="191"/>
      <c r="F33" s="191"/>
      <c r="G33" s="191"/>
      <c r="H33" s="191"/>
      <c r="I33" s="191"/>
      <c r="J33" s="191"/>
      <c r="K33" s="191"/>
      <c r="L33" s="191"/>
      <c r="M33" s="191"/>
      <c r="O33" s="190"/>
      <c r="P33" s="190"/>
      <c r="Q33" s="190"/>
      <c r="R33" s="190"/>
      <c r="S33" s="190"/>
      <c r="T33" s="190"/>
      <c r="U33" s="190"/>
      <c r="V33" s="190"/>
      <c r="W33" s="190"/>
      <c r="X33" s="190"/>
      <c r="Y33" s="190"/>
      <c r="Z33" s="190"/>
      <c r="AA33" s="190"/>
      <c r="AB33" s="190"/>
      <c r="AC33" s="190"/>
      <c r="AD33" s="190"/>
      <c r="AE33" s="190"/>
      <c r="AF33" s="125"/>
      <c r="AG33" s="125"/>
      <c r="AH33" s="125"/>
      <c r="AI33" s="125"/>
      <c r="AJ33" s="125"/>
    </row>
    <row r="34" spans="3:36" x14ac:dyDescent="0.25">
      <c r="D34" s="191"/>
      <c r="E34" s="191"/>
      <c r="F34" s="191"/>
      <c r="G34" s="191"/>
      <c r="H34" s="191"/>
      <c r="I34" s="191"/>
      <c r="J34" s="191"/>
      <c r="K34" s="191"/>
      <c r="L34" s="191"/>
      <c r="M34" s="191"/>
      <c r="O34" s="190"/>
      <c r="P34" s="190"/>
      <c r="Q34" s="190"/>
      <c r="R34" s="190"/>
      <c r="S34" s="190"/>
      <c r="T34" s="190"/>
      <c r="U34" s="190"/>
      <c r="V34" s="190"/>
      <c r="W34" s="190"/>
      <c r="X34" s="190"/>
      <c r="Y34" s="190"/>
      <c r="Z34" s="190"/>
      <c r="AA34" s="190"/>
      <c r="AB34" s="190"/>
      <c r="AC34" s="190"/>
      <c r="AD34" s="190"/>
      <c r="AE34" s="190"/>
      <c r="AF34" s="125"/>
      <c r="AG34" s="125"/>
      <c r="AH34" s="125"/>
      <c r="AI34" s="125"/>
      <c r="AJ34" s="125"/>
    </row>
    <row r="35" spans="3:36" x14ac:dyDescent="0.25">
      <c r="D35" s="191"/>
      <c r="E35" s="191"/>
      <c r="F35" s="191"/>
      <c r="G35" s="191"/>
      <c r="H35" s="191"/>
      <c r="I35" s="191"/>
      <c r="J35" s="191"/>
      <c r="K35" s="191"/>
      <c r="L35" s="191"/>
      <c r="M35" s="191"/>
      <c r="O35" s="190"/>
      <c r="P35" s="190"/>
      <c r="Q35" s="190"/>
      <c r="R35" s="190"/>
      <c r="S35" s="190"/>
      <c r="T35" s="190"/>
      <c r="U35" s="190"/>
      <c r="V35" s="190"/>
      <c r="W35" s="190"/>
      <c r="X35" s="190"/>
      <c r="Y35" s="190"/>
      <c r="Z35" s="190"/>
      <c r="AA35" s="190"/>
      <c r="AB35" s="190"/>
      <c r="AC35" s="190"/>
      <c r="AD35" s="190"/>
      <c r="AE35" s="190"/>
      <c r="AF35" s="125"/>
      <c r="AG35" s="125"/>
      <c r="AH35" s="125"/>
      <c r="AI35" s="125"/>
      <c r="AJ35" s="125"/>
    </row>
    <row r="36" spans="3:36" x14ac:dyDescent="0.25">
      <c r="D36" s="191"/>
      <c r="E36" s="191"/>
      <c r="F36" s="191"/>
      <c r="G36" s="191"/>
      <c r="H36" s="191"/>
      <c r="I36" s="191"/>
      <c r="J36" s="191"/>
      <c r="K36" s="191"/>
      <c r="L36" s="191"/>
      <c r="M36" s="191"/>
      <c r="O36" s="190"/>
      <c r="P36" s="190"/>
      <c r="Q36" s="190"/>
      <c r="R36" s="190"/>
      <c r="S36" s="190"/>
      <c r="T36" s="190"/>
      <c r="U36" s="190"/>
      <c r="V36" s="190"/>
      <c r="W36" s="190"/>
      <c r="X36" s="190"/>
      <c r="Y36" s="190"/>
      <c r="Z36" s="190"/>
      <c r="AA36" s="190"/>
      <c r="AB36" s="190"/>
      <c r="AC36" s="190"/>
      <c r="AD36" s="190"/>
      <c r="AE36" s="190"/>
      <c r="AF36" s="125"/>
      <c r="AG36" s="125"/>
      <c r="AH36" s="125"/>
      <c r="AI36" s="125"/>
      <c r="AJ36" s="125"/>
    </row>
    <row r="37" spans="3:36" x14ac:dyDescent="0.25">
      <c r="D37" s="191"/>
      <c r="E37" s="191"/>
      <c r="F37" s="191"/>
      <c r="G37" s="191"/>
      <c r="H37" s="191"/>
      <c r="I37" s="191"/>
      <c r="J37" s="191"/>
      <c r="K37" s="191"/>
      <c r="L37" s="191"/>
      <c r="M37" s="191"/>
      <c r="O37" s="190"/>
      <c r="P37" s="190"/>
      <c r="Q37" s="190"/>
      <c r="R37" s="190"/>
      <c r="S37" s="190"/>
      <c r="T37" s="190"/>
      <c r="U37" s="190"/>
      <c r="V37" s="190"/>
      <c r="W37" s="190"/>
      <c r="X37" s="190"/>
      <c r="Y37" s="190"/>
      <c r="Z37" s="190"/>
      <c r="AA37" s="190"/>
      <c r="AB37" s="190"/>
      <c r="AC37" s="190"/>
      <c r="AD37" s="190"/>
      <c r="AE37" s="190"/>
      <c r="AF37" s="125"/>
      <c r="AG37" s="125"/>
      <c r="AH37" s="125"/>
      <c r="AI37" s="125"/>
      <c r="AJ37" s="125"/>
    </row>
    <row r="38" spans="3:36" ht="14.45" x14ac:dyDescent="0.3">
      <c r="E38" s="41"/>
      <c r="F38" s="41"/>
      <c r="G38" s="40"/>
      <c r="K38" s="64"/>
    </row>
    <row r="39" spans="3:36" ht="14.45" x14ac:dyDescent="0.3">
      <c r="C39" s="6" t="s">
        <v>26</v>
      </c>
      <c r="D39" s="63"/>
      <c r="E39" s="63"/>
      <c r="F39" s="63"/>
    </row>
    <row r="40" spans="3:36" ht="30.6" x14ac:dyDescent="0.3">
      <c r="C40" s="17" t="s">
        <v>14</v>
      </c>
      <c r="D40" s="20" t="s">
        <v>21</v>
      </c>
      <c r="E40" s="20" t="s">
        <v>94</v>
      </c>
      <c r="F40" s="17" t="s">
        <v>13</v>
      </c>
      <c r="G40" s="17" t="s">
        <v>15</v>
      </c>
      <c r="H40" s="18" t="s">
        <v>1</v>
      </c>
      <c r="I40" s="19" t="s">
        <v>25</v>
      </c>
      <c r="J40" s="17" t="s">
        <v>2</v>
      </c>
      <c r="K40" s="20" t="s">
        <v>94</v>
      </c>
      <c r="L40" s="20" t="s">
        <v>22</v>
      </c>
      <c r="M40" s="19" t="s">
        <v>8</v>
      </c>
      <c r="N40" s="19" t="s">
        <v>16</v>
      </c>
      <c r="O40" s="19" t="s">
        <v>17</v>
      </c>
      <c r="P40" s="19" t="s">
        <v>18</v>
      </c>
      <c r="Q40" s="20" t="s">
        <v>10</v>
      </c>
      <c r="R40" s="20" t="s">
        <v>23</v>
      </c>
      <c r="S40" s="19" t="s">
        <v>9</v>
      </c>
      <c r="T40" s="19" t="s">
        <v>19</v>
      </c>
      <c r="U40" s="19" t="s">
        <v>20</v>
      </c>
      <c r="V40" s="19" t="s">
        <v>24</v>
      </c>
      <c r="Y40" t="s">
        <v>67</v>
      </c>
    </row>
    <row r="41" spans="3:36" ht="14.45" x14ac:dyDescent="0.3">
      <c r="C41" s="173" t="s">
        <v>146</v>
      </c>
      <c r="D41" s="8">
        <f>G41*E41</f>
        <v>276.24</v>
      </c>
      <c r="E41" s="8">
        <v>138.12</v>
      </c>
      <c r="F41" s="8">
        <v>1</v>
      </c>
      <c r="G41" s="11">
        <v>2</v>
      </c>
      <c r="H41" s="7"/>
      <c r="I41" s="7"/>
      <c r="J41" s="8" t="s">
        <v>66</v>
      </c>
      <c r="K41" s="8">
        <v>206.33</v>
      </c>
      <c r="L41" s="46">
        <f>438</f>
        <v>438</v>
      </c>
      <c r="M41" s="42" t="s">
        <v>40</v>
      </c>
      <c r="N41" s="44">
        <v>2400</v>
      </c>
      <c r="O41" s="42">
        <v>0.89500000000000002</v>
      </c>
      <c r="P41" s="11">
        <f>N41*O41</f>
        <v>2148</v>
      </c>
      <c r="Q41" s="8"/>
      <c r="R41" s="8"/>
      <c r="S41" s="7"/>
      <c r="T41" s="7"/>
      <c r="U41" s="7"/>
      <c r="V41" s="11">
        <f>T41*U41</f>
        <v>0</v>
      </c>
      <c r="Y41" s="52" t="s">
        <v>68</v>
      </c>
      <c r="Z41" s="70">
        <v>0.90200000000000002</v>
      </c>
    </row>
    <row r="42" spans="3:36" ht="14.45" x14ac:dyDescent="0.3">
      <c r="C42" s="160" t="s">
        <v>147</v>
      </c>
      <c r="D42" s="8">
        <f>$Z$42*$Z$41</f>
        <v>203.852</v>
      </c>
      <c r="E42" s="8">
        <v>100.17</v>
      </c>
      <c r="F42" s="8">
        <f>G42/G41</f>
        <v>1.0175301986622742</v>
      </c>
      <c r="G42" s="11">
        <f>D42/E42</f>
        <v>2.0350603973245485</v>
      </c>
      <c r="H42" s="1"/>
      <c r="I42" s="1"/>
      <c r="J42" s="25"/>
      <c r="K42" s="26"/>
      <c r="L42" s="46"/>
      <c r="M42" s="42"/>
      <c r="N42" s="45"/>
      <c r="O42" s="1"/>
      <c r="P42" s="11"/>
      <c r="Q42" s="8"/>
      <c r="R42" s="8"/>
      <c r="S42" s="7"/>
      <c r="T42" s="7"/>
      <c r="U42" s="7"/>
      <c r="V42" s="11">
        <f t="shared" ref="V42:V43" si="1">T42*U42</f>
        <v>0</v>
      </c>
      <c r="Y42" s="52" t="s">
        <v>69</v>
      </c>
      <c r="Z42" s="70">
        <v>226</v>
      </c>
    </row>
    <row r="43" spans="3:36" ht="14.45" x14ac:dyDescent="0.3">
      <c r="C43" s="8"/>
      <c r="D43" s="8"/>
      <c r="E43" s="8"/>
      <c r="F43" s="8"/>
      <c r="G43" s="10"/>
      <c r="H43" s="1"/>
      <c r="I43" s="1"/>
      <c r="J43" s="25"/>
      <c r="K43" s="26"/>
      <c r="L43" s="46"/>
      <c r="M43" s="42"/>
      <c r="N43" s="45"/>
      <c r="O43" s="1"/>
      <c r="P43" s="11"/>
      <c r="Q43" s="8"/>
      <c r="R43" s="8"/>
      <c r="S43" s="7"/>
      <c r="T43" s="7"/>
      <c r="U43" s="7"/>
      <c r="V43" s="11">
        <f t="shared" si="1"/>
        <v>0</v>
      </c>
    </row>
    <row r="44" spans="3:36" ht="14.45" x14ac:dyDescent="0.3">
      <c r="C44" s="10" t="s">
        <v>4</v>
      </c>
      <c r="D44" s="11">
        <f>SUM(D41:D42)</f>
        <v>480.09199999999998</v>
      </c>
      <c r="E44" s="11">
        <f>SUM(E41:E42)</f>
        <v>238.29000000000002</v>
      </c>
      <c r="F44" s="10"/>
      <c r="G44" s="23">
        <f>SUM(G41:G43)</f>
        <v>4.035060397324548</v>
      </c>
      <c r="I44" s="23">
        <f>SUM(I41:I42)</f>
        <v>0</v>
      </c>
      <c r="L44" s="47">
        <f>SUM(L41:L43)</f>
        <v>438</v>
      </c>
      <c r="N44" s="89">
        <f>SUM(N41:N43)</f>
        <v>2400</v>
      </c>
      <c r="P44" s="23">
        <f>SUM(P41:P43)</f>
        <v>2148</v>
      </c>
      <c r="R44" s="23">
        <f>SUM(R41:R43)</f>
        <v>0</v>
      </c>
      <c r="V44" s="23">
        <f>SUM(V41:V43)</f>
        <v>0</v>
      </c>
    </row>
    <row r="45" spans="3:36" ht="14.45" x14ac:dyDescent="0.3">
      <c r="C45" s="4"/>
      <c r="D45" s="3"/>
      <c r="E45" s="3"/>
      <c r="F45" s="3"/>
      <c r="G45" s="4"/>
      <c r="H45" s="4"/>
      <c r="I45" s="4"/>
      <c r="M45" s="4"/>
      <c r="N45" s="4"/>
      <c r="O45" s="4"/>
      <c r="P45" s="4"/>
      <c r="Q45" s="4"/>
      <c r="R45" s="4"/>
      <c r="S45" s="4"/>
      <c r="T45" s="4"/>
      <c r="U45" s="4"/>
      <c r="V45" s="4"/>
    </row>
    <row r="46" spans="3:36" ht="14.45" x14ac:dyDescent="0.3">
      <c r="C46" s="4"/>
      <c r="D46" s="3"/>
      <c r="E46" s="3"/>
      <c r="F46" s="3"/>
      <c r="G46" s="4"/>
      <c r="H46" s="4"/>
      <c r="K46" s="162" t="s">
        <v>133</v>
      </c>
      <c r="L46" s="96">
        <f>(T48/G41)*100</f>
        <v>86.257774549416624</v>
      </c>
      <c r="N46" s="49"/>
      <c r="O46" s="4"/>
      <c r="P46" s="4"/>
      <c r="Q46" s="4"/>
      <c r="R46" s="4"/>
      <c r="S46" s="4"/>
    </row>
    <row r="47" spans="3:36" ht="14.45" x14ac:dyDescent="0.3">
      <c r="C47" s="4"/>
      <c r="D47" s="3"/>
      <c r="E47" s="3"/>
      <c r="F47" s="3"/>
      <c r="G47" s="4"/>
      <c r="H47" s="4"/>
      <c r="K47" s="159" t="s">
        <v>134</v>
      </c>
      <c r="L47" s="97">
        <f>(S48/(E44)*100)</f>
        <v>92.437785891141047</v>
      </c>
      <c r="R47" s="5" t="s">
        <v>11</v>
      </c>
      <c r="S47" s="5" t="s">
        <v>12</v>
      </c>
      <c r="T47" s="5" t="s">
        <v>0</v>
      </c>
    </row>
    <row r="48" spans="3:36" ht="14.45" x14ac:dyDescent="0.3">
      <c r="C48" s="4"/>
      <c r="D48" s="3"/>
      <c r="E48" s="3"/>
      <c r="F48" s="3"/>
      <c r="G48" s="4"/>
      <c r="H48" s="4"/>
      <c r="K48" s="162" t="s">
        <v>135</v>
      </c>
      <c r="L48" s="96">
        <f>(R48/D44)*100</f>
        <v>79.151495963273703</v>
      </c>
      <c r="P48" s="4"/>
      <c r="Q48" s="5" t="s">
        <v>3</v>
      </c>
      <c r="R48" s="9">
        <v>380</v>
      </c>
      <c r="S48" s="9">
        <v>220.27</v>
      </c>
      <c r="T48" s="48">
        <f>R48/S48</f>
        <v>1.7251554909883324</v>
      </c>
    </row>
    <row r="49" spans="1:22" ht="16.149999999999999" x14ac:dyDescent="0.3">
      <c r="C49" s="4"/>
      <c r="D49" s="3"/>
      <c r="E49" s="3"/>
      <c r="F49" s="3"/>
      <c r="G49" s="4"/>
      <c r="H49" s="4"/>
      <c r="K49" s="159" t="s">
        <v>136</v>
      </c>
      <c r="L49" s="13">
        <f>(D44+I44+L44+P44+R44+V44)/R48</f>
        <v>8.0686631578947363</v>
      </c>
      <c r="O49" s="4"/>
      <c r="P49" s="4"/>
      <c r="S49" s="63"/>
      <c r="T49" s="3"/>
    </row>
    <row r="50" spans="1:22" ht="16.149999999999999" x14ac:dyDescent="0.3">
      <c r="C50" s="4"/>
      <c r="D50" s="3"/>
      <c r="E50" s="3"/>
      <c r="F50" s="3"/>
      <c r="G50" s="4"/>
      <c r="H50" s="4"/>
      <c r="I50" s="4"/>
      <c r="K50" s="163" t="s">
        <v>137</v>
      </c>
      <c r="L50" s="15">
        <f>(D44+I44+L44)/R48</f>
        <v>2.4160315789473685</v>
      </c>
      <c r="O50" s="4"/>
      <c r="P50" s="4"/>
      <c r="S50" s="4"/>
    </row>
    <row r="51" spans="1:22" ht="16.149999999999999" x14ac:dyDescent="0.3">
      <c r="C51" s="4"/>
      <c r="D51" s="3"/>
      <c r="E51" s="3"/>
      <c r="F51" s="3"/>
      <c r="G51" s="4"/>
      <c r="H51" s="4"/>
      <c r="I51" s="4"/>
      <c r="K51" s="164" t="s">
        <v>138</v>
      </c>
      <c r="L51" s="16">
        <f>(P44+V44)/R48</f>
        <v>5.6526315789473687</v>
      </c>
      <c r="M51" s="4"/>
      <c r="N51" s="163" t="s">
        <v>139</v>
      </c>
      <c r="O51" s="93">
        <f>(G41/N44)*1000</f>
        <v>0.83333333333333337</v>
      </c>
      <c r="P51" s="4"/>
      <c r="U51" s="4"/>
      <c r="V51" s="4"/>
    </row>
    <row r="52" spans="1:22" ht="14.45" x14ac:dyDescent="0.3">
      <c r="C52" s="6"/>
      <c r="D52"/>
      <c r="E52" s="3"/>
      <c r="F52" s="3"/>
      <c r="G52" s="4"/>
      <c r="H52" s="4"/>
      <c r="I52" s="4"/>
      <c r="K52" s="4"/>
      <c r="L52" s="4"/>
      <c r="M52" s="4"/>
      <c r="N52" s="4"/>
      <c r="O52" s="4"/>
      <c r="P52" s="4"/>
      <c r="Q52" s="4"/>
      <c r="R52" s="4"/>
      <c r="S52" s="4"/>
      <c r="T52" s="4"/>
      <c r="U52" s="4"/>
      <c r="V52" s="4"/>
    </row>
    <row r="53" spans="1:22" ht="14.45" x14ac:dyDescent="0.3">
      <c r="C53" s="6"/>
      <c r="D53"/>
      <c r="E53" s="3"/>
      <c r="F53" s="3"/>
      <c r="G53" s="4"/>
      <c r="H53" s="4"/>
      <c r="I53" s="4"/>
      <c r="K53" s="4"/>
      <c r="L53" s="4"/>
      <c r="N53" s="4"/>
      <c r="O53" s="4"/>
      <c r="P53" s="4"/>
      <c r="Q53" s="4"/>
      <c r="R53" s="4"/>
      <c r="S53" s="4"/>
      <c r="T53" s="4"/>
      <c r="U53" s="4"/>
      <c r="V53" s="4"/>
    </row>
    <row r="54" spans="1:22" s="29" customFormat="1" ht="14.45" x14ac:dyDescent="0.3">
      <c r="A54" s="28" t="s">
        <v>126</v>
      </c>
      <c r="D54" s="30"/>
      <c r="E54" s="30"/>
      <c r="F54" s="30"/>
    </row>
    <row r="55" spans="1:22" ht="14.45" x14ac:dyDescent="0.3">
      <c r="B55" s="4"/>
      <c r="C55" s="6" t="s">
        <v>26</v>
      </c>
      <c r="D55" s="63"/>
      <c r="E55" s="64"/>
      <c r="F55" s="64"/>
      <c r="G55" s="6"/>
      <c r="H55" s="6"/>
      <c r="I55" s="6"/>
      <c r="J55" s="6"/>
      <c r="K55" s="6"/>
    </row>
    <row r="56" spans="1:22" ht="30.6" x14ac:dyDescent="0.3">
      <c r="C56" s="17" t="s">
        <v>14</v>
      </c>
      <c r="D56" s="20" t="s">
        <v>21</v>
      </c>
      <c r="E56" s="20" t="s">
        <v>94</v>
      </c>
      <c r="F56" s="17" t="s">
        <v>13</v>
      </c>
      <c r="G56" s="17" t="s">
        <v>15</v>
      </c>
      <c r="H56" s="18" t="s">
        <v>1</v>
      </c>
      <c r="I56" s="19" t="s">
        <v>25</v>
      </c>
      <c r="J56" s="17" t="s">
        <v>2</v>
      </c>
      <c r="K56" s="20" t="s">
        <v>94</v>
      </c>
      <c r="L56" s="20" t="s">
        <v>22</v>
      </c>
      <c r="M56" s="19" t="s">
        <v>8</v>
      </c>
      <c r="N56" s="19" t="s">
        <v>16</v>
      </c>
      <c r="O56" s="19" t="s">
        <v>17</v>
      </c>
      <c r="P56" s="19" t="s">
        <v>18</v>
      </c>
      <c r="Q56" s="20" t="s">
        <v>10</v>
      </c>
      <c r="R56" s="20" t="s">
        <v>23</v>
      </c>
      <c r="S56" s="19" t="s">
        <v>9</v>
      </c>
      <c r="T56" s="19" t="s">
        <v>19</v>
      </c>
      <c r="U56" s="19" t="s">
        <v>20</v>
      </c>
      <c r="V56" s="19" t="s">
        <v>24</v>
      </c>
    </row>
    <row r="57" spans="1:22" ht="32.25" customHeight="1" x14ac:dyDescent="0.3">
      <c r="A57" s="41" t="s">
        <v>185</v>
      </c>
      <c r="C57" s="171" t="s">
        <v>144</v>
      </c>
      <c r="D57" s="56">
        <v>106.46</v>
      </c>
      <c r="E57" s="8">
        <v>318.42</v>
      </c>
      <c r="F57" s="8">
        <v>1</v>
      </c>
      <c r="G57" s="11">
        <f>D57/E57</f>
        <v>0.33433829533320769</v>
      </c>
      <c r="H57" s="7"/>
      <c r="I57" s="7"/>
      <c r="J57" s="8" t="s">
        <v>45</v>
      </c>
      <c r="K57" s="8">
        <v>40</v>
      </c>
      <c r="L57" s="46">
        <v>22.5</v>
      </c>
      <c r="M57" s="67" t="s">
        <v>64</v>
      </c>
      <c r="N57" s="45">
        <f>N15/N18*750</f>
        <v>246.21212121212122</v>
      </c>
      <c r="O57" s="1">
        <v>0.872</v>
      </c>
      <c r="P57" s="11">
        <f>N57*O57</f>
        <v>214.69696969696969</v>
      </c>
      <c r="Q57" s="8"/>
      <c r="R57" s="8"/>
      <c r="S57" s="7"/>
      <c r="T57" s="7"/>
      <c r="U57" s="7"/>
      <c r="V57" s="11">
        <f>T57*U57</f>
        <v>0</v>
      </c>
    </row>
    <row r="58" spans="1:22" ht="14.45" x14ac:dyDescent="0.3">
      <c r="C58" s="175" t="s">
        <v>145</v>
      </c>
      <c r="D58" s="8">
        <v>88</v>
      </c>
      <c r="E58" s="8">
        <v>279.25</v>
      </c>
      <c r="F58" s="8">
        <f>G58/G57</f>
        <v>0.94254776193781453</v>
      </c>
      <c r="G58" s="161">
        <f>D58/E58</f>
        <v>0.31512981199641898</v>
      </c>
      <c r="H58" s="1"/>
      <c r="I58" s="1"/>
      <c r="J58" s="25" t="s">
        <v>65</v>
      </c>
      <c r="K58" s="26">
        <v>135.13</v>
      </c>
      <c r="L58" s="46">
        <v>40.54</v>
      </c>
      <c r="M58" s="42" t="s">
        <v>27</v>
      </c>
      <c r="N58" s="45">
        <f>N16/N18*750</f>
        <v>333.33333333333331</v>
      </c>
      <c r="O58" s="1">
        <v>0.88300000000000001</v>
      </c>
      <c r="P58" s="11">
        <f>N58*O58</f>
        <v>294.33333333333331</v>
      </c>
      <c r="Q58" s="8"/>
      <c r="R58" s="8"/>
      <c r="S58" s="7"/>
      <c r="T58" s="7"/>
      <c r="U58" s="7"/>
      <c r="V58" s="11">
        <f t="shared" ref="V58" si="2">T58*U58</f>
        <v>0</v>
      </c>
    </row>
    <row r="59" spans="1:22" ht="14.45" x14ac:dyDescent="0.3">
      <c r="C59" s="69"/>
      <c r="D59" s="8"/>
      <c r="E59" s="8"/>
      <c r="F59" s="8"/>
      <c r="G59" s="23"/>
      <c r="H59" s="1"/>
      <c r="I59" s="1"/>
      <c r="J59" s="25" t="s">
        <v>66</v>
      </c>
      <c r="K59" s="26">
        <v>206.33</v>
      </c>
      <c r="L59" s="46">
        <f>0.303*K59</f>
        <v>62.517990000000005</v>
      </c>
      <c r="M59" s="42" t="s">
        <v>96</v>
      </c>
      <c r="N59" s="45">
        <f>N17/N18*750</f>
        <v>170.45454545454544</v>
      </c>
      <c r="O59" s="1">
        <v>1</v>
      </c>
      <c r="P59" s="11">
        <f>N59*O59</f>
        <v>170.45454545454544</v>
      </c>
      <c r="Q59" s="8"/>
      <c r="R59" s="8"/>
      <c r="S59" s="7"/>
      <c r="T59" s="7"/>
      <c r="U59" s="7"/>
      <c r="V59" s="11"/>
    </row>
    <row r="60" spans="1:22" ht="14.45" x14ac:dyDescent="0.3">
      <c r="C60" s="10" t="s">
        <v>4</v>
      </c>
      <c r="D60" s="11">
        <f>SUM(D57:D58)</f>
        <v>194.45999999999998</v>
      </c>
      <c r="E60" s="11">
        <f>SUM(E57:E58)</f>
        <v>597.67000000000007</v>
      </c>
      <c r="F60" s="10"/>
      <c r="G60" s="165">
        <f>SUM(G57:G58)</f>
        <v>0.64946810732962668</v>
      </c>
      <c r="I60" s="23">
        <f>SUM(I57:I58)</f>
        <v>0</v>
      </c>
      <c r="L60" s="47">
        <f>SUM(L57:L59)</f>
        <v>125.55799</v>
      </c>
      <c r="N60" s="89">
        <f>SUM(N57:N59)</f>
        <v>750</v>
      </c>
      <c r="P60" s="23">
        <f>SUM(P57:P59)</f>
        <v>679.4848484848485</v>
      </c>
      <c r="R60" s="23">
        <f>SUM(R57:R58)</f>
        <v>0</v>
      </c>
      <c r="V60" s="23">
        <f>SUM(V57:V58)</f>
        <v>0</v>
      </c>
    </row>
    <row r="61" spans="1:22" ht="14.45" x14ac:dyDescent="0.3">
      <c r="C61" s="4"/>
      <c r="D61" s="3"/>
      <c r="E61" s="3"/>
      <c r="F61" s="3"/>
      <c r="G61" s="4"/>
      <c r="H61" s="4"/>
      <c r="I61" s="4"/>
      <c r="M61" s="49"/>
      <c r="N61" s="4"/>
      <c r="O61" s="4"/>
      <c r="P61" s="4"/>
      <c r="Q61" s="4"/>
      <c r="R61" s="4"/>
      <c r="S61" s="4"/>
      <c r="T61" s="4"/>
      <c r="U61" s="4"/>
      <c r="V61" s="4"/>
    </row>
    <row r="62" spans="1:22" ht="14.45" x14ac:dyDescent="0.3">
      <c r="C62" s="4"/>
      <c r="D62" s="3"/>
      <c r="E62" s="3"/>
      <c r="F62" s="3"/>
      <c r="G62" s="4"/>
      <c r="H62" s="4"/>
      <c r="K62" s="162" t="s">
        <v>133</v>
      </c>
      <c r="L62" s="96">
        <f>(T64/G57)*100</f>
        <v>77.398367887621831</v>
      </c>
      <c r="M62" s="49"/>
      <c r="O62" s="4"/>
      <c r="P62" s="4"/>
      <c r="Q62" s="4"/>
      <c r="R62" s="4"/>
      <c r="S62" s="4"/>
    </row>
    <row r="63" spans="1:22" ht="14.45" x14ac:dyDescent="0.3">
      <c r="C63" s="4"/>
      <c r="D63" s="3"/>
      <c r="E63" s="3"/>
      <c r="F63" s="3"/>
      <c r="G63" s="4"/>
      <c r="H63" s="4"/>
      <c r="K63" s="159" t="s">
        <v>134</v>
      </c>
      <c r="L63" s="97">
        <f>(S64/(E60)*100)</f>
        <v>96.986631418675842</v>
      </c>
      <c r="M63" s="49"/>
      <c r="R63" s="5" t="s">
        <v>11</v>
      </c>
      <c r="S63" s="5" t="s">
        <v>12</v>
      </c>
      <c r="T63" s="5" t="s">
        <v>0</v>
      </c>
    </row>
    <row r="64" spans="1:22" ht="14.45" x14ac:dyDescent="0.3">
      <c r="C64" s="4"/>
      <c r="D64" s="3"/>
      <c r="E64" s="3"/>
      <c r="F64" s="3"/>
      <c r="G64" s="4"/>
      <c r="H64" s="4"/>
      <c r="K64" s="162" t="s">
        <v>135</v>
      </c>
      <c r="L64" s="96">
        <f>(R64/D60)*100</f>
        <v>77.136686207960508</v>
      </c>
      <c r="P64" s="4"/>
      <c r="Q64" s="5" t="s">
        <v>3</v>
      </c>
      <c r="R64" s="9">
        <v>150</v>
      </c>
      <c r="S64" s="9">
        <v>579.66</v>
      </c>
      <c r="T64" s="22">
        <f>R64/S64</f>
        <v>0.25877238381119966</v>
      </c>
    </row>
    <row r="65" spans="1:22" ht="16.149999999999999" x14ac:dyDescent="0.3">
      <c r="C65" s="4"/>
      <c r="D65" s="3"/>
      <c r="E65" s="3"/>
      <c r="F65" s="3"/>
      <c r="G65" s="4"/>
      <c r="H65" s="4"/>
      <c r="K65" s="159" t="s">
        <v>136</v>
      </c>
      <c r="L65" s="13">
        <f>(D60+I60+L60+P60+R60+V60)/R64</f>
        <v>6.6633522565656573</v>
      </c>
      <c r="O65" s="4"/>
      <c r="P65" s="4"/>
      <c r="S65" s="63"/>
      <c r="T65" s="3"/>
    </row>
    <row r="66" spans="1:22" ht="16.149999999999999" x14ac:dyDescent="0.3">
      <c r="C66" s="4"/>
      <c r="D66" s="3"/>
      <c r="E66" s="3"/>
      <c r="F66" s="3"/>
      <c r="G66" s="4"/>
      <c r="H66" s="4"/>
      <c r="I66" s="4"/>
      <c r="K66" s="163" t="s">
        <v>137</v>
      </c>
      <c r="L66" s="15">
        <f>(D60+I60+L60)/R64</f>
        <v>2.1334532666666668</v>
      </c>
      <c r="N66" s="163" t="s">
        <v>139</v>
      </c>
      <c r="O66" s="93">
        <f>G57/N60*1000</f>
        <v>0.44578439377761025</v>
      </c>
      <c r="P66" s="4"/>
      <c r="S66" s="4"/>
    </row>
    <row r="67" spans="1:22" ht="16.149999999999999" x14ac:dyDescent="0.3">
      <c r="C67" s="4"/>
      <c r="D67" s="3"/>
      <c r="E67" s="3"/>
      <c r="F67" s="3"/>
      <c r="G67" s="4"/>
      <c r="H67" s="4"/>
      <c r="I67" s="4"/>
      <c r="K67" s="164" t="s">
        <v>138</v>
      </c>
      <c r="L67" s="16">
        <f>(P60+V60)/R64</f>
        <v>4.5298989898989896</v>
      </c>
      <c r="M67" s="4"/>
      <c r="N67" s="4"/>
      <c r="O67" s="4"/>
      <c r="P67" s="4"/>
      <c r="U67" s="4"/>
      <c r="V67" s="4"/>
    </row>
    <row r="68" spans="1:22" ht="14.45" x14ac:dyDescent="0.3">
      <c r="C68" s="6"/>
      <c r="D68"/>
      <c r="E68" s="3"/>
      <c r="F68" s="3"/>
      <c r="G68" s="4"/>
      <c r="H68" s="4"/>
      <c r="I68" s="4"/>
      <c r="M68" s="4"/>
      <c r="P68" s="4"/>
      <c r="Q68" s="4"/>
      <c r="R68" s="4"/>
      <c r="S68" s="4"/>
      <c r="T68" s="4"/>
      <c r="U68" s="4"/>
      <c r="V68" s="4"/>
    </row>
    <row r="69" spans="1:22" ht="14.45" x14ac:dyDescent="0.3">
      <c r="B69" s="4"/>
      <c r="C69" s="6" t="s">
        <v>26</v>
      </c>
      <c r="D69" s="63"/>
      <c r="E69" s="63"/>
      <c r="F69" s="63"/>
    </row>
    <row r="70" spans="1:22" ht="30.6" x14ac:dyDescent="0.3">
      <c r="C70" s="17" t="s">
        <v>14</v>
      </c>
      <c r="D70" s="20" t="s">
        <v>21</v>
      </c>
      <c r="E70" s="20" t="s">
        <v>94</v>
      </c>
      <c r="F70" s="17" t="s">
        <v>13</v>
      </c>
      <c r="G70" s="17" t="s">
        <v>15</v>
      </c>
      <c r="H70" s="18" t="s">
        <v>1</v>
      </c>
      <c r="I70" s="19" t="s">
        <v>25</v>
      </c>
      <c r="J70" s="17" t="s">
        <v>2</v>
      </c>
      <c r="K70" s="20" t="s">
        <v>94</v>
      </c>
      <c r="L70" s="20" t="s">
        <v>22</v>
      </c>
      <c r="M70" s="19" t="s">
        <v>8</v>
      </c>
      <c r="N70" s="19" t="s">
        <v>16</v>
      </c>
      <c r="O70" s="19" t="s">
        <v>17</v>
      </c>
      <c r="P70" s="19" t="s">
        <v>18</v>
      </c>
      <c r="Q70" s="20" t="s">
        <v>10</v>
      </c>
      <c r="R70" s="20" t="s">
        <v>23</v>
      </c>
      <c r="S70" s="19" t="s">
        <v>9</v>
      </c>
      <c r="T70" s="19" t="s">
        <v>19</v>
      </c>
      <c r="U70" s="19" t="s">
        <v>20</v>
      </c>
      <c r="V70" s="19" t="s">
        <v>24</v>
      </c>
    </row>
    <row r="71" spans="1:22" x14ac:dyDescent="0.25">
      <c r="A71" s="41" t="s">
        <v>186</v>
      </c>
      <c r="C71" s="173" t="s">
        <v>146</v>
      </c>
      <c r="D71" s="8">
        <f>G71*E71</f>
        <v>276.24</v>
      </c>
      <c r="E71" s="8">
        <v>138.12</v>
      </c>
      <c r="F71" s="8">
        <v>1</v>
      </c>
      <c r="G71" s="11">
        <v>2</v>
      </c>
      <c r="H71" s="7"/>
      <c r="I71" s="7"/>
      <c r="J71" s="8" t="s">
        <v>66</v>
      </c>
      <c r="K71" s="8">
        <v>206.33</v>
      </c>
      <c r="L71" s="46">
        <f>2.1*K71</f>
        <v>433.29300000000006</v>
      </c>
      <c r="M71" s="42" t="s">
        <v>40</v>
      </c>
      <c r="N71" s="44">
        <v>5000</v>
      </c>
      <c r="O71" s="42">
        <v>0.89500000000000002</v>
      </c>
      <c r="P71" s="11">
        <f>N71*O71</f>
        <v>4475</v>
      </c>
      <c r="Q71" s="8"/>
      <c r="R71" s="8"/>
      <c r="S71" s="7"/>
      <c r="T71" s="7"/>
      <c r="U71" s="7"/>
      <c r="V71" s="11">
        <f>T71*U71</f>
        <v>0</v>
      </c>
    </row>
    <row r="72" spans="1:22" x14ac:dyDescent="0.25">
      <c r="C72" s="160" t="s">
        <v>147</v>
      </c>
      <c r="D72" s="8">
        <f>$Z$42*$Z$41</f>
        <v>203.852</v>
      </c>
      <c r="E72" s="8">
        <v>100.17</v>
      </c>
      <c r="F72" s="8">
        <f>G72/G71</f>
        <v>1.0175301986622742</v>
      </c>
      <c r="G72" s="11">
        <f>D72/E72</f>
        <v>2.0350603973245485</v>
      </c>
      <c r="H72" s="1"/>
      <c r="I72" s="1"/>
      <c r="J72" s="25"/>
      <c r="K72" s="26"/>
      <c r="L72" s="46"/>
      <c r="M72" s="42"/>
      <c r="N72" s="45"/>
      <c r="O72" s="1"/>
      <c r="P72" s="11"/>
      <c r="Q72" s="8"/>
      <c r="R72" s="8"/>
      <c r="S72" s="7"/>
      <c r="T72" s="7"/>
      <c r="U72" s="7"/>
      <c r="V72" s="11">
        <f t="shared" ref="V72:V73" si="3">T72*U72</f>
        <v>0</v>
      </c>
    </row>
    <row r="73" spans="1:22" x14ac:dyDescent="0.25">
      <c r="C73" s="8"/>
      <c r="D73" s="8"/>
      <c r="E73" s="8"/>
      <c r="F73" s="8"/>
      <c r="G73" s="10"/>
      <c r="H73" s="1"/>
      <c r="I73" s="1"/>
      <c r="J73" s="25"/>
      <c r="K73" s="26"/>
      <c r="L73" s="46"/>
      <c r="M73" s="42"/>
      <c r="N73" s="45"/>
      <c r="O73" s="1"/>
      <c r="P73" s="11"/>
      <c r="Q73" s="8"/>
      <c r="R73" s="8"/>
      <c r="S73" s="7"/>
      <c r="T73" s="7"/>
      <c r="U73" s="7"/>
      <c r="V73" s="11">
        <f t="shared" si="3"/>
        <v>0</v>
      </c>
    </row>
    <row r="74" spans="1:22" x14ac:dyDescent="0.25">
      <c r="C74" s="10" t="s">
        <v>4</v>
      </c>
      <c r="D74" s="11">
        <f>SUM(D71:D72)</f>
        <v>480.09199999999998</v>
      </c>
      <c r="E74" s="11">
        <f>SUM(E71:E72)</f>
        <v>238.29000000000002</v>
      </c>
      <c r="F74" s="10"/>
      <c r="G74" s="23">
        <f>SUM(G71:G73)</f>
        <v>4.035060397324548</v>
      </c>
      <c r="I74" s="23">
        <f>SUM(I71:I72)</f>
        <v>0</v>
      </c>
      <c r="L74" s="47">
        <f>SUM(L71:L73)</f>
        <v>433.29300000000006</v>
      </c>
      <c r="N74" s="89">
        <f>SUM(N71:N73)</f>
        <v>5000</v>
      </c>
      <c r="P74" s="23">
        <f>SUM(P71:P73)</f>
        <v>4475</v>
      </c>
      <c r="R74" s="23">
        <f>SUM(R71:R73)</f>
        <v>0</v>
      </c>
      <c r="V74" s="23">
        <f>SUM(V71:V73)</f>
        <v>0</v>
      </c>
    </row>
    <row r="75" spans="1:22" x14ac:dyDescent="0.25">
      <c r="C75" s="4"/>
      <c r="D75" s="3"/>
      <c r="E75" s="3"/>
      <c r="F75" s="3"/>
      <c r="G75" s="4"/>
      <c r="H75" s="4"/>
      <c r="I75" s="4"/>
      <c r="M75" s="4"/>
      <c r="N75" s="4"/>
      <c r="O75" s="4"/>
      <c r="P75" s="4"/>
      <c r="Q75" s="4"/>
      <c r="R75" s="4"/>
      <c r="S75" s="4"/>
      <c r="T75" s="4"/>
      <c r="U75" s="4"/>
      <c r="V75" s="4"/>
    </row>
    <row r="76" spans="1:22" x14ac:dyDescent="0.25">
      <c r="C76" s="4"/>
      <c r="D76" s="3"/>
      <c r="E76" s="3"/>
      <c r="F76" s="3"/>
      <c r="G76" s="4"/>
      <c r="H76" s="4"/>
      <c r="K76" s="162" t="s">
        <v>133</v>
      </c>
      <c r="L76" s="96">
        <f>(T78/G71)*100</f>
        <v>86.257774549416624</v>
      </c>
      <c r="N76" s="49"/>
      <c r="O76" s="4"/>
      <c r="P76" s="4"/>
      <c r="Q76" s="4"/>
      <c r="R76" s="4"/>
      <c r="S76" s="4"/>
    </row>
    <row r="77" spans="1:22" x14ac:dyDescent="0.25">
      <c r="C77" s="4"/>
      <c r="D77" s="3"/>
      <c r="E77" s="3"/>
      <c r="F77" s="3"/>
      <c r="G77" s="4"/>
      <c r="H77" s="4"/>
      <c r="K77" s="159" t="s">
        <v>134</v>
      </c>
      <c r="L77" s="97">
        <f>(S78/(E74)*100)</f>
        <v>92.437785891141047</v>
      </c>
      <c r="R77" s="5" t="s">
        <v>11</v>
      </c>
      <c r="S77" s="5" t="s">
        <v>12</v>
      </c>
      <c r="T77" s="5" t="s">
        <v>0</v>
      </c>
    </row>
    <row r="78" spans="1:22" x14ac:dyDescent="0.25">
      <c r="C78" s="4"/>
      <c r="D78" s="3"/>
      <c r="E78" s="3"/>
      <c r="F78" s="3"/>
      <c r="G78" s="4"/>
      <c r="H78" s="4"/>
      <c r="K78" s="162" t="s">
        <v>135</v>
      </c>
      <c r="L78" s="96">
        <f>(R78/D74)*100</f>
        <v>79.151495963273703</v>
      </c>
      <c r="P78" s="4"/>
      <c r="Q78" s="5" t="s">
        <v>3</v>
      </c>
      <c r="R78" s="9">
        <v>380</v>
      </c>
      <c r="S78" s="9">
        <v>220.27</v>
      </c>
      <c r="T78" s="48">
        <f>R78/S78</f>
        <v>1.7251554909883324</v>
      </c>
    </row>
    <row r="79" spans="1:22" ht="17.25" x14ac:dyDescent="0.25">
      <c r="C79" s="4"/>
      <c r="D79" s="3"/>
      <c r="E79" s="3"/>
      <c r="F79" s="3"/>
      <c r="G79" s="4"/>
      <c r="H79" s="4"/>
      <c r="K79" s="159" t="s">
        <v>136</v>
      </c>
      <c r="L79" s="13">
        <f>(D74+I74+L74+P74+R74+V74)/R78</f>
        <v>14.17996052631579</v>
      </c>
      <c r="O79" s="4"/>
      <c r="P79" s="4"/>
      <c r="S79" s="63"/>
      <c r="T79" s="3"/>
    </row>
    <row r="80" spans="1:22" ht="17.25" x14ac:dyDescent="0.25">
      <c r="C80" s="4"/>
      <c r="D80" s="3"/>
      <c r="E80" s="3"/>
      <c r="F80" s="3"/>
      <c r="G80" s="4"/>
      <c r="H80" s="4"/>
      <c r="I80" s="4"/>
      <c r="K80" s="163" t="s">
        <v>137</v>
      </c>
      <c r="L80" s="15">
        <f>(D74+I74+L74)/R78</f>
        <v>2.4036447368421054</v>
      </c>
      <c r="O80" s="4"/>
      <c r="P80" s="4"/>
      <c r="S80" s="4"/>
    </row>
    <row r="81" spans="1:22" ht="17.25" x14ac:dyDescent="0.25">
      <c r="C81" s="4"/>
      <c r="D81" s="3"/>
      <c r="E81" s="3"/>
      <c r="F81" s="3"/>
      <c r="G81" s="4"/>
      <c r="H81" s="4"/>
      <c r="I81" s="4"/>
      <c r="K81" s="164" t="s">
        <v>138</v>
      </c>
      <c r="L81" s="16">
        <f>(P74+V74)/R78</f>
        <v>11.776315789473685</v>
      </c>
      <c r="M81" s="4"/>
      <c r="N81" s="163" t="s">
        <v>139</v>
      </c>
      <c r="O81" s="93">
        <f>(G71/N74)*1000</f>
        <v>0.4</v>
      </c>
      <c r="P81" s="4"/>
      <c r="U81" s="4"/>
      <c r="V81" s="4"/>
    </row>
    <row r="82" spans="1:22" x14ac:dyDescent="0.25">
      <c r="C82" s="6"/>
      <c r="D82"/>
      <c r="E82" s="3"/>
      <c r="F82" s="3"/>
      <c r="G82" s="4"/>
      <c r="H82" s="4"/>
      <c r="I82" s="4"/>
      <c r="M82" s="4"/>
      <c r="N82" s="4"/>
      <c r="O82" s="4"/>
      <c r="P82" s="4"/>
      <c r="Q82" s="4"/>
      <c r="R82" s="4"/>
      <c r="S82" s="4"/>
      <c r="T82" s="4"/>
      <c r="U82" s="4"/>
      <c r="V82" s="4"/>
    </row>
    <row r="83" spans="1:22" x14ac:dyDescent="0.25">
      <c r="C83" s="6"/>
      <c r="D83"/>
      <c r="E83" s="3"/>
      <c r="F83" s="3"/>
      <c r="G83" s="4"/>
      <c r="H83" s="4"/>
      <c r="I83" s="4"/>
      <c r="M83" s="4"/>
      <c r="N83" s="4"/>
      <c r="O83" s="4"/>
      <c r="P83" s="4"/>
      <c r="Q83" s="4"/>
      <c r="R83" s="4"/>
      <c r="S83" s="4"/>
      <c r="T83" s="4"/>
      <c r="U83" s="4"/>
      <c r="V83" s="4"/>
    </row>
    <row r="84" spans="1:22" s="29" customFormat="1" x14ac:dyDescent="0.25">
      <c r="A84" s="28" t="s">
        <v>108</v>
      </c>
      <c r="D84" s="30"/>
      <c r="E84" s="30"/>
      <c r="F84" s="30"/>
    </row>
    <row r="85" spans="1:22" x14ac:dyDescent="0.25">
      <c r="B85" s="4"/>
      <c r="C85" s="6" t="s">
        <v>26</v>
      </c>
      <c r="D85" s="63"/>
      <c r="E85" s="64"/>
      <c r="F85" s="64"/>
      <c r="G85" s="6"/>
      <c r="H85" s="6"/>
      <c r="I85" s="6"/>
      <c r="J85" s="6"/>
      <c r="K85" s="6"/>
    </row>
    <row r="86" spans="1:22" ht="32.25" x14ac:dyDescent="0.25">
      <c r="C86" s="17" t="s">
        <v>14</v>
      </c>
      <c r="D86" s="20" t="s">
        <v>21</v>
      </c>
      <c r="E86" s="20" t="s">
        <v>94</v>
      </c>
      <c r="F86" s="17" t="s">
        <v>13</v>
      </c>
      <c r="G86" s="17" t="s">
        <v>15</v>
      </c>
      <c r="H86" s="18" t="s">
        <v>1</v>
      </c>
      <c r="I86" s="19" t="s">
        <v>25</v>
      </c>
      <c r="J86" s="17" t="s">
        <v>2</v>
      </c>
      <c r="K86" s="20" t="s">
        <v>94</v>
      </c>
      <c r="L86" s="20" t="s">
        <v>22</v>
      </c>
      <c r="M86" s="19" t="s">
        <v>8</v>
      </c>
      <c r="N86" s="19" t="s">
        <v>16</v>
      </c>
      <c r="O86" s="19" t="s">
        <v>17</v>
      </c>
      <c r="P86" s="19" t="s">
        <v>18</v>
      </c>
      <c r="Q86" s="20" t="s">
        <v>10</v>
      </c>
      <c r="R86" s="20" t="s">
        <v>23</v>
      </c>
      <c r="S86" s="19" t="s">
        <v>9</v>
      </c>
      <c r="T86" s="19" t="s">
        <v>19</v>
      </c>
      <c r="U86" s="19" t="s">
        <v>20</v>
      </c>
      <c r="V86" s="19" t="s">
        <v>24</v>
      </c>
    </row>
    <row r="87" spans="1:22" ht="33" customHeight="1" x14ac:dyDescent="0.25">
      <c r="A87" s="41" t="s">
        <v>185</v>
      </c>
      <c r="C87" s="171" t="s">
        <v>144</v>
      </c>
      <c r="D87" s="56">
        <v>106.46</v>
      </c>
      <c r="E87" s="8">
        <v>318.42</v>
      </c>
      <c r="F87" s="8">
        <v>1</v>
      </c>
      <c r="G87" s="11">
        <f>D87/E87</f>
        <v>0.33433829533320769</v>
      </c>
      <c r="H87" s="7"/>
      <c r="I87" s="7"/>
      <c r="J87" s="8" t="s">
        <v>45</v>
      </c>
      <c r="K87" s="8">
        <v>40</v>
      </c>
      <c r="L87" s="46">
        <v>22.5</v>
      </c>
      <c r="M87" s="67" t="s">
        <v>64</v>
      </c>
      <c r="N87" s="45">
        <v>650</v>
      </c>
      <c r="O87" s="1">
        <v>0.872</v>
      </c>
      <c r="P87" s="11">
        <f>N87*O87</f>
        <v>566.79999999999995</v>
      </c>
      <c r="Q87" s="8"/>
      <c r="R87" s="8"/>
      <c r="S87" s="7"/>
      <c r="T87" s="7"/>
      <c r="U87" s="7"/>
      <c r="V87" s="11">
        <f>T87*U87</f>
        <v>0</v>
      </c>
    </row>
    <row r="88" spans="1:22" x14ac:dyDescent="0.25">
      <c r="C88" s="175" t="s">
        <v>145</v>
      </c>
      <c r="D88" s="8">
        <v>88</v>
      </c>
      <c r="E88" s="8">
        <v>279.25</v>
      </c>
      <c r="F88" s="8">
        <f>G88/G87</f>
        <v>0.94254776193781453</v>
      </c>
      <c r="G88" s="10">
        <f>D88/E88</f>
        <v>0.31512981199641898</v>
      </c>
      <c r="H88" s="1"/>
      <c r="I88" s="1"/>
      <c r="J88" s="25" t="s">
        <v>65</v>
      </c>
      <c r="K88" s="26">
        <v>135.13</v>
      </c>
      <c r="L88" s="46">
        <v>40.54</v>
      </c>
      <c r="M88" s="42" t="s">
        <v>27</v>
      </c>
      <c r="N88" s="2">
        <f>530+200+50+100</f>
        <v>880</v>
      </c>
      <c r="O88" s="1">
        <v>0.88300000000000001</v>
      </c>
      <c r="P88" s="11">
        <f>N88*O88</f>
        <v>777.04</v>
      </c>
      <c r="Q88" s="8"/>
      <c r="R88" s="8"/>
      <c r="S88" s="7"/>
      <c r="T88" s="7"/>
      <c r="U88" s="7"/>
      <c r="V88" s="11">
        <f t="shared" ref="V88" si="4">T88*U88</f>
        <v>0</v>
      </c>
    </row>
    <row r="89" spans="1:22" x14ac:dyDescent="0.25">
      <c r="C89" s="69"/>
      <c r="D89" s="8"/>
      <c r="E89" s="8"/>
      <c r="F89" s="8"/>
      <c r="G89" s="23"/>
      <c r="H89" s="1"/>
      <c r="I89" s="1"/>
      <c r="J89" s="25" t="s">
        <v>66</v>
      </c>
      <c r="K89" s="26">
        <v>206.33</v>
      </c>
      <c r="L89" s="46">
        <f>0.303*K89</f>
        <v>62.517990000000005</v>
      </c>
      <c r="M89" s="42" t="s">
        <v>96</v>
      </c>
      <c r="N89" s="2">
        <v>450</v>
      </c>
      <c r="O89" s="1">
        <v>1</v>
      </c>
      <c r="P89" s="11">
        <f>N89*O89</f>
        <v>450</v>
      </c>
      <c r="Q89" s="8"/>
      <c r="R89" s="8"/>
      <c r="S89" s="7"/>
      <c r="T89" s="7"/>
      <c r="U89" s="7"/>
      <c r="V89" s="11"/>
    </row>
    <row r="90" spans="1:22" x14ac:dyDescent="0.25">
      <c r="C90" s="10" t="s">
        <v>4</v>
      </c>
      <c r="D90" s="11">
        <f>SUM(D87:D88)</f>
        <v>194.45999999999998</v>
      </c>
      <c r="E90" s="11">
        <f>SUM(E87:E88)</f>
        <v>597.67000000000007</v>
      </c>
      <c r="F90" s="10"/>
      <c r="G90" s="43">
        <f>SUM(G87:G88)</f>
        <v>0.64946810732962668</v>
      </c>
      <c r="I90" s="23">
        <f>SUM(I87:I88)</f>
        <v>0</v>
      </c>
      <c r="L90" s="47">
        <f>SUM(L87:L89)</f>
        <v>125.55799</v>
      </c>
      <c r="N90" s="89">
        <f>SUM(N87:N89)</f>
        <v>1980</v>
      </c>
      <c r="P90" s="23">
        <f>SUM(P87:P89)</f>
        <v>1793.84</v>
      </c>
      <c r="R90" s="23">
        <f>SUM(R87:R88)</f>
        <v>0</v>
      </c>
      <c r="V90" s="23">
        <f>SUM(V87:V88)</f>
        <v>0</v>
      </c>
    </row>
    <row r="91" spans="1:22" x14ac:dyDescent="0.25">
      <c r="C91" s="4"/>
      <c r="D91" s="3"/>
      <c r="E91" s="3"/>
      <c r="F91" s="3"/>
      <c r="G91" s="4"/>
      <c r="H91" s="4"/>
      <c r="I91" s="4"/>
      <c r="M91" s="49"/>
      <c r="N91" s="4"/>
      <c r="O91" s="4"/>
      <c r="P91" s="4"/>
      <c r="Q91" s="4"/>
      <c r="R91" s="4"/>
      <c r="S91" s="4"/>
      <c r="T91" s="4"/>
      <c r="U91" s="4"/>
      <c r="V91" s="4"/>
    </row>
    <row r="92" spans="1:22" x14ac:dyDescent="0.25">
      <c r="C92" s="4"/>
      <c r="D92" s="3"/>
      <c r="E92" s="3"/>
      <c r="F92" s="3"/>
      <c r="G92" s="4"/>
      <c r="H92" s="4"/>
      <c r="K92" s="162" t="s">
        <v>133</v>
      </c>
      <c r="L92" s="96">
        <f>(T94/G87)*100</f>
        <v>90</v>
      </c>
      <c r="M92" s="49"/>
      <c r="O92" s="4"/>
      <c r="P92" s="4"/>
      <c r="Q92" s="4"/>
      <c r="R92" s="4"/>
      <c r="S92" s="4"/>
    </row>
    <row r="93" spans="1:22" x14ac:dyDescent="0.25">
      <c r="C93" s="4"/>
      <c r="D93" s="3"/>
      <c r="E93" s="3"/>
      <c r="F93" s="3"/>
      <c r="G93" s="4"/>
      <c r="H93" s="4"/>
      <c r="K93" s="159" t="s">
        <v>134</v>
      </c>
      <c r="L93" s="97">
        <f>(S94/(E90)*100)</f>
        <v>96.986631418675842</v>
      </c>
      <c r="M93" s="49"/>
      <c r="R93" s="5" t="s">
        <v>11</v>
      </c>
      <c r="S93" s="5" t="s">
        <v>12</v>
      </c>
      <c r="T93" s="5" t="s">
        <v>0</v>
      </c>
    </row>
    <row r="94" spans="1:22" x14ac:dyDescent="0.25">
      <c r="C94" s="4"/>
      <c r="D94" s="3"/>
      <c r="E94" s="3"/>
      <c r="F94" s="3"/>
      <c r="G94" s="4"/>
      <c r="H94" s="4"/>
      <c r="K94" s="162" t="s">
        <v>135</v>
      </c>
      <c r="L94" s="96">
        <f>(R94/D90)*100</f>
        <v>89.695712560712991</v>
      </c>
      <c r="P94" s="4"/>
      <c r="Q94" s="5" t="s">
        <v>3</v>
      </c>
      <c r="R94" s="9">
        <f>T94*S94</f>
        <v>174.42228264556246</v>
      </c>
      <c r="S94" s="9">
        <v>579.66</v>
      </c>
      <c r="T94" s="22">
        <f>G87*0.9</f>
        <v>0.30090446579988694</v>
      </c>
    </row>
    <row r="95" spans="1:22" ht="17.25" x14ac:dyDescent="0.25">
      <c r="C95" s="4"/>
      <c r="D95" s="3"/>
      <c r="E95" s="3"/>
      <c r="F95" s="3"/>
      <c r="G95" s="4"/>
      <c r="H95" s="4"/>
      <c r="K95" s="159" t="s">
        <v>136</v>
      </c>
      <c r="L95" s="13">
        <f>(D90+I90+L90+P90+R90+V90)/R94</f>
        <v>12.119196916459913</v>
      </c>
      <c r="O95" s="4"/>
      <c r="P95" s="4"/>
      <c r="S95" s="63"/>
      <c r="T95" s="3"/>
    </row>
    <row r="96" spans="1:22" ht="17.25" x14ac:dyDescent="0.25">
      <c r="C96" s="4"/>
      <c r="D96" s="3"/>
      <c r="E96" s="3"/>
      <c r="F96" s="3"/>
      <c r="G96" s="4"/>
      <c r="H96" s="4"/>
      <c r="I96" s="4"/>
      <c r="K96" s="163" t="s">
        <v>137</v>
      </c>
      <c r="L96" s="15">
        <f>(D90+I90+L90)/R94</f>
        <v>1.8347311200501693</v>
      </c>
      <c r="N96" s="163" t="s">
        <v>139</v>
      </c>
      <c r="O96" s="93">
        <f>G87/N90*1000</f>
        <v>0.16885772491576145</v>
      </c>
      <c r="P96" s="4"/>
      <c r="S96" s="4"/>
    </row>
    <row r="97" spans="1:22" ht="17.25" x14ac:dyDescent="0.25">
      <c r="C97" s="4"/>
      <c r="D97" s="3"/>
      <c r="E97" s="3"/>
      <c r="F97" s="3"/>
      <c r="G97" s="4"/>
      <c r="H97" s="4"/>
      <c r="I97" s="4"/>
      <c r="K97" s="164" t="s">
        <v>138</v>
      </c>
      <c r="L97" s="16">
        <f>(P90+V90)/R94</f>
        <v>10.284465796409744</v>
      </c>
      <c r="M97" s="4"/>
      <c r="N97" s="4"/>
      <c r="O97" s="4"/>
      <c r="P97" s="4"/>
      <c r="U97" s="4"/>
      <c r="V97" s="4"/>
    </row>
    <row r="98" spans="1:22" x14ac:dyDescent="0.25">
      <c r="C98" s="6"/>
      <c r="D98"/>
      <c r="E98" s="3"/>
      <c r="F98" s="3"/>
      <c r="G98" s="4"/>
      <c r="H98" s="4"/>
      <c r="I98" s="4"/>
      <c r="M98" s="4"/>
      <c r="P98" s="4"/>
      <c r="Q98" s="4"/>
      <c r="R98" s="4"/>
      <c r="S98" s="4"/>
      <c r="T98" s="4"/>
      <c r="U98" s="4"/>
      <c r="V98" s="4"/>
    </row>
    <row r="99" spans="1:22" x14ac:dyDescent="0.25">
      <c r="B99" s="4"/>
      <c r="C99" s="6" t="s">
        <v>26</v>
      </c>
      <c r="D99" s="63"/>
      <c r="E99" s="63"/>
      <c r="F99" s="63"/>
    </row>
    <row r="100" spans="1:22" ht="32.25" x14ac:dyDescent="0.25">
      <c r="C100" s="17" t="s">
        <v>14</v>
      </c>
      <c r="D100" s="20" t="s">
        <v>21</v>
      </c>
      <c r="E100" s="20" t="s">
        <v>94</v>
      </c>
      <c r="F100" s="17" t="s">
        <v>13</v>
      </c>
      <c r="G100" s="17" t="s">
        <v>15</v>
      </c>
      <c r="H100" s="18" t="s">
        <v>1</v>
      </c>
      <c r="I100" s="19" t="s">
        <v>25</v>
      </c>
      <c r="J100" s="17" t="s">
        <v>2</v>
      </c>
      <c r="K100" s="20" t="s">
        <v>94</v>
      </c>
      <c r="L100" s="20" t="s">
        <v>22</v>
      </c>
      <c r="M100" s="19" t="s">
        <v>8</v>
      </c>
      <c r="N100" s="19" t="s">
        <v>16</v>
      </c>
      <c r="O100" s="19" t="s">
        <v>17</v>
      </c>
      <c r="P100" s="19" t="s">
        <v>18</v>
      </c>
      <c r="Q100" s="20" t="s">
        <v>10</v>
      </c>
      <c r="R100" s="20" t="s">
        <v>23</v>
      </c>
      <c r="S100" s="19" t="s">
        <v>9</v>
      </c>
      <c r="T100" s="19" t="s">
        <v>19</v>
      </c>
      <c r="U100" s="19" t="s">
        <v>20</v>
      </c>
      <c r="V100" s="19" t="s">
        <v>24</v>
      </c>
    </row>
    <row r="101" spans="1:22" x14ac:dyDescent="0.25">
      <c r="A101" s="41" t="s">
        <v>186</v>
      </c>
      <c r="C101" s="173" t="s">
        <v>146</v>
      </c>
      <c r="D101" s="8">
        <f>D41</f>
        <v>276.24</v>
      </c>
      <c r="E101" s="8">
        <v>138.12</v>
      </c>
      <c r="F101" s="8">
        <v>1</v>
      </c>
      <c r="G101" s="11">
        <f>D101/E101</f>
        <v>2</v>
      </c>
      <c r="H101" s="7"/>
      <c r="I101" s="7"/>
      <c r="J101" s="8" t="s">
        <v>66</v>
      </c>
      <c r="K101" s="8">
        <v>206.33</v>
      </c>
      <c r="L101" s="46">
        <f>2.1*K101</f>
        <v>433.29300000000006</v>
      </c>
      <c r="M101" s="42" t="s">
        <v>40</v>
      </c>
      <c r="N101" s="44">
        <v>2400</v>
      </c>
      <c r="O101" s="42">
        <v>0.89500000000000002</v>
      </c>
      <c r="P101" s="11">
        <f>N101*O101</f>
        <v>2148</v>
      </c>
      <c r="Q101" s="8"/>
      <c r="R101" s="8"/>
      <c r="S101" s="7"/>
      <c r="T101" s="7"/>
      <c r="U101" s="7"/>
      <c r="V101" s="11">
        <f>T101*U101</f>
        <v>0</v>
      </c>
    </row>
    <row r="102" spans="1:22" x14ac:dyDescent="0.25">
      <c r="C102" s="160" t="s">
        <v>147</v>
      </c>
      <c r="D102" s="8">
        <v>203.85</v>
      </c>
      <c r="E102" s="8">
        <v>100.17</v>
      </c>
      <c r="F102" s="8">
        <f>G102/G101</f>
        <v>1.0175202156334231</v>
      </c>
      <c r="G102" s="11">
        <f>D102/E102</f>
        <v>2.0350404312668462</v>
      </c>
      <c r="H102" s="1"/>
      <c r="I102" s="1"/>
      <c r="J102" s="25"/>
      <c r="K102" s="26"/>
      <c r="L102" s="46"/>
      <c r="M102" s="42"/>
      <c r="N102" s="45"/>
      <c r="O102" s="1"/>
      <c r="P102" s="11"/>
      <c r="Q102" s="8"/>
      <c r="R102" s="8"/>
      <c r="S102" s="7"/>
      <c r="T102" s="7"/>
      <c r="U102" s="7"/>
      <c r="V102" s="11">
        <f t="shared" ref="V102:V103" si="5">T102*U102</f>
        <v>0</v>
      </c>
    </row>
    <row r="103" spans="1:22" x14ac:dyDescent="0.25">
      <c r="C103" s="8"/>
      <c r="D103" s="8"/>
      <c r="E103" s="8"/>
      <c r="F103" s="8"/>
      <c r="G103" s="10"/>
      <c r="H103" s="1"/>
      <c r="I103" s="1"/>
      <c r="J103" s="25"/>
      <c r="K103" s="26"/>
      <c r="L103" s="46"/>
      <c r="M103" s="42"/>
      <c r="N103" s="45"/>
      <c r="O103" s="1"/>
      <c r="P103" s="11"/>
      <c r="Q103" s="8"/>
      <c r="R103" s="8"/>
      <c r="S103" s="7"/>
      <c r="T103" s="7"/>
      <c r="U103" s="7"/>
      <c r="V103" s="11">
        <f t="shared" si="5"/>
        <v>0</v>
      </c>
    </row>
    <row r="104" spans="1:22" x14ac:dyDescent="0.25">
      <c r="C104" s="10" t="s">
        <v>4</v>
      </c>
      <c r="D104" s="11">
        <f>SUM(D101:D102)</f>
        <v>480.09000000000003</v>
      </c>
      <c r="E104" s="11">
        <f>SUM(E101:E102)</f>
        <v>238.29000000000002</v>
      </c>
      <c r="F104" s="10"/>
      <c r="G104" s="23">
        <f>SUM(G101:G103)</f>
        <v>4.0350404312668466</v>
      </c>
      <c r="I104" s="23">
        <f>SUM(I101:I102)</f>
        <v>0</v>
      </c>
      <c r="L104" s="47">
        <f>SUM(L101:L103)</f>
        <v>433.29300000000006</v>
      </c>
      <c r="N104" s="89">
        <f>SUM(N101:N103)</f>
        <v>2400</v>
      </c>
      <c r="P104" s="23">
        <f>SUM(P101:P103)</f>
        <v>2148</v>
      </c>
      <c r="R104" s="23">
        <f>SUM(R101:R103)</f>
        <v>0</v>
      </c>
      <c r="V104" s="23">
        <f>SUM(V101:V103)</f>
        <v>0</v>
      </c>
    </row>
    <row r="105" spans="1:22" x14ac:dyDescent="0.25">
      <c r="C105" s="4"/>
      <c r="D105" s="3"/>
      <c r="E105" s="3"/>
      <c r="F105" s="3"/>
      <c r="G105" s="4"/>
      <c r="H105" s="4"/>
      <c r="I105" s="4"/>
      <c r="M105" s="4"/>
      <c r="N105" s="4"/>
      <c r="O105" s="4"/>
      <c r="P105" s="4"/>
      <c r="Q105" s="4"/>
      <c r="R105" s="4"/>
      <c r="S105" s="4"/>
      <c r="T105" s="4"/>
      <c r="U105" s="4"/>
      <c r="V105" s="4"/>
    </row>
    <row r="106" spans="1:22" x14ac:dyDescent="0.25">
      <c r="C106" s="4"/>
      <c r="D106" s="3"/>
      <c r="E106" s="3"/>
      <c r="F106" s="3"/>
      <c r="G106" s="4"/>
      <c r="H106" s="4"/>
      <c r="K106" s="162" t="s">
        <v>133</v>
      </c>
      <c r="L106" s="96">
        <f>(T108/G101)*100</f>
        <v>90</v>
      </c>
      <c r="N106" s="49"/>
      <c r="O106" s="4"/>
      <c r="P106" s="4"/>
      <c r="Q106" s="4"/>
      <c r="R106" s="4"/>
      <c r="S106" s="4"/>
    </row>
    <row r="107" spans="1:22" x14ac:dyDescent="0.25">
      <c r="C107" s="4"/>
      <c r="D107" s="3"/>
      <c r="E107" s="3"/>
      <c r="F107" s="3"/>
      <c r="G107" s="4"/>
      <c r="H107" s="4"/>
      <c r="K107" s="159" t="s">
        <v>134</v>
      </c>
      <c r="L107" s="97">
        <f>(S108/(E104)*100)</f>
        <v>92.437785891141047</v>
      </c>
      <c r="R107" s="5" t="s">
        <v>11</v>
      </c>
      <c r="S107" s="5" t="s">
        <v>12</v>
      </c>
      <c r="T107" s="5" t="s">
        <v>0</v>
      </c>
    </row>
    <row r="108" spans="1:22" x14ac:dyDescent="0.25">
      <c r="C108" s="4"/>
      <c r="D108" s="3"/>
      <c r="E108" s="3"/>
      <c r="F108" s="3"/>
      <c r="G108" s="4"/>
      <c r="H108" s="4"/>
      <c r="K108" s="162" t="s">
        <v>135</v>
      </c>
      <c r="L108" s="96">
        <f>(R108/D104)*100</f>
        <v>82.585765169030807</v>
      </c>
      <c r="P108" s="4"/>
      <c r="Q108" s="5" t="s">
        <v>3</v>
      </c>
      <c r="R108" s="9">
        <f>S108*T108</f>
        <v>396.48600000000005</v>
      </c>
      <c r="S108" s="9">
        <v>220.27</v>
      </c>
      <c r="T108" s="48">
        <f>G101*0.9</f>
        <v>1.8</v>
      </c>
    </row>
    <row r="109" spans="1:22" ht="17.25" x14ac:dyDescent="0.25">
      <c r="C109" s="4"/>
      <c r="D109" s="3"/>
      <c r="E109" s="3"/>
      <c r="F109" s="3"/>
      <c r="G109" s="4"/>
      <c r="H109" s="4"/>
      <c r="K109" s="159" t="s">
        <v>136</v>
      </c>
      <c r="L109" s="13">
        <f>(D104+I104+L104+P104+R104+V104)/R108</f>
        <v>7.7212890240765111</v>
      </c>
      <c r="O109" s="4"/>
      <c r="P109" s="4"/>
      <c r="S109" s="63"/>
      <c r="T109" s="3"/>
    </row>
    <row r="110" spans="1:22" ht="17.25" x14ac:dyDescent="0.25">
      <c r="C110" s="4"/>
      <c r="D110" s="3"/>
      <c r="E110" s="3"/>
      <c r="F110" s="3"/>
      <c r="G110" s="4"/>
      <c r="H110" s="4"/>
      <c r="I110" s="4"/>
      <c r="K110" s="163" t="s">
        <v>137</v>
      </c>
      <c r="L110" s="15">
        <f>(D104+I104+L104)/R108</f>
        <v>2.3036954646570118</v>
      </c>
      <c r="O110" s="4"/>
      <c r="P110" s="4"/>
      <c r="S110" s="4"/>
    </row>
    <row r="111" spans="1:22" ht="17.25" x14ac:dyDescent="0.25">
      <c r="C111" s="4"/>
      <c r="D111" s="3"/>
      <c r="E111" s="3"/>
      <c r="F111" s="3"/>
      <c r="G111" s="4"/>
      <c r="H111" s="4"/>
      <c r="I111" s="4"/>
      <c r="K111" s="164" t="s">
        <v>138</v>
      </c>
      <c r="L111" s="16">
        <f>(P104+V104)/R108</f>
        <v>5.4175935594194993</v>
      </c>
      <c r="M111" s="4"/>
      <c r="N111" s="163" t="s">
        <v>139</v>
      </c>
      <c r="O111" s="93">
        <f>(G101/N104)*1000</f>
        <v>0.83333333333333337</v>
      </c>
      <c r="P111" s="4"/>
      <c r="U111" s="4"/>
      <c r="V111" s="4"/>
    </row>
    <row r="112" spans="1:22" x14ac:dyDescent="0.25">
      <c r="C112" s="6"/>
      <c r="D112"/>
      <c r="E112" s="3"/>
      <c r="F112" s="3"/>
      <c r="G112" s="4"/>
      <c r="H112" s="4"/>
      <c r="I112" s="4"/>
      <c r="M112" s="4"/>
      <c r="N112" s="4"/>
      <c r="O112" s="4"/>
      <c r="P112" s="4"/>
      <c r="Q112" s="4"/>
      <c r="R112" s="4"/>
      <c r="S112" s="4"/>
      <c r="T112" s="4"/>
      <c r="U112" s="4"/>
      <c r="V112" s="4"/>
    </row>
    <row r="113" spans="1:22" x14ac:dyDescent="0.25">
      <c r="C113" s="6"/>
      <c r="D113"/>
      <c r="E113" s="3"/>
      <c r="F113" s="3"/>
      <c r="G113" s="4"/>
      <c r="H113" s="4"/>
      <c r="I113" s="4"/>
      <c r="M113" s="4"/>
      <c r="N113" s="4"/>
      <c r="O113" s="4"/>
      <c r="P113" s="4"/>
      <c r="Q113" s="4"/>
      <c r="R113" s="4"/>
      <c r="S113" s="4"/>
      <c r="T113" s="4"/>
      <c r="U113" s="4"/>
      <c r="V113" s="4"/>
    </row>
    <row r="114" spans="1:22" s="29" customFormat="1" x14ac:dyDescent="0.25">
      <c r="A114" s="28" t="s">
        <v>105</v>
      </c>
      <c r="D114" s="30"/>
      <c r="E114" s="30"/>
      <c r="F114" s="30"/>
    </row>
    <row r="115" spans="1:22" x14ac:dyDescent="0.25">
      <c r="B115" s="4"/>
      <c r="C115" s="6" t="s">
        <v>26</v>
      </c>
      <c r="D115" s="63"/>
      <c r="E115" s="64"/>
      <c r="F115" s="64"/>
      <c r="G115" s="6"/>
      <c r="H115" s="6"/>
      <c r="I115" s="6"/>
      <c r="J115" s="6"/>
      <c r="K115" s="6"/>
    </row>
    <row r="116" spans="1:22" ht="32.25" x14ac:dyDescent="0.25">
      <c r="C116" s="17" t="s">
        <v>14</v>
      </c>
      <c r="D116" s="20" t="s">
        <v>21</v>
      </c>
      <c r="E116" s="20" t="s">
        <v>94</v>
      </c>
      <c r="F116" s="17" t="s">
        <v>13</v>
      </c>
      <c r="G116" s="17" t="s">
        <v>15</v>
      </c>
      <c r="H116" s="18" t="s">
        <v>1</v>
      </c>
      <c r="I116" s="19" t="s">
        <v>25</v>
      </c>
      <c r="J116" s="17" t="s">
        <v>2</v>
      </c>
      <c r="K116" s="20" t="s">
        <v>94</v>
      </c>
      <c r="L116" s="20" t="s">
        <v>22</v>
      </c>
      <c r="M116" s="19" t="s">
        <v>8</v>
      </c>
      <c r="N116" s="19" t="s">
        <v>16</v>
      </c>
      <c r="O116" s="19" t="s">
        <v>17</v>
      </c>
      <c r="P116" s="19" t="s">
        <v>18</v>
      </c>
      <c r="Q116" s="20" t="s">
        <v>10</v>
      </c>
      <c r="R116" s="20" t="s">
        <v>23</v>
      </c>
      <c r="S116" s="19" t="s">
        <v>9</v>
      </c>
      <c r="T116" s="19" t="s">
        <v>19</v>
      </c>
      <c r="U116" s="19" t="s">
        <v>20</v>
      </c>
      <c r="V116" s="19" t="s">
        <v>24</v>
      </c>
    </row>
    <row r="117" spans="1:22" ht="32.25" customHeight="1" x14ac:dyDescent="0.25">
      <c r="A117" s="41" t="s">
        <v>185</v>
      </c>
      <c r="C117" s="171" t="s">
        <v>144</v>
      </c>
      <c r="D117" s="56">
        <v>106.46</v>
      </c>
      <c r="E117" s="8">
        <v>318.42</v>
      </c>
      <c r="F117" s="8">
        <v>1</v>
      </c>
      <c r="G117" s="11">
        <f>D117/E117</f>
        <v>0.33433829533320769</v>
      </c>
      <c r="H117" s="7"/>
      <c r="I117" s="7"/>
      <c r="J117" s="8" t="s">
        <v>45</v>
      </c>
      <c r="K117" s="8">
        <v>40</v>
      </c>
      <c r="L117" s="46">
        <v>22.5</v>
      </c>
      <c r="M117" s="67" t="s">
        <v>64</v>
      </c>
      <c r="N117" s="45">
        <f>N87/N90*750</f>
        <v>246.21212121212122</v>
      </c>
      <c r="O117" s="1">
        <v>0.872</v>
      </c>
      <c r="P117" s="11">
        <f>N117*O117</f>
        <v>214.69696969696969</v>
      </c>
      <c r="Q117" s="8"/>
      <c r="R117" s="8"/>
      <c r="S117" s="7"/>
      <c r="T117" s="7"/>
      <c r="U117" s="7"/>
      <c r="V117" s="11">
        <f>T117*U117</f>
        <v>0</v>
      </c>
    </row>
    <row r="118" spans="1:22" x14ac:dyDescent="0.25">
      <c r="C118" s="175" t="s">
        <v>145</v>
      </c>
      <c r="D118" s="8">
        <v>88</v>
      </c>
      <c r="E118" s="8">
        <v>279.25</v>
      </c>
      <c r="F118" s="8">
        <f>G118/G117</f>
        <v>0.94254776193781453</v>
      </c>
      <c r="G118" s="10">
        <f>D118/E118</f>
        <v>0.31512981199641898</v>
      </c>
      <c r="H118" s="1"/>
      <c r="I118" s="1"/>
      <c r="J118" s="25" t="s">
        <v>65</v>
      </c>
      <c r="K118" s="26">
        <v>135.13</v>
      </c>
      <c r="L118" s="46">
        <v>40.54</v>
      </c>
      <c r="M118" s="42" t="s">
        <v>27</v>
      </c>
      <c r="N118" s="45">
        <f>N88/N90*750</f>
        <v>333.33333333333331</v>
      </c>
      <c r="O118" s="1">
        <v>0.88300000000000001</v>
      </c>
      <c r="P118" s="11">
        <f>N118*O118</f>
        <v>294.33333333333331</v>
      </c>
      <c r="Q118" s="8"/>
      <c r="R118" s="8"/>
      <c r="S118" s="7"/>
      <c r="T118" s="7"/>
      <c r="U118" s="7"/>
      <c r="V118" s="11">
        <f t="shared" ref="V118" si="6">T118*U118</f>
        <v>0</v>
      </c>
    </row>
    <row r="119" spans="1:22" x14ac:dyDescent="0.25">
      <c r="C119" s="69"/>
      <c r="D119" s="8"/>
      <c r="E119" s="8"/>
      <c r="F119" s="8"/>
      <c r="G119" s="23"/>
      <c r="H119" s="1"/>
      <c r="I119" s="1"/>
      <c r="J119" s="25" t="s">
        <v>66</v>
      </c>
      <c r="K119" s="26">
        <v>206.33</v>
      </c>
      <c r="L119" s="46">
        <f>0.303*K119</f>
        <v>62.517990000000005</v>
      </c>
      <c r="M119" s="42" t="s">
        <v>96</v>
      </c>
      <c r="N119" s="45">
        <f>N89/N90*750</f>
        <v>170.45454545454544</v>
      </c>
      <c r="O119" s="1">
        <v>1</v>
      </c>
      <c r="P119" s="11">
        <f>N119*O119</f>
        <v>170.45454545454544</v>
      </c>
      <c r="Q119" s="8"/>
      <c r="R119" s="8"/>
      <c r="S119" s="7"/>
      <c r="T119" s="7"/>
      <c r="U119" s="7"/>
      <c r="V119" s="11"/>
    </row>
    <row r="120" spans="1:22" x14ac:dyDescent="0.25">
      <c r="C120" s="10" t="s">
        <v>4</v>
      </c>
      <c r="D120" s="11">
        <f>SUM(D117:D118)</f>
        <v>194.45999999999998</v>
      </c>
      <c r="E120" s="11">
        <f>SUM(E117:E118)</f>
        <v>597.67000000000007</v>
      </c>
      <c r="F120" s="10"/>
      <c r="G120" s="43">
        <f>SUM(G117:G118)</f>
        <v>0.64946810732962668</v>
      </c>
      <c r="I120" s="23">
        <f>SUM(I117:I118)</f>
        <v>0</v>
      </c>
      <c r="L120" s="47">
        <f>SUM(L117:L119)</f>
        <v>125.55799</v>
      </c>
      <c r="N120" s="89">
        <f>SUM(N117:N119)</f>
        <v>750</v>
      </c>
      <c r="P120" s="23">
        <f>SUM(P117:P119)</f>
        <v>679.4848484848485</v>
      </c>
      <c r="R120" s="23">
        <f>SUM(R117:R118)</f>
        <v>0</v>
      </c>
      <c r="V120" s="23">
        <f>SUM(V117:V118)</f>
        <v>0</v>
      </c>
    </row>
    <row r="121" spans="1:22" x14ac:dyDescent="0.25">
      <c r="C121" s="4"/>
      <c r="D121" s="3"/>
      <c r="E121" s="3"/>
      <c r="F121" s="3"/>
      <c r="G121" s="4"/>
      <c r="H121" s="4"/>
      <c r="I121" s="4"/>
      <c r="M121" s="49"/>
      <c r="N121" s="4"/>
      <c r="O121" s="4"/>
      <c r="P121" s="4"/>
      <c r="Q121" s="4"/>
      <c r="R121" s="4"/>
      <c r="S121" s="4"/>
      <c r="T121" s="4"/>
      <c r="U121" s="4"/>
      <c r="V121" s="4"/>
    </row>
    <row r="122" spans="1:22" x14ac:dyDescent="0.25">
      <c r="C122" s="4"/>
      <c r="D122" s="3"/>
      <c r="E122" s="3"/>
      <c r="F122" s="3"/>
      <c r="G122" s="4"/>
      <c r="H122" s="4"/>
      <c r="K122" s="162" t="s">
        <v>133</v>
      </c>
      <c r="L122" s="96">
        <f>(T124/G117)*100</f>
        <v>90</v>
      </c>
      <c r="M122" s="49"/>
      <c r="O122" s="4"/>
      <c r="P122" s="4"/>
      <c r="Q122" s="4"/>
      <c r="R122" s="4"/>
      <c r="S122" s="4"/>
    </row>
    <row r="123" spans="1:22" x14ac:dyDescent="0.25">
      <c r="C123" s="4"/>
      <c r="D123" s="3"/>
      <c r="E123" s="3"/>
      <c r="F123" s="3"/>
      <c r="G123" s="4"/>
      <c r="H123" s="4"/>
      <c r="K123" s="159" t="s">
        <v>134</v>
      </c>
      <c r="L123" s="97">
        <f>(S124/(E120)*100)</f>
        <v>96.986631418675842</v>
      </c>
      <c r="M123" s="49"/>
      <c r="R123" s="5" t="s">
        <v>11</v>
      </c>
      <c r="S123" s="5" t="s">
        <v>12</v>
      </c>
      <c r="T123" s="5" t="s">
        <v>0</v>
      </c>
    </row>
    <row r="124" spans="1:22" x14ac:dyDescent="0.25">
      <c r="C124" s="4"/>
      <c r="D124" s="3"/>
      <c r="E124" s="3"/>
      <c r="F124" s="3"/>
      <c r="G124" s="4"/>
      <c r="H124" s="4"/>
      <c r="K124" s="162" t="s">
        <v>135</v>
      </c>
      <c r="L124" s="96">
        <f>(R124/D120)*100</f>
        <v>80.484418389385993</v>
      </c>
      <c r="P124" s="4"/>
      <c r="Q124" s="5" t="s">
        <v>3</v>
      </c>
      <c r="R124" s="9">
        <v>156.51</v>
      </c>
      <c r="S124" s="9">
        <v>579.66</v>
      </c>
      <c r="T124" s="22">
        <f>G117*0.9</f>
        <v>0.30090446579988694</v>
      </c>
    </row>
    <row r="125" spans="1:22" ht="17.25" x14ac:dyDescent="0.25">
      <c r="C125" s="4"/>
      <c r="D125" s="3"/>
      <c r="E125" s="3"/>
      <c r="F125" s="3"/>
      <c r="G125" s="4"/>
      <c r="H125" s="4"/>
      <c r="K125" s="159" t="s">
        <v>136</v>
      </c>
      <c r="L125" s="13">
        <f>(D120+I120+L120+P120+R120+V120)/R124</f>
        <v>6.3861915435745233</v>
      </c>
      <c r="O125" s="4"/>
      <c r="P125" s="4"/>
      <c r="S125" s="63"/>
      <c r="T125" s="3"/>
    </row>
    <row r="126" spans="1:22" ht="17.25" x14ac:dyDescent="0.25">
      <c r="C126" s="4"/>
      <c r="D126" s="3"/>
      <c r="E126" s="3"/>
      <c r="F126" s="3"/>
      <c r="G126" s="4"/>
      <c r="H126" s="4"/>
      <c r="I126" s="4"/>
      <c r="K126" s="163" t="s">
        <v>137</v>
      </c>
      <c r="L126" s="15">
        <f>(D120+I120+L120)/R124</f>
        <v>2.0447127340106066</v>
      </c>
      <c r="N126" s="163" t="s">
        <v>139</v>
      </c>
      <c r="O126" s="93">
        <f>G117/N120*1000</f>
        <v>0.44578439377761025</v>
      </c>
      <c r="P126" s="4"/>
      <c r="S126" s="4"/>
    </row>
    <row r="127" spans="1:22" ht="17.25" x14ac:dyDescent="0.25">
      <c r="C127" s="4"/>
      <c r="D127" s="3"/>
      <c r="E127" s="3"/>
      <c r="F127" s="3"/>
      <c r="G127" s="4"/>
      <c r="H127" s="4"/>
      <c r="I127" s="4"/>
      <c r="K127" s="164" t="s">
        <v>138</v>
      </c>
      <c r="L127" s="16">
        <f>(P120+V120)/R124</f>
        <v>4.3414788095639159</v>
      </c>
      <c r="M127" s="4"/>
      <c r="N127" s="4"/>
      <c r="O127" s="4"/>
      <c r="P127" s="4"/>
      <c r="U127" s="4"/>
      <c r="V127" s="4"/>
    </row>
    <row r="128" spans="1:22" x14ac:dyDescent="0.25">
      <c r="C128" s="6"/>
      <c r="D128"/>
      <c r="E128" s="3"/>
      <c r="F128" s="3"/>
      <c r="G128" s="4"/>
      <c r="H128" s="4"/>
      <c r="I128" s="4"/>
      <c r="M128" s="4"/>
      <c r="P128" s="4"/>
      <c r="Q128" s="4"/>
      <c r="R128" s="4"/>
      <c r="S128" s="4"/>
      <c r="T128" s="4"/>
      <c r="U128" s="4"/>
      <c r="V128" s="4"/>
    </row>
    <row r="129" spans="1:22" x14ac:dyDescent="0.25">
      <c r="B129" s="4"/>
      <c r="C129" s="6" t="s">
        <v>26</v>
      </c>
      <c r="D129" s="63"/>
      <c r="E129" s="63"/>
      <c r="F129" s="63"/>
    </row>
    <row r="130" spans="1:22" ht="32.25" x14ac:dyDescent="0.25">
      <c r="C130" s="17" t="s">
        <v>14</v>
      </c>
      <c r="D130" s="20" t="s">
        <v>21</v>
      </c>
      <c r="E130" s="20" t="s">
        <v>94</v>
      </c>
      <c r="F130" s="17" t="s">
        <v>13</v>
      </c>
      <c r="G130" s="17" t="s">
        <v>15</v>
      </c>
      <c r="H130" s="18" t="s">
        <v>1</v>
      </c>
      <c r="I130" s="19" t="s">
        <v>25</v>
      </c>
      <c r="J130" s="17" t="s">
        <v>2</v>
      </c>
      <c r="K130" s="20" t="s">
        <v>94</v>
      </c>
      <c r="L130" s="20" t="s">
        <v>22</v>
      </c>
      <c r="M130" s="19" t="s">
        <v>8</v>
      </c>
      <c r="N130" s="19" t="s">
        <v>16</v>
      </c>
      <c r="O130" s="19" t="s">
        <v>17</v>
      </c>
      <c r="P130" s="19" t="s">
        <v>18</v>
      </c>
      <c r="Q130" s="20" t="s">
        <v>10</v>
      </c>
      <c r="R130" s="20" t="s">
        <v>23</v>
      </c>
      <c r="S130" s="19" t="s">
        <v>9</v>
      </c>
      <c r="T130" s="19" t="s">
        <v>19</v>
      </c>
      <c r="U130" s="19" t="s">
        <v>20</v>
      </c>
      <c r="V130" s="19" t="s">
        <v>24</v>
      </c>
    </row>
    <row r="131" spans="1:22" x14ac:dyDescent="0.25">
      <c r="A131" s="41" t="s">
        <v>186</v>
      </c>
      <c r="C131" s="173" t="s">
        <v>146</v>
      </c>
      <c r="D131" s="8">
        <f>D71</f>
        <v>276.24</v>
      </c>
      <c r="E131" s="8">
        <v>138.12</v>
      </c>
      <c r="F131" s="8">
        <v>1</v>
      </c>
      <c r="G131" s="11">
        <f>D131/E131</f>
        <v>2</v>
      </c>
      <c r="H131" s="7"/>
      <c r="I131" s="7"/>
      <c r="J131" s="8" t="s">
        <v>66</v>
      </c>
      <c r="K131" s="8">
        <v>206.33</v>
      </c>
      <c r="L131" s="46">
        <f>2.1*K131</f>
        <v>433.29300000000006</v>
      </c>
      <c r="M131" s="42" t="s">
        <v>40</v>
      </c>
      <c r="N131" s="44">
        <v>5000</v>
      </c>
      <c r="O131" s="42">
        <v>0.89500000000000002</v>
      </c>
      <c r="P131" s="11">
        <f>N131*O131</f>
        <v>4475</v>
      </c>
      <c r="Q131" s="8"/>
      <c r="R131" s="8"/>
      <c r="S131" s="7"/>
      <c r="T131" s="7"/>
      <c r="U131" s="7"/>
      <c r="V131" s="11">
        <f>T131*U131</f>
        <v>0</v>
      </c>
    </row>
    <row r="132" spans="1:22" x14ac:dyDescent="0.25">
      <c r="C132" s="160" t="s">
        <v>147</v>
      </c>
      <c r="D132" s="8">
        <v>203.85</v>
      </c>
      <c r="E132" s="8">
        <v>100.17</v>
      </c>
      <c r="F132" s="8">
        <f>G132/G131</f>
        <v>1.0175202156334231</v>
      </c>
      <c r="G132" s="11">
        <f>D132/E132</f>
        <v>2.0350404312668462</v>
      </c>
      <c r="H132" s="1"/>
      <c r="I132" s="1"/>
      <c r="J132" s="25"/>
      <c r="K132" s="26"/>
      <c r="L132" s="46"/>
      <c r="M132" s="42"/>
      <c r="N132" s="45"/>
      <c r="O132" s="1"/>
      <c r="P132" s="11"/>
      <c r="Q132" s="8"/>
      <c r="R132" s="8"/>
      <c r="S132" s="7"/>
      <c r="T132" s="7"/>
      <c r="U132" s="7"/>
      <c r="V132" s="11">
        <f t="shared" ref="V132:V133" si="7">T132*U132</f>
        <v>0</v>
      </c>
    </row>
    <row r="133" spans="1:22" x14ac:dyDescent="0.25">
      <c r="C133" s="8"/>
      <c r="D133" s="8"/>
      <c r="E133" s="8"/>
      <c r="F133" s="8"/>
      <c r="G133" s="10"/>
      <c r="H133" s="1"/>
      <c r="I133" s="1"/>
      <c r="J133" s="25"/>
      <c r="K133" s="26"/>
      <c r="L133" s="46"/>
      <c r="M133" s="42"/>
      <c r="N133" s="45"/>
      <c r="O133" s="1"/>
      <c r="P133" s="11"/>
      <c r="Q133" s="8"/>
      <c r="R133" s="8"/>
      <c r="S133" s="7"/>
      <c r="T133" s="7"/>
      <c r="U133" s="7"/>
      <c r="V133" s="11">
        <f t="shared" si="7"/>
        <v>0</v>
      </c>
    </row>
    <row r="134" spans="1:22" x14ac:dyDescent="0.25">
      <c r="C134" s="10" t="s">
        <v>4</v>
      </c>
      <c r="D134" s="11">
        <f>SUM(D131:D132)</f>
        <v>480.09000000000003</v>
      </c>
      <c r="E134" s="11">
        <f>SUM(E131:E132)</f>
        <v>238.29000000000002</v>
      </c>
      <c r="F134" s="10"/>
      <c r="G134" s="23">
        <f>SUM(G131:G133)</f>
        <v>4.0350404312668466</v>
      </c>
      <c r="I134" s="23">
        <f>SUM(I131:I132)</f>
        <v>0</v>
      </c>
      <c r="L134" s="47">
        <f>SUM(L131:L133)</f>
        <v>433.29300000000006</v>
      </c>
      <c r="N134" s="89">
        <f>SUM(N131:N133)</f>
        <v>5000</v>
      </c>
      <c r="P134" s="23">
        <f>SUM(P131:P133)</f>
        <v>4475</v>
      </c>
      <c r="R134" s="23">
        <f>SUM(R131:R133)</f>
        <v>0</v>
      </c>
      <c r="V134" s="23">
        <f>SUM(V131:V133)</f>
        <v>0</v>
      </c>
    </row>
    <row r="135" spans="1:22" x14ac:dyDescent="0.25">
      <c r="C135" s="4"/>
      <c r="D135" s="3"/>
      <c r="E135" s="3"/>
      <c r="F135" s="3"/>
      <c r="G135" s="4"/>
      <c r="H135" s="4"/>
      <c r="I135" s="4"/>
      <c r="M135" s="4"/>
      <c r="N135" s="4"/>
      <c r="O135" s="4"/>
      <c r="P135" s="4"/>
      <c r="Q135" s="4"/>
      <c r="R135" s="4"/>
      <c r="S135" s="4"/>
      <c r="T135" s="4"/>
      <c r="U135" s="4"/>
      <c r="V135" s="4"/>
    </row>
    <row r="136" spans="1:22" x14ac:dyDescent="0.25">
      <c r="C136" s="4"/>
      <c r="D136" s="3"/>
      <c r="E136" s="3"/>
      <c r="F136" s="3"/>
      <c r="G136" s="4"/>
      <c r="H136" s="4"/>
      <c r="K136" s="162" t="s">
        <v>133</v>
      </c>
      <c r="L136" s="96">
        <f>(T138/G131)*100</f>
        <v>90.000907976574211</v>
      </c>
      <c r="N136" s="49"/>
      <c r="O136" s="4"/>
      <c r="P136" s="4"/>
      <c r="Q136" s="4"/>
      <c r="R136" s="4"/>
      <c r="S136" s="4"/>
    </row>
    <row r="137" spans="1:22" x14ac:dyDescent="0.25">
      <c r="C137" s="4"/>
      <c r="D137" s="3"/>
      <c r="E137" s="3"/>
      <c r="F137" s="3"/>
      <c r="G137" s="4"/>
      <c r="H137" s="4"/>
      <c r="K137" s="159" t="s">
        <v>134</v>
      </c>
      <c r="L137" s="97">
        <f>(S138/(E134)*100)</f>
        <v>92.437785891141047</v>
      </c>
      <c r="R137" s="5" t="s">
        <v>11</v>
      </c>
      <c r="S137" s="5" t="s">
        <v>12</v>
      </c>
      <c r="T137" s="5" t="s">
        <v>0</v>
      </c>
    </row>
    <row r="138" spans="1:22" x14ac:dyDescent="0.25">
      <c r="C138" s="4"/>
      <c r="D138" s="3"/>
      <c r="E138" s="3"/>
      <c r="F138" s="3"/>
      <c r="G138" s="4"/>
      <c r="H138" s="4"/>
      <c r="K138" s="162" t="s">
        <v>135</v>
      </c>
      <c r="L138" s="96">
        <f>(R138/D134)*100</f>
        <v>82.586598346143418</v>
      </c>
      <c r="P138" s="4"/>
      <c r="Q138" s="5" t="s">
        <v>3</v>
      </c>
      <c r="R138" s="9">
        <v>396.49</v>
      </c>
      <c r="S138" s="9">
        <v>220.27</v>
      </c>
      <c r="T138" s="48">
        <f>R138/S138</f>
        <v>1.8000181595314841</v>
      </c>
    </row>
    <row r="139" spans="1:22" ht="17.25" x14ac:dyDescent="0.25">
      <c r="C139" s="4"/>
      <c r="D139" s="3"/>
      <c r="E139" s="3"/>
      <c r="F139" s="3"/>
      <c r="G139" s="4"/>
      <c r="H139" s="4"/>
      <c r="K139" s="159" t="s">
        <v>136</v>
      </c>
      <c r="L139" s="13">
        <f>(D134+I134+L134+P134+R134+V134)/R138</f>
        <v>13.59021160685011</v>
      </c>
      <c r="O139" s="4"/>
      <c r="P139" s="4"/>
      <c r="S139" s="63"/>
      <c r="T139" s="3"/>
    </row>
    <row r="140" spans="1:22" ht="17.25" x14ac:dyDescent="0.25">
      <c r="C140" s="4"/>
      <c r="D140" s="3"/>
      <c r="E140" s="3"/>
      <c r="F140" s="3"/>
      <c r="G140" s="4"/>
      <c r="H140" s="4"/>
      <c r="I140" s="4"/>
      <c r="K140" s="163" t="s">
        <v>137</v>
      </c>
      <c r="L140" s="15">
        <f>(D134+I134+L134)/R138</f>
        <v>2.3036722237635248</v>
      </c>
      <c r="O140" s="4"/>
      <c r="P140" s="4"/>
      <c r="S140" s="4"/>
    </row>
    <row r="141" spans="1:22" ht="17.25" x14ac:dyDescent="0.25">
      <c r="C141" s="4"/>
      <c r="D141" s="3"/>
      <c r="E141" s="3"/>
      <c r="F141" s="3"/>
      <c r="G141" s="4"/>
      <c r="H141" s="4"/>
      <c r="I141" s="4"/>
      <c r="K141" s="164" t="s">
        <v>138</v>
      </c>
      <c r="L141" s="16">
        <f>(P134+V134)/R138</f>
        <v>11.286539383086584</v>
      </c>
      <c r="M141" s="4"/>
      <c r="N141" s="163" t="s">
        <v>139</v>
      </c>
      <c r="O141" s="93">
        <f>(G131/N134)*1000</f>
        <v>0.4</v>
      </c>
      <c r="P141" s="4"/>
      <c r="U141" s="4"/>
      <c r="V141" s="4"/>
    </row>
    <row r="142" spans="1:22" x14ac:dyDescent="0.25">
      <c r="C142" s="6"/>
      <c r="D142"/>
      <c r="E142" s="3"/>
      <c r="F142" s="3"/>
      <c r="G142" s="4"/>
      <c r="H142" s="4"/>
      <c r="I142" s="4"/>
      <c r="M142" s="4"/>
      <c r="N142" s="4"/>
      <c r="O142" s="4"/>
      <c r="P142" s="4"/>
      <c r="Q142" s="4"/>
      <c r="R142" s="4"/>
      <c r="S142" s="4"/>
      <c r="T142" s="4"/>
      <c r="U142" s="4"/>
      <c r="V142" s="4"/>
    </row>
    <row r="143" spans="1:22" x14ac:dyDescent="0.25">
      <c r="C143" s="6"/>
      <c r="D143"/>
      <c r="E143" s="3"/>
      <c r="F143" s="3"/>
      <c r="G143" s="4"/>
      <c r="H143" s="4"/>
      <c r="I143" s="4"/>
      <c r="M143" s="4"/>
      <c r="N143" s="4"/>
      <c r="O143" s="4"/>
      <c r="P143" s="4"/>
      <c r="Q143" s="4"/>
      <c r="R143" s="4"/>
      <c r="S143" s="4"/>
      <c r="T143" s="4"/>
      <c r="U143" s="4"/>
      <c r="V143" s="4"/>
    </row>
    <row r="144" spans="1:22" s="29" customFormat="1" x14ac:dyDescent="0.25">
      <c r="A144" s="28" t="s">
        <v>106</v>
      </c>
      <c r="D144" s="30"/>
      <c r="E144" s="30"/>
      <c r="F144" s="30"/>
    </row>
    <row r="145" spans="1:22" x14ac:dyDescent="0.25">
      <c r="B145" s="4"/>
      <c r="C145" s="6" t="s">
        <v>26</v>
      </c>
      <c r="D145" s="81"/>
      <c r="E145" s="82"/>
      <c r="F145" s="82"/>
      <c r="G145" s="6"/>
      <c r="H145" s="6"/>
      <c r="I145" s="6"/>
      <c r="J145" s="6"/>
      <c r="K145" s="6"/>
    </row>
    <row r="146" spans="1:22" ht="32.25" x14ac:dyDescent="0.25">
      <c r="C146" s="17" t="s">
        <v>14</v>
      </c>
      <c r="D146" s="20" t="s">
        <v>21</v>
      </c>
      <c r="E146" s="20" t="s">
        <v>94</v>
      </c>
      <c r="F146" s="17" t="s">
        <v>13</v>
      </c>
      <c r="G146" s="17" t="s">
        <v>15</v>
      </c>
      <c r="H146" s="18" t="s">
        <v>1</v>
      </c>
      <c r="I146" s="19" t="s">
        <v>25</v>
      </c>
      <c r="J146" s="17" t="s">
        <v>2</v>
      </c>
      <c r="K146" s="20" t="s">
        <v>94</v>
      </c>
      <c r="L146" s="20" t="s">
        <v>22</v>
      </c>
      <c r="M146" s="19" t="s">
        <v>8</v>
      </c>
      <c r="N146" s="19" t="s">
        <v>16</v>
      </c>
      <c r="O146" s="19" t="s">
        <v>17</v>
      </c>
      <c r="P146" s="19" t="s">
        <v>18</v>
      </c>
      <c r="Q146" s="20" t="s">
        <v>10</v>
      </c>
      <c r="R146" s="20" t="s">
        <v>23</v>
      </c>
      <c r="S146" s="19" t="s">
        <v>9</v>
      </c>
      <c r="T146" s="19" t="s">
        <v>19</v>
      </c>
      <c r="U146" s="19" t="s">
        <v>20</v>
      </c>
      <c r="V146" s="19" t="s">
        <v>24</v>
      </c>
    </row>
    <row r="147" spans="1:22" ht="34.5" customHeight="1" x14ac:dyDescent="0.25">
      <c r="A147" s="41" t="s">
        <v>185</v>
      </c>
      <c r="C147" s="171" t="s">
        <v>144</v>
      </c>
      <c r="D147" s="56">
        <v>106.46</v>
      </c>
      <c r="E147" s="8">
        <v>318.42</v>
      </c>
      <c r="F147" s="8">
        <v>1</v>
      </c>
      <c r="G147" s="11">
        <f>D147/E147</f>
        <v>0.33433829533320769</v>
      </c>
      <c r="H147" s="7"/>
      <c r="I147" s="7"/>
      <c r="J147" s="8" t="s">
        <v>45</v>
      </c>
      <c r="K147" s="8">
        <v>40</v>
      </c>
      <c r="L147" s="46">
        <v>22.5</v>
      </c>
      <c r="M147" s="67" t="s">
        <v>64</v>
      </c>
      <c r="N147" s="45">
        <f>N117/N120*750</f>
        <v>246.21212121212122</v>
      </c>
      <c r="O147" s="1">
        <v>0.872</v>
      </c>
      <c r="P147" s="11">
        <f>N147*O147</f>
        <v>214.69696969696969</v>
      </c>
      <c r="Q147" s="8"/>
      <c r="R147" s="8"/>
      <c r="S147" s="7"/>
      <c r="T147" s="7"/>
      <c r="U147" s="7"/>
      <c r="V147" s="11">
        <f>T147*U147</f>
        <v>0</v>
      </c>
    </row>
    <row r="148" spans="1:22" x14ac:dyDescent="0.25">
      <c r="C148" s="175" t="s">
        <v>145</v>
      </c>
      <c r="D148" s="8">
        <v>88</v>
      </c>
      <c r="E148" s="8">
        <v>279.25</v>
      </c>
      <c r="F148" s="8">
        <f>G148/G147</f>
        <v>0.94254776193781453</v>
      </c>
      <c r="G148" s="10">
        <f>D148/E148</f>
        <v>0.31512981199641898</v>
      </c>
      <c r="H148" s="1"/>
      <c r="I148" s="1"/>
      <c r="J148" s="25" t="s">
        <v>65</v>
      </c>
      <c r="K148" s="26">
        <v>135.13</v>
      </c>
      <c r="L148" s="46">
        <v>40.54</v>
      </c>
      <c r="M148" s="42" t="s">
        <v>27</v>
      </c>
      <c r="N148" s="45">
        <f>N118/N120*750</f>
        <v>333.33333333333331</v>
      </c>
      <c r="O148" s="1">
        <v>0.88300000000000001</v>
      </c>
      <c r="P148" s="11">
        <f>N148*O148</f>
        <v>294.33333333333331</v>
      </c>
      <c r="Q148" s="8"/>
      <c r="R148" s="8"/>
      <c r="S148" s="7"/>
      <c r="T148" s="7"/>
      <c r="U148" s="7"/>
      <c r="V148" s="11">
        <f t="shared" ref="V148" si="8">T148*U148</f>
        <v>0</v>
      </c>
    </row>
    <row r="149" spans="1:22" x14ac:dyDescent="0.25">
      <c r="C149" s="69"/>
      <c r="D149" s="8"/>
      <c r="E149" s="8"/>
      <c r="F149" s="8"/>
      <c r="G149" s="23"/>
      <c r="H149" s="1"/>
      <c r="I149" s="1"/>
      <c r="J149" s="25" t="s">
        <v>66</v>
      </c>
      <c r="K149" s="26">
        <v>206.33</v>
      </c>
      <c r="L149" s="46">
        <f>0.303*K149</f>
        <v>62.517990000000005</v>
      </c>
      <c r="M149" s="42" t="s">
        <v>96</v>
      </c>
      <c r="N149" s="45">
        <f>N119/N120*750</f>
        <v>170.45454545454544</v>
      </c>
      <c r="O149" s="1">
        <v>1</v>
      </c>
      <c r="P149" s="11">
        <f>N149*O149</f>
        <v>170.45454545454544</v>
      </c>
      <c r="Q149" s="8"/>
      <c r="R149" s="8"/>
      <c r="S149" s="7"/>
      <c r="T149" s="7"/>
      <c r="U149" s="7"/>
      <c r="V149" s="11"/>
    </row>
    <row r="150" spans="1:22" x14ac:dyDescent="0.25">
      <c r="C150" s="10" t="s">
        <v>4</v>
      </c>
      <c r="D150" s="11">
        <f>SUM(D147:D148)</f>
        <v>194.45999999999998</v>
      </c>
      <c r="E150" s="11">
        <f>SUM(E147:E148)</f>
        <v>597.67000000000007</v>
      </c>
      <c r="F150" s="10"/>
      <c r="G150" s="43">
        <f>SUM(G147:G148)</f>
        <v>0.64946810732962668</v>
      </c>
      <c r="I150" s="23">
        <f>SUM(I147:I148)</f>
        <v>0</v>
      </c>
      <c r="L150" s="47">
        <f>SUM(L147:L149)</f>
        <v>125.55799</v>
      </c>
      <c r="N150" s="89">
        <f>SUM(N147:N149)</f>
        <v>750</v>
      </c>
      <c r="P150" s="23">
        <f>SUM(P147:P149)</f>
        <v>679.4848484848485</v>
      </c>
      <c r="R150" s="23">
        <f>SUM(R147:R148)</f>
        <v>0</v>
      </c>
      <c r="V150" s="23">
        <f>SUM(V147:V148)</f>
        <v>0</v>
      </c>
    </row>
    <row r="151" spans="1:22" x14ac:dyDescent="0.25">
      <c r="C151" s="4"/>
      <c r="D151" s="3"/>
      <c r="E151" s="3"/>
      <c r="F151" s="3"/>
      <c r="G151" s="4"/>
      <c r="H151" s="4"/>
      <c r="I151" s="4"/>
      <c r="M151" s="49"/>
      <c r="N151" s="4"/>
      <c r="O151" s="4"/>
      <c r="P151" s="4"/>
      <c r="Q151" s="4"/>
      <c r="R151" s="4"/>
      <c r="S151" s="4"/>
      <c r="T151" s="4"/>
      <c r="U151" s="4"/>
      <c r="V151" s="4"/>
    </row>
    <row r="152" spans="1:22" x14ac:dyDescent="0.25">
      <c r="C152" s="4"/>
      <c r="D152" s="3"/>
      <c r="E152" s="3"/>
      <c r="F152" s="3"/>
      <c r="G152" s="4"/>
      <c r="H152" s="4"/>
      <c r="K152" s="162" t="s">
        <v>133</v>
      </c>
      <c r="L152" s="96">
        <f>(T154/G147)*100</f>
        <v>50</v>
      </c>
      <c r="M152" s="49"/>
      <c r="O152" s="4"/>
      <c r="P152" s="4"/>
      <c r="Q152" s="4"/>
      <c r="R152" s="4"/>
      <c r="S152" s="4"/>
    </row>
    <row r="153" spans="1:22" x14ac:dyDescent="0.25">
      <c r="C153" s="4"/>
      <c r="D153" s="3"/>
      <c r="E153" s="3"/>
      <c r="F153" s="3"/>
      <c r="G153" s="4"/>
      <c r="H153" s="4"/>
      <c r="K153" s="159" t="s">
        <v>134</v>
      </c>
      <c r="L153" s="97">
        <f>(S154/(E150)*100)</f>
        <v>96.986631418675842</v>
      </c>
      <c r="M153" s="49"/>
      <c r="R153" s="5" t="s">
        <v>11</v>
      </c>
      <c r="S153" s="5" t="s">
        <v>12</v>
      </c>
      <c r="T153" s="5" t="s">
        <v>0</v>
      </c>
    </row>
    <row r="154" spans="1:22" x14ac:dyDescent="0.25">
      <c r="C154" s="4"/>
      <c r="D154" s="3"/>
      <c r="E154" s="3"/>
      <c r="F154" s="3"/>
      <c r="G154" s="4"/>
      <c r="H154" s="4"/>
      <c r="K154" s="162" t="s">
        <v>135</v>
      </c>
      <c r="L154" s="96">
        <f>(R154/D150)*100</f>
        <v>49.830951422618327</v>
      </c>
      <c r="P154" s="4"/>
      <c r="Q154" s="5" t="s">
        <v>3</v>
      </c>
      <c r="R154" s="9">
        <f>T154*S154</f>
        <v>96.901268136423582</v>
      </c>
      <c r="S154" s="9">
        <v>579.66</v>
      </c>
      <c r="T154" s="22">
        <f>G147*0.5</f>
        <v>0.16716914766660385</v>
      </c>
    </row>
    <row r="155" spans="1:22" ht="17.25" x14ac:dyDescent="0.25">
      <c r="C155" s="4"/>
      <c r="D155" s="3"/>
      <c r="E155" s="3"/>
      <c r="F155" s="3"/>
      <c r="G155" s="4"/>
      <c r="H155" s="4"/>
      <c r="K155" s="159" t="s">
        <v>136</v>
      </c>
      <c r="L155" s="13">
        <f>(D150+I150+L150+P150+R150+V150)/R154</f>
        <v>10.314651786369677</v>
      </c>
      <c r="O155" s="4"/>
      <c r="P155" s="4"/>
      <c r="S155" s="81"/>
      <c r="T155" s="3"/>
    </row>
    <row r="156" spans="1:22" ht="17.25" x14ac:dyDescent="0.25">
      <c r="C156" s="4"/>
      <c r="D156" s="3"/>
      <c r="E156" s="3"/>
      <c r="F156" s="3"/>
      <c r="G156" s="4"/>
      <c r="H156" s="4"/>
      <c r="I156" s="4"/>
      <c r="K156" s="163" t="s">
        <v>137</v>
      </c>
      <c r="L156" s="15">
        <f>(D150+I150+L150)/R154</f>
        <v>3.3025160160903049</v>
      </c>
      <c r="N156" s="163" t="s">
        <v>139</v>
      </c>
      <c r="O156" s="93">
        <f>G147/N150*1000</f>
        <v>0.44578439377761025</v>
      </c>
      <c r="P156" s="4"/>
      <c r="S156" s="4"/>
    </row>
    <row r="157" spans="1:22" ht="17.25" x14ac:dyDescent="0.25">
      <c r="C157" s="4"/>
      <c r="D157" s="3"/>
      <c r="E157" s="3"/>
      <c r="F157" s="3"/>
      <c r="G157" s="4"/>
      <c r="H157" s="4"/>
      <c r="I157" s="4"/>
      <c r="K157" s="164" t="s">
        <v>138</v>
      </c>
      <c r="L157" s="16">
        <f>(P150+V150)/R154</f>
        <v>7.0121357702793716</v>
      </c>
      <c r="M157" s="4"/>
      <c r="N157" s="4"/>
      <c r="O157" s="4"/>
      <c r="P157" s="4"/>
      <c r="U157" s="4"/>
      <c r="V157" s="4"/>
    </row>
    <row r="158" spans="1:22" x14ac:dyDescent="0.25">
      <c r="C158" s="6"/>
      <c r="D158"/>
      <c r="E158" s="3"/>
      <c r="F158" s="3"/>
      <c r="G158" s="4"/>
      <c r="H158" s="4"/>
      <c r="I158" s="4"/>
      <c r="M158" s="4"/>
      <c r="P158" s="4"/>
      <c r="Q158" s="4"/>
      <c r="R158" s="4"/>
      <c r="S158" s="4"/>
      <c r="T158" s="4"/>
      <c r="U158" s="4"/>
      <c r="V158" s="4"/>
    </row>
    <row r="159" spans="1:22" x14ac:dyDescent="0.25">
      <c r="B159" s="4"/>
      <c r="C159" s="6" t="s">
        <v>26</v>
      </c>
      <c r="D159" s="81"/>
      <c r="E159" s="81"/>
      <c r="F159" s="81"/>
    </row>
    <row r="160" spans="1:22" ht="32.25" x14ac:dyDescent="0.25">
      <c r="C160" s="17" t="s">
        <v>14</v>
      </c>
      <c r="D160" s="20" t="s">
        <v>21</v>
      </c>
      <c r="E160" s="20" t="s">
        <v>94</v>
      </c>
      <c r="F160" s="17" t="s">
        <v>13</v>
      </c>
      <c r="G160" s="17" t="s">
        <v>15</v>
      </c>
      <c r="H160" s="18" t="s">
        <v>1</v>
      </c>
      <c r="I160" s="19" t="s">
        <v>25</v>
      </c>
      <c r="J160" s="17" t="s">
        <v>2</v>
      </c>
      <c r="K160" s="20" t="s">
        <v>94</v>
      </c>
      <c r="L160" s="20" t="s">
        <v>22</v>
      </c>
      <c r="M160" s="19" t="s">
        <v>8</v>
      </c>
      <c r="N160" s="19" t="s">
        <v>16</v>
      </c>
      <c r="O160" s="19" t="s">
        <v>17</v>
      </c>
      <c r="P160" s="19" t="s">
        <v>18</v>
      </c>
      <c r="Q160" s="20" t="s">
        <v>10</v>
      </c>
      <c r="R160" s="20" t="s">
        <v>23</v>
      </c>
      <c r="S160" s="19" t="s">
        <v>9</v>
      </c>
      <c r="T160" s="19" t="s">
        <v>19</v>
      </c>
      <c r="U160" s="19" t="s">
        <v>20</v>
      </c>
      <c r="V160" s="19" t="s">
        <v>24</v>
      </c>
    </row>
    <row r="161" spans="1:22" x14ac:dyDescent="0.25">
      <c r="A161" s="41" t="s">
        <v>186</v>
      </c>
      <c r="C161" s="173" t="s">
        <v>146</v>
      </c>
      <c r="D161" s="8">
        <f>D101</f>
        <v>276.24</v>
      </c>
      <c r="E161" s="8">
        <v>138.12</v>
      </c>
      <c r="F161" s="8">
        <v>1</v>
      </c>
      <c r="G161" s="11">
        <f>D161/E161</f>
        <v>2</v>
      </c>
      <c r="H161" s="7"/>
      <c r="I161" s="7"/>
      <c r="J161" s="8" t="s">
        <v>66</v>
      </c>
      <c r="K161" s="8">
        <v>206.33</v>
      </c>
      <c r="L161" s="46">
        <f>2.1*K161</f>
        <v>433.29300000000006</v>
      </c>
      <c r="M161" s="42" t="s">
        <v>40</v>
      </c>
      <c r="N161" s="44">
        <v>5000</v>
      </c>
      <c r="O161" s="42">
        <v>0.89500000000000002</v>
      </c>
      <c r="P161" s="11">
        <f>N161*O161</f>
        <v>4475</v>
      </c>
      <c r="Q161" s="8"/>
      <c r="R161" s="8"/>
      <c r="S161" s="7"/>
      <c r="T161" s="7"/>
      <c r="U161" s="7"/>
      <c r="V161" s="11">
        <f>T161*U161</f>
        <v>0</v>
      </c>
    </row>
    <row r="162" spans="1:22" x14ac:dyDescent="0.25">
      <c r="C162" s="160" t="s">
        <v>147</v>
      </c>
      <c r="D162" s="8">
        <v>203.85</v>
      </c>
      <c r="E162" s="8">
        <v>100.17</v>
      </c>
      <c r="F162" s="8">
        <f>G162/G161</f>
        <v>1.0175202156334231</v>
      </c>
      <c r="G162" s="11">
        <f>D162/E162</f>
        <v>2.0350404312668462</v>
      </c>
      <c r="H162" s="1"/>
      <c r="I162" s="1"/>
      <c r="J162" s="25"/>
      <c r="K162" s="26"/>
      <c r="L162" s="46"/>
      <c r="M162" s="42"/>
      <c r="N162" s="45"/>
      <c r="O162" s="1"/>
      <c r="P162" s="11"/>
      <c r="Q162" s="8"/>
      <c r="R162" s="8"/>
      <c r="S162" s="7"/>
      <c r="T162" s="7"/>
      <c r="U162" s="7"/>
      <c r="V162" s="11">
        <f t="shared" ref="V162:V163" si="9">T162*U162</f>
        <v>0</v>
      </c>
    </row>
    <row r="163" spans="1:22" x14ac:dyDescent="0.25">
      <c r="C163" s="8"/>
      <c r="D163" s="8"/>
      <c r="E163" s="8"/>
      <c r="F163" s="8"/>
      <c r="G163" s="10"/>
      <c r="H163" s="1"/>
      <c r="I163" s="1"/>
      <c r="J163" s="25"/>
      <c r="K163" s="26"/>
      <c r="L163" s="46"/>
      <c r="M163" s="42"/>
      <c r="N163" s="45"/>
      <c r="O163" s="1"/>
      <c r="P163" s="11"/>
      <c r="Q163" s="8"/>
      <c r="R163" s="8"/>
      <c r="S163" s="7"/>
      <c r="T163" s="7"/>
      <c r="U163" s="7"/>
      <c r="V163" s="11">
        <f t="shared" si="9"/>
        <v>0</v>
      </c>
    </row>
    <row r="164" spans="1:22" x14ac:dyDescent="0.25">
      <c r="C164" s="10" t="s">
        <v>4</v>
      </c>
      <c r="D164" s="11">
        <f>SUM(D161:D162)</f>
        <v>480.09000000000003</v>
      </c>
      <c r="E164" s="11">
        <f>SUM(E161:E162)</f>
        <v>238.29000000000002</v>
      </c>
      <c r="F164" s="10"/>
      <c r="G164" s="23">
        <f>SUM(G161:G163)</f>
        <v>4.0350404312668466</v>
      </c>
      <c r="I164" s="23">
        <f>SUM(I161:I162)</f>
        <v>0</v>
      </c>
      <c r="L164" s="47">
        <f>SUM(L161:L163)</f>
        <v>433.29300000000006</v>
      </c>
      <c r="N164" s="89">
        <f>SUM(N161:N163)</f>
        <v>5000</v>
      </c>
      <c r="P164" s="23">
        <f>SUM(P161:P163)</f>
        <v>4475</v>
      </c>
      <c r="R164" s="23">
        <f>SUM(R161:R163)</f>
        <v>0</v>
      </c>
      <c r="V164" s="23">
        <f>SUM(V161:V163)</f>
        <v>0</v>
      </c>
    </row>
    <row r="165" spans="1:22" x14ac:dyDescent="0.25">
      <c r="C165" s="4"/>
      <c r="D165" s="3"/>
      <c r="E165" s="3"/>
      <c r="F165" s="3"/>
      <c r="G165" s="4"/>
      <c r="H165" s="4"/>
      <c r="I165" s="4"/>
      <c r="M165" s="4"/>
      <c r="N165" s="4"/>
      <c r="O165" s="4"/>
      <c r="P165" s="4"/>
      <c r="Q165" s="4"/>
      <c r="R165" s="4"/>
      <c r="S165" s="4"/>
      <c r="T165" s="4"/>
      <c r="U165" s="4"/>
      <c r="V165" s="4"/>
    </row>
    <row r="166" spans="1:22" x14ac:dyDescent="0.25">
      <c r="C166" s="4"/>
      <c r="D166" s="3"/>
      <c r="E166" s="3"/>
      <c r="F166" s="3"/>
      <c r="G166" s="4"/>
      <c r="H166" s="4"/>
      <c r="K166" s="162" t="s">
        <v>133</v>
      </c>
      <c r="L166" s="96">
        <f>(T168/G161)*100</f>
        <v>50</v>
      </c>
      <c r="N166" s="49"/>
      <c r="O166" s="4"/>
      <c r="P166" s="4"/>
      <c r="Q166" s="4"/>
      <c r="R166" s="4"/>
      <c r="S166" s="4"/>
    </row>
    <row r="167" spans="1:22" x14ac:dyDescent="0.25">
      <c r="C167" s="4"/>
      <c r="D167" s="3"/>
      <c r="E167" s="3"/>
      <c r="F167" s="3"/>
      <c r="G167" s="4"/>
      <c r="H167" s="4"/>
      <c r="K167" s="159" t="s">
        <v>134</v>
      </c>
      <c r="L167" s="97">
        <f>(S168/(E164)*100)</f>
        <v>92.437785891141047</v>
      </c>
      <c r="R167" s="5" t="s">
        <v>11</v>
      </c>
      <c r="S167" s="5" t="s">
        <v>12</v>
      </c>
      <c r="T167" s="5" t="s">
        <v>0</v>
      </c>
    </row>
    <row r="168" spans="1:22" x14ac:dyDescent="0.25">
      <c r="C168" s="4"/>
      <c r="D168" s="3"/>
      <c r="E168" s="3"/>
      <c r="F168" s="3"/>
      <c r="G168" s="4"/>
      <c r="H168" s="4"/>
      <c r="K168" s="162" t="s">
        <v>135</v>
      </c>
      <c r="L168" s="96">
        <f>(R168/D164)*100</f>
        <v>45.880980649461556</v>
      </c>
      <c r="P168" s="4"/>
      <c r="Q168" s="5" t="s">
        <v>3</v>
      </c>
      <c r="R168" s="9">
        <f>T168*S168</f>
        <v>220.27</v>
      </c>
      <c r="S168" s="9">
        <v>220.27</v>
      </c>
      <c r="T168" s="48">
        <f>G161*0.5</f>
        <v>1</v>
      </c>
    </row>
    <row r="169" spans="1:22" ht="17.25" x14ac:dyDescent="0.25">
      <c r="C169" s="4"/>
      <c r="D169" s="3"/>
      <c r="E169" s="3"/>
      <c r="F169" s="3"/>
      <c r="G169" s="4"/>
      <c r="H169" s="4"/>
      <c r="K169" s="159" t="s">
        <v>136</v>
      </c>
      <c r="L169" s="13">
        <f>(D164+I164+L164+P164+R164+V164)/R168</f>
        <v>24.462627684205746</v>
      </c>
      <c r="O169" s="4"/>
      <c r="P169" s="4"/>
      <c r="S169" s="81"/>
      <c r="T169" s="3"/>
    </row>
    <row r="170" spans="1:22" ht="17.25" x14ac:dyDescent="0.25">
      <c r="C170" s="4"/>
      <c r="D170" s="3"/>
      <c r="E170" s="3"/>
      <c r="F170" s="3"/>
      <c r="G170" s="4"/>
      <c r="H170" s="4"/>
      <c r="I170" s="4"/>
      <c r="K170" s="163" t="s">
        <v>137</v>
      </c>
      <c r="L170" s="15">
        <f>(D164+I164+L164)/R168</f>
        <v>4.1466518363826212</v>
      </c>
      <c r="O170" s="4"/>
      <c r="P170" s="4"/>
      <c r="S170" s="4"/>
    </row>
    <row r="171" spans="1:22" ht="17.25" x14ac:dyDescent="0.25">
      <c r="C171" s="4"/>
      <c r="D171" s="3"/>
      <c r="E171" s="3"/>
      <c r="F171" s="3"/>
      <c r="G171" s="4"/>
      <c r="H171" s="4"/>
      <c r="I171" s="4"/>
      <c r="K171" s="164" t="s">
        <v>138</v>
      </c>
      <c r="L171" s="16">
        <f>(P164+V164)/R168</f>
        <v>20.315975847823125</v>
      </c>
      <c r="M171" s="4"/>
      <c r="N171" s="163" t="s">
        <v>139</v>
      </c>
      <c r="O171" s="93">
        <f>(G161/N164)*1000</f>
        <v>0.4</v>
      </c>
      <c r="P171" s="4"/>
      <c r="U171" s="4"/>
      <c r="V171" s="4"/>
    </row>
    <row r="172" spans="1:22" x14ac:dyDescent="0.25">
      <c r="C172" s="6"/>
      <c r="D172"/>
      <c r="E172" s="3"/>
      <c r="F172" s="3"/>
      <c r="G172" s="4"/>
      <c r="H172" s="4"/>
      <c r="I172" s="4"/>
      <c r="M172" s="4"/>
      <c r="N172" s="4"/>
      <c r="O172" s="4"/>
      <c r="P172" s="4"/>
      <c r="Q172" s="4"/>
      <c r="R172" s="4"/>
      <c r="S172" s="4"/>
      <c r="T172" s="4"/>
      <c r="U172" s="4"/>
      <c r="V172" s="4"/>
    </row>
    <row r="173" spans="1:22" s="168" customFormat="1" x14ac:dyDescent="0.25">
      <c r="A173" s="167" t="s">
        <v>140</v>
      </c>
      <c r="C173" s="169"/>
      <c r="D173" s="169"/>
      <c r="E173" s="169"/>
    </row>
    <row r="174" spans="1:22" x14ac:dyDescent="0.25">
      <c r="D174" s="78"/>
      <c r="E174" s="78"/>
      <c r="F174" s="78"/>
      <c r="G174" s="35"/>
      <c r="H174" s="35"/>
      <c r="I174" s="35"/>
      <c r="J174" s="35"/>
      <c r="K174" s="35"/>
    </row>
    <row r="175" spans="1:22" x14ac:dyDescent="0.25">
      <c r="D175" s="131" t="s">
        <v>122</v>
      </c>
      <c r="E175" s="105"/>
      <c r="F175" s="105"/>
    </row>
    <row r="176" spans="1:22" ht="15.95" customHeight="1" x14ac:dyDescent="0.25">
      <c r="D176" s="112" t="s">
        <v>29</v>
      </c>
      <c r="E176" s="112" t="s">
        <v>30</v>
      </c>
      <c r="F176" s="111" t="s">
        <v>6</v>
      </c>
      <c r="G176" s="112" t="s">
        <v>7</v>
      </c>
      <c r="H176" s="112" t="s">
        <v>32</v>
      </c>
      <c r="I176" s="112" t="s">
        <v>34</v>
      </c>
      <c r="J176" s="112" t="s">
        <v>35</v>
      </c>
      <c r="K176" s="112" t="s">
        <v>5</v>
      </c>
      <c r="L176" s="54"/>
      <c r="M176" s="54"/>
      <c r="N176" s="54"/>
      <c r="O176" s="54"/>
      <c r="P176" s="54"/>
      <c r="Q176" s="54"/>
      <c r="R176" s="54"/>
      <c r="S176" s="54"/>
      <c r="T176" s="54"/>
      <c r="U176" s="54"/>
    </row>
    <row r="177" spans="4:23" x14ac:dyDescent="0.25">
      <c r="D177" s="114"/>
      <c r="E177" s="114"/>
      <c r="F177" s="113" t="s">
        <v>31</v>
      </c>
      <c r="G177" s="114" t="s">
        <v>31</v>
      </c>
      <c r="H177" s="114" t="s">
        <v>33</v>
      </c>
      <c r="I177" s="114" t="s">
        <v>33</v>
      </c>
      <c r="J177" s="114" t="s">
        <v>33</v>
      </c>
      <c r="K177" s="114" t="s">
        <v>31</v>
      </c>
      <c r="L177" s="54"/>
      <c r="M177" s="54"/>
      <c r="N177" s="54"/>
      <c r="O177" s="54"/>
      <c r="P177" s="54"/>
      <c r="Q177" s="54"/>
      <c r="R177" s="54"/>
      <c r="S177" s="54"/>
      <c r="T177" s="54"/>
      <c r="U177" s="54"/>
    </row>
    <row r="178" spans="4:23" ht="18" customHeight="1" x14ac:dyDescent="0.25">
      <c r="D178" s="127" t="str">
        <f>A1</f>
        <v xml:space="preserve">Literature data reported </v>
      </c>
      <c r="E178" s="127"/>
      <c r="F178" s="127"/>
      <c r="G178" s="127"/>
      <c r="H178" s="127"/>
      <c r="I178" s="127"/>
      <c r="J178" s="127"/>
      <c r="K178" s="128"/>
      <c r="L178" s="54"/>
      <c r="M178" s="54"/>
      <c r="N178" s="41" t="s">
        <v>185</v>
      </c>
      <c r="O178" s="193" t="s">
        <v>70</v>
      </c>
      <c r="P178" s="193"/>
      <c r="Q178" s="62"/>
      <c r="R178" s="54"/>
      <c r="S178" s="54"/>
      <c r="T178" s="54"/>
      <c r="U178" s="54"/>
    </row>
    <row r="179" spans="4:23" ht="15" customHeight="1" x14ac:dyDescent="0.25">
      <c r="D179" s="90"/>
      <c r="E179" s="106" t="s">
        <v>187</v>
      </c>
      <c r="F179" s="91">
        <f>L21</f>
        <v>96.986631418675842</v>
      </c>
      <c r="G179" s="91">
        <f>L22</f>
        <v>77.136686207960508</v>
      </c>
      <c r="H179" s="92">
        <f>L23</f>
        <v>14.092386599999999</v>
      </c>
      <c r="I179" s="92">
        <f>L24</f>
        <v>2.1334532666666668</v>
      </c>
      <c r="J179" s="92">
        <f>L25</f>
        <v>11.958933333333333</v>
      </c>
      <c r="K179" s="60">
        <f>L20</f>
        <v>77.398367887621831</v>
      </c>
      <c r="L179" s="54"/>
      <c r="N179" s="192"/>
      <c r="O179" s="192"/>
      <c r="P179" s="192"/>
      <c r="Q179" s="192"/>
      <c r="R179" s="192"/>
      <c r="S179" s="192"/>
      <c r="T179" s="192"/>
      <c r="U179" s="192"/>
      <c r="V179" s="192"/>
      <c r="W179" s="192"/>
    </row>
    <row r="180" spans="4:23" ht="15.95" customHeight="1" x14ac:dyDescent="0.25">
      <c r="D180" s="115"/>
      <c r="E180" s="114" t="s">
        <v>188</v>
      </c>
      <c r="F180" s="116">
        <f>L47</f>
        <v>92.437785891141047</v>
      </c>
      <c r="G180" s="116">
        <f>L48</f>
        <v>79.151495963273703</v>
      </c>
      <c r="H180" s="117">
        <f>L49</f>
        <v>8.0686631578947363</v>
      </c>
      <c r="I180" s="117">
        <f>L50</f>
        <v>2.4160315789473685</v>
      </c>
      <c r="J180" s="117">
        <f>L51</f>
        <v>5.6526315789473687</v>
      </c>
      <c r="K180" s="118">
        <f>L46</f>
        <v>86.257774549416624</v>
      </c>
      <c r="L180" s="54"/>
      <c r="N180" s="192"/>
      <c r="O180" s="192"/>
      <c r="P180" s="192"/>
      <c r="Q180" s="192"/>
      <c r="R180" s="192"/>
      <c r="S180" s="192"/>
      <c r="T180" s="192"/>
      <c r="U180" s="192"/>
      <c r="V180" s="192"/>
      <c r="W180" s="192"/>
    </row>
    <row r="181" spans="4:23" ht="15" customHeight="1" x14ac:dyDescent="0.25">
      <c r="D181" s="123" t="str">
        <f>A54</f>
        <v>Simulation A: [Acid] = 0.4 M, Literature data yield</v>
      </c>
      <c r="E181" s="123"/>
      <c r="F181" s="123"/>
      <c r="G181" s="123"/>
      <c r="H181" s="123"/>
      <c r="I181" s="123"/>
      <c r="J181" s="123"/>
      <c r="K181" s="129"/>
      <c r="L181" s="54"/>
      <c r="M181" s="41"/>
      <c r="N181" s="192"/>
      <c r="O181" s="192"/>
      <c r="P181" s="192"/>
      <c r="Q181" s="192"/>
      <c r="R181" s="192"/>
      <c r="S181" s="192"/>
      <c r="T181" s="192"/>
      <c r="U181" s="192"/>
      <c r="V181" s="192"/>
      <c r="W181" s="192"/>
    </row>
    <row r="182" spans="4:23" x14ac:dyDescent="0.25">
      <c r="D182" s="102"/>
      <c r="E182" s="102" t="s">
        <v>185</v>
      </c>
      <c r="F182" s="99">
        <f>L63</f>
        <v>96.986631418675842</v>
      </c>
      <c r="G182" s="100">
        <f>L64</f>
        <v>77.136686207960508</v>
      </c>
      <c r="H182" s="101">
        <f>L65</f>
        <v>6.6633522565656573</v>
      </c>
      <c r="I182" s="101">
        <f>L66</f>
        <v>2.1334532666666668</v>
      </c>
      <c r="J182" s="101">
        <f>L67</f>
        <v>4.5298989898989896</v>
      </c>
      <c r="K182" s="60">
        <f>L62</f>
        <v>77.398367887621831</v>
      </c>
      <c r="L182" s="54"/>
      <c r="M182" s="41"/>
      <c r="N182" s="192"/>
      <c r="O182" s="192"/>
      <c r="P182" s="192"/>
      <c r="Q182" s="192"/>
      <c r="R182" s="192"/>
      <c r="S182" s="192"/>
      <c r="T182" s="192"/>
      <c r="U182" s="192"/>
      <c r="V182" s="192"/>
      <c r="W182" s="192"/>
    </row>
    <row r="183" spans="4:23" x14ac:dyDescent="0.25">
      <c r="D183" s="102"/>
      <c r="E183" s="102" t="s">
        <v>186</v>
      </c>
      <c r="F183" s="99">
        <f>L77</f>
        <v>92.437785891141047</v>
      </c>
      <c r="G183" s="100">
        <f>L78</f>
        <v>79.151495963273703</v>
      </c>
      <c r="H183" s="101">
        <f>L79</f>
        <v>14.17996052631579</v>
      </c>
      <c r="I183" s="101">
        <f>L80</f>
        <v>2.4036447368421054</v>
      </c>
      <c r="J183" s="101">
        <f>L81</f>
        <v>11.776315789473685</v>
      </c>
      <c r="K183" s="60">
        <f>L76</f>
        <v>86.257774549416624</v>
      </c>
      <c r="L183" s="54"/>
      <c r="M183" s="41"/>
      <c r="N183" s="192"/>
      <c r="O183" s="192"/>
      <c r="P183" s="192"/>
      <c r="Q183" s="192"/>
      <c r="R183" s="192"/>
      <c r="S183" s="192"/>
      <c r="T183" s="192"/>
      <c r="U183" s="192"/>
      <c r="V183" s="192"/>
      <c r="W183" s="192"/>
    </row>
    <row r="184" spans="4:23" ht="15" customHeight="1" x14ac:dyDescent="0.25">
      <c r="D184" s="123" t="str">
        <f>A84</f>
        <v>Simulation B: [Acid] = Literature data, 90% Yield</v>
      </c>
      <c r="E184" s="123"/>
      <c r="F184" s="123"/>
      <c r="G184" s="123"/>
      <c r="H184" s="123"/>
      <c r="I184" s="123"/>
      <c r="J184" s="123"/>
      <c r="K184" s="119"/>
      <c r="L184" s="54"/>
      <c r="M184" s="41"/>
      <c r="N184" s="192"/>
      <c r="O184" s="192"/>
      <c r="P184" s="192"/>
      <c r="Q184" s="192"/>
      <c r="R184" s="192"/>
      <c r="S184" s="192"/>
      <c r="T184" s="192"/>
      <c r="U184" s="192"/>
      <c r="V184" s="192"/>
      <c r="W184" s="192"/>
    </row>
    <row r="185" spans="4:23" x14ac:dyDescent="0.25">
      <c r="D185" s="102"/>
      <c r="E185" s="102" t="s">
        <v>185</v>
      </c>
      <c r="F185" s="99">
        <f>L93</f>
        <v>96.986631418675842</v>
      </c>
      <c r="G185" s="100">
        <f>L94</f>
        <v>89.695712560712991</v>
      </c>
      <c r="H185" s="101">
        <f>L95</f>
        <v>12.119196916459913</v>
      </c>
      <c r="I185" s="101">
        <f>L96</f>
        <v>1.8347311200501693</v>
      </c>
      <c r="J185" s="101">
        <f>L97</f>
        <v>10.284465796409744</v>
      </c>
      <c r="K185" s="60">
        <f>L92</f>
        <v>90</v>
      </c>
      <c r="L185" s="54"/>
      <c r="M185" s="41"/>
      <c r="N185" s="192"/>
      <c r="O185" s="192"/>
      <c r="P185" s="192"/>
      <c r="Q185" s="192"/>
      <c r="R185" s="192"/>
      <c r="S185" s="192"/>
      <c r="T185" s="192"/>
      <c r="U185" s="192"/>
      <c r="V185" s="192"/>
      <c r="W185" s="192"/>
    </row>
    <row r="186" spans="4:23" x14ac:dyDescent="0.25">
      <c r="D186" s="102"/>
      <c r="E186" s="102" t="s">
        <v>186</v>
      </c>
      <c r="F186" s="99">
        <f>L107</f>
        <v>92.437785891141047</v>
      </c>
      <c r="G186" s="100">
        <f>L108</f>
        <v>82.585765169030807</v>
      </c>
      <c r="H186" s="101">
        <f>L109</f>
        <v>7.7212890240765111</v>
      </c>
      <c r="I186" s="101">
        <f>L110</f>
        <v>2.3036954646570118</v>
      </c>
      <c r="J186" s="101">
        <f>L111</f>
        <v>5.4175935594194993</v>
      </c>
      <c r="K186" s="60">
        <f>L106</f>
        <v>90</v>
      </c>
      <c r="L186" s="54"/>
      <c r="M186" s="41"/>
      <c r="N186" s="192"/>
      <c r="O186" s="192"/>
      <c r="P186" s="192"/>
      <c r="Q186" s="192"/>
      <c r="R186" s="192"/>
      <c r="S186" s="192"/>
      <c r="T186" s="192"/>
      <c r="U186" s="192"/>
      <c r="V186" s="192"/>
      <c r="W186" s="192"/>
    </row>
    <row r="187" spans="4:23" ht="15" customHeight="1" x14ac:dyDescent="0.25">
      <c r="D187" s="123" t="str">
        <f>A114</f>
        <v>Simulation C: [Acid] = 0.4 M, 90% Yield</v>
      </c>
      <c r="E187" s="123"/>
      <c r="F187" s="123"/>
      <c r="G187" s="123"/>
      <c r="H187" s="123"/>
      <c r="I187" s="123"/>
      <c r="J187" s="123"/>
      <c r="K187" s="119"/>
      <c r="M187" s="41"/>
      <c r="N187" s="192"/>
      <c r="O187" s="192"/>
      <c r="P187" s="192"/>
      <c r="Q187" s="192"/>
      <c r="R187" s="192"/>
      <c r="S187" s="192"/>
      <c r="T187" s="192"/>
      <c r="U187" s="192"/>
      <c r="V187" s="192"/>
      <c r="W187" s="192"/>
    </row>
    <row r="188" spans="4:23" x14ac:dyDescent="0.25">
      <c r="D188" s="102"/>
      <c r="E188" s="102" t="s">
        <v>185</v>
      </c>
      <c r="F188" s="99">
        <f>L123</f>
        <v>96.986631418675842</v>
      </c>
      <c r="G188" s="100">
        <f>L124</f>
        <v>80.484418389385993</v>
      </c>
      <c r="H188" s="101">
        <f>L125</f>
        <v>6.3861915435745233</v>
      </c>
      <c r="I188" s="101">
        <f>L126</f>
        <v>2.0447127340106066</v>
      </c>
      <c r="J188" s="101">
        <f>L127</f>
        <v>4.3414788095639159</v>
      </c>
      <c r="K188" s="60">
        <f>L122</f>
        <v>90</v>
      </c>
      <c r="M188" s="41"/>
      <c r="N188" s="192"/>
      <c r="O188" s="192"/>
      <c r="P188" s="192"/>
      <c r="Q188" s="192"/>
      <c r="R188" s="192"/>
      <c r="S188" s="192"/>
      <c r="T188" s="192"/>
      <c r="U188" s="192"/>
      <c r="V188" s="192"/>
      <c r="W188" s="192"/>
    </row>
    <row r="189" spans="4:23" x14ac:dyDescent="0.25">
      <c r="D189" s="102"/>
      <c r="E189" s="102" t="s">
        <v>186</v>
      </c>
      <c r="F189" s="99">
        <f>L137</f>
        <v>92.437785891141047</v>
      </c>
      <c r="G189" s="100">
        <f>L138</f>
        <v>82.586598346143418</v>
      </c>
      <c r="H189" s="101">
        <f>L139</f>
        <v>13.59021160685011</v>
      </c>
      <c r="I189" s="101">
        <f>L140</f>
        <v>2.3036722237635248</v>
      </c>
      <c r="J189" s="101">
        <f>L141</f>
        <v>11.286539383086584</v>
      </c>
      <c r="K189" s="60">
        <f>L136</f>
        <v>90.000907976574211</v>
      </c>
      <c r="M189" s="41"/>
      <c r="N189" s="192"/>
      <c r="O189" s="192"/>
      <c r="P189" s="192"/>
      <c r="Q189" s="192"/>
      <c r="R189" s="192"/>
      <c r="S189" s="192"/>
      <c r="T189" s="192"/>
      <c r="U189" s="192"/>
      <c r="V189" s="192"/>
      <c r="W189" s="192"/>
    </row>
    <row r="190" spans="4:23" ht="15" customHeight="1" x14ac:dyDescent="0.25">
      <c r="D190" s="123" t="str">
        <f>A144</f>
        <v>Simulation D: [Acid] = 0.4 M, 50% Yield</v>
      </c>
      <c r="E190" s="123"/>
      <c r="F190" s="123"/>
      <c r="G190" s="123"/>
      <c r="H190" s="123"/>
      <c r="I190" s="123"/>
      <c r="J190" s="123"/>
      <c r="K190" s="119"/>
      <c r="M190" s="41"/>
    </row>
    <row r="191" spans="4:23" x14ac:dyDescent="0.25">
      <c r="D191" s="106"/>
      <c r="E191" s="102" t="s">
        <v>185</v>
      </c>
      <c r="F191" s="79">
        <f>L153</f>
        <v>96.986631418675842</v>
      </c>
      <c r="G191" s="60">
        <f>L154</f>
        <v>49.830951422618327</v>
      </c>
      <c r="H191" s="37">
        <f>L155</f>
        <v>10.314651786369677</v>
      </c>
      <c r="I191" s="37">
        <f>L156</f>
        <v>3.3025160160903049</v>
      </c>
      <c r="J191" s="37">
        <f>L157</f>
        <v>7.0121357702793716</v>
      </c>
      <c r="K191" s="60">
        <f>L152</f>
        <v>50</v>
      </c>
      <c r="M191" s="41"/>
      <c r="N191" s="41" t="s">
        <v>186</v>
      </c>
      <c r="O191" s="193" t="s">
        <v>71</v>
      </c>
      <c r="P191" s="193"/>
      <c r="Q191" s="62"/>
    </row>
    <row r="192" spans="4:23" x14ac:dyDescent="0.25">
      <c r="D192" s="106"/>
      <c r="E192" s="102" t="s">
        <v>186</v>
      </c>
      <c r="F192" s="79">
        <f>L167</f>
        <v>92.437785891141047</v>
      </c>
      <c r="G192" s="60">
        <f>L168</f>
        <v>45.880980649461556</v>
      </c>
      <c r="H192" s="37">
        <f>L169</f>
        <v>24.462627684205746</v>
      </c>
      <c r="I192" s="37">
        <f>L170</f>
        <v>4.1466518363826212</v>
      </c>
      <c r="J192" s="37">
        <f>L171</f>
        <v>20.315975847823125</v>
      </c>
      <c r="K192" s="60">
        <f>L166</f>
        <v>50</v>
      </c>
      <c r="N192" s="192"/>
      <c r="O192" s="192"/>
      <c r="P192" s="192"/>
      <c r="Q192" s="192"/>
      <c r="R192" s="192"/>
      <c r="S192" s="192"/>
      <c r="T192" s="192"/>
      <c r="U192" s="192"/>
      <c r="V192" s="192"/>
    </row>
    <row r="193" spans="4:22" x14ac:dyDescent="0.25">
      <c r="D193" s="120"/>
      <c r="E193" s="120"/>
      <c r="F193" s="120"/>
      <c r="G193" s="120"/>
      <c r="H193" s="120"/>
      <c r="I193" s="120"/>
      <c r="J193" s="120"/>
      <c r="K193" s="85"/>
      <c r="N193" s="192"/>
      <c r="O193" s="192"/>
      <c r="P193" s="192"/>
      <c r="Q193" s="192"/>
      <c r="R193" s="192"/>
      <c r="S193" s="192"/>
      <c r="T193" s="192"/>
      <c r="U193" s="192"/>
      <c r="V193" s="192"/>
    </row>
    <row r="194" spans="4:22" x14ac:dyDescent="0.25">
      <c r="D194" s="121"/>
      <c r="E194" s="105"/>
      <c r="F194" s="105"/>
      <c r="M194" s="41"/>
      <c r="N194" s="192"/>
      <c r="O194" s="192"/>
      <c r="P194" s="192"/>
      <c r="Q194" s="192"/>
      <c r="R194" s="192"/>
      <c r="S194" s="192"/>
      <c r="T194" s="192"/>
      <c r="U194" s="192"/>
      <c r="V194" s="192"/>
    </row>
    <row r="195" spans="4:22" x14ac:dyDescent="0.25">
      <c r="D195" s="77"/>
      <c r="E195" s="77"/>
      <c r="F195" s="79"/>
      <c r="G195" s="79"/>
      <c r="H195" s="85"/>
      <c r="I195" s="85"/>
      <c r="J195" s="85"/>
      <c r="K195" s="79"/>
      <c r="M195" s="52"/>
      <c r="N195" s="192"/>
      <c r="O195" s="192"/>
      <c r="P195" s="192"/>
      <c r="Q195" s="192"/>
      <c r="R195" s="192"/>
      <c r="S195" s="192"/>
      <c r="T195" s="192"/>
      <c r="U195" s="192"/>
      <c r="V195" s="192"/>
    </row>
    <row r="196" spans="4:22" ht="15" customHeight="1" x14ac:dyDescent="0.25">
      <c r="D196" s="120"/>
      <c r="E196" s="120"/>
      <c r="F196" s="120"/>
      <c r="G196" s="120"/>
      <c r="H196" s="120"/>
      <c r="I196" s="120"/>
      <c r="J196" s="120"/>
      <c r="K196" s="126"/>
      <c r="N196" s="192"/>
      <c r="O196" s="192"/>
      <c r="P196" s="192"/>
      <c r="Q196" s="192"/>
      <c r="R196" s="192"/>
      <c r="S196" s="192"/>
      <c r="T196" s="192"/>
      <c r="U196" s="192"/>
      <c r="V196" s="192"/>
    </row>
    <row r="197" spans="4:22" x14ac:dyDescent="0.25">
      <c r="D197" s="77"/>
      <c r="E197" s="77"/>
      <c r="F197" s="79"/>
      <c r="G197" s="79"/>
      <c r="H197" s="85"/>
      <c r="I197" s="85"/>
      <c r="J197" s="85"/>
      <c r="K197" s="79"/>
      <c r="N197" s="192"/>
      <c r="O197" s="192"/>
      <c r="P197" s="192"/>
      <c r="Q197" s="192"/>
      <c r="R197" s="192"/>
      <c r="S197" s="192"/>
      <c r="T197" s="192"/>
      <c r="U197" s="192"/>
      <c r="V197" s="192"/>
    </row>
    <row r="198" spans="4:22" x14ac:dyDescent="0.25">
      <c r="D198" s="77"/>
      <c r="E198" s="77"/>
      <c r="F198" s="79"/>
      <c r="G198" s="79"/>
      <c r="H198" s="85"/>
      <c r="I198" s="85"/>
      <c r="J198" s="85"/>
      <c r="K198" s="79"/>
      <c r="N198" s="192"/>
      <c r="O198" s="192"/>
      <c r="P198" s="192"/>
      <c r="Q198" s="192"/>
      <c r="R198" s="192"/>
      <c r="S198" s="192"/>
      <c r="T198" s="192"/>
      <c r="U198" s="192"/>
      <c r="V198" s="192"/>
    </row>
    <row r="199" spans="4:22" x14ac:dyDescent="0.25">
      <c r="D199" s="31"/>
      <c r="E199" s="31"/>
      <c r="F199" s="33"/>
      <c r="G199" s="34"/>
      <c r="H199" s="32"/>
      <c r="I199" s="32"/>
      <c r="J199" s="32"/>
      <c r="K199" s="37"/>
      <c r="N199" s="192"/>
      <c r="O199" s="192"/>
      <c r="P199" s="192"/>
      <c r="Q199" s="192"/>
      <c r="R199" s="192"/>
      <c r="S199" s="192"/>
      <c r="T199" s="192"/>
      <c r="U199" s="192"/>
      <c r="V199" s="192"/>
    </row>
    <row r="200" spans="4:22" x14ac:dyDescent="0.25">
      <c r="D200" s="31"/>
      <c r="E200" s="31"/>
      <c r="F200" s="33"/>
      <c r="G200" s="34"/>
      <c r="H200" s="32"/>
      <c r="I200" s="32"/>
      <c r="J200" s="32"/>
      <c r="K200" s="37"/>
      <c r="N200" s="192"/>
      <c r="O200" s="192"/>
      <c r="P200" s="192"/>
      <c r="Q200" s="192"/>
      <c r="R200" s="192"/>
      <c r="S200" s="192"/>
      <c r="T200" s="192"/>
      <c r="U200" s="192"/>
      <c r="V200" s="192"/>
    </row>
    <row r="201" spans="4:22" x14ac:dyDescent="0.25">
      <c r="D201" s="31"/>
      <c r="E201" s="31"/>
      <c r="F201" s="33"/>
      <c r="G201" s="34"/>
      <c r="H201" s="32"/>
      <c r="I201" s="32"/>
      <c r="J201" s="32"/>
      <c r="K201" s="37"/>
      <c r="N201" s="192"/>
      <c r="O201" s="192"/>
      <c r="P201" s="192"/>
      <c r="Q201" s="192"/>
      <c r="R201" s="192"/>
      <c r="S201" s="192"/>
      <c r="T201" s="192"/>
      <c r="U201" s="192"/>
      <c r="V201" s="192"/>
    </row>
    <row r="202" spans="4:22" ht="15" customHeight="1" x14ac:dyDescent="0.25">
      <c r="K202" s="36"/>
      <c r="N202" s="192"/>
      <c r="O202" s="192"/>
      <c r="P202" s="192"/>
      <c r="Q202" s="192"/>
      <c r="R202" s="192"/>
      <c r="S202" s="192"/>
      <c r="T202" s="192"/>
      <c r="U202" s="192"/>
      <c r="V202" s="192"/>
    </row>
    <row r="203" spans="4:22" x14ac:dyDescent="0.25">
      <c r="K203" s="37"/>
    </row>
    <row r="204" spans="4:22" x14ac:dyDescent="0.25">
      <c r="K204" s="37"/>
    </row>
    <row r="205" spans="4:22" x14ac:dyDescent="0.25">
      <c r="D205" s="31"/>
      <c r="E205" s="31"/>
      <c r="F205" s="33"/>
      <c r="G205" s="34"/>
      <c r="H205" s="32"/>
      <c r="I205" s="32"/>
      <c r="J205" s="32"/>
      <c r="K205" s="37"/>
    </row>
    <row r="206" spans="4:22" x14ac:dyDescent="0.25">
      <c r="D206" s="31"/>
      <c r="E206" s="31"/>
      <c r="F206" s="33"/>
      <c r="G206" s="34"/>
      <c r="H206" s="32"/>
      <c r="I206" s="32"/>
      <c r="J206" s="32"/>
      <c r="K206" s="37"/>
    </row>
    <row r="207" spans="4:22" x14ac:dyDescent="0.25">
      <c r="D207" s="31"/>
      <c r="E207" s="31"/>
      <c r="F207" s="33"/>
      <c r="G207" s="34"/>
      <c r="H207" s="32"/>
      <c r="I207" s="32"/>
      <c r="J207" s="32"/>
      <c r="K207" s="37"/>
    </row>
    <row r="208" spans="4:22" ht="15" customHeight="1" x14ac:dyDescent="0.25">
      <c r="K208" s="36"/>
    </row>
    <row r="209" spans="4:11" x14ac:dyDescent="0.25">
      <c r="K209" s="37"/>
    </row>
    <row r="210" spans="4:11" x14ac:dyDescent="0.25">
      <c r="K210" s="37"/>
    </row>
    <row r="211" spans="4:11" x14ac:dyDescent="0.25">
      <c r="D211" s="31"/>
      <c r="E211" s="31"/>
      <c r="F211" s="33"/>
      <c r="G211" s="34"/>
      <c r="H211" s="32"/>
      <c r="I211" s="32"/>
      <c r="J211" s="32"/>
      <c r="K211" s="37"/>
    </row>
    <row r="212" spans="4:11" x14ac:dyDescent="0.25">
      <c r="D212" s="31"/>
      <c r="E212" s="31"/>
      <c r="F212" s="33"/>
      <c r="G212" s="34"/>
      <c r="H212" s="32"/>
      <c r="I212" s="32"/>
      <c r="J212" s="32"/>
      <c r="K212" s="37"/>
    </row>
    <row r="213" spans="4:11" x14ac:dyDescent="0.25">
      <c r="D213" s="31"/>
      <c r="E213" s="31"/>
      <c r="F213" s="33"/>
      <c r="G213" s="34"/>
      <c r="H213" s="32"/>
      <c r="I213" s="32"/>
      <c r="J213" s="32"/>
      <c r="K213" s="37"/>
    </row>
    <row r="214" spans="4:11" ht="15" customHeight="1" x14ac:dyDescent="0.25">
      <c r="K214" s="36"/>
    </row>
    <row r="215" spans="4:11" x14ac:dyDescent="0.25">
      <c r="K215" s="37"/>
    </row>
    <row r="216" spans="4:11" x14ac:dyDescent="0.25">
      <c r="K216" s="37"/>
    </row>
    <row r="217" spans="4:11" x14ac:dyDescent="0.25">
      <c r="D217" s="31"/>
      <c r="E217" s="31"/>
      <c r="F217" s="33"/>
      <c r="G217" s="34"/>
      <c r="H217" s="32"/>
      <c r="I217" s="32"/>
      <c r="J217" s="32"/>
      <c r="K217" s="37"/>
    </row>
    <row r="218" spans="4:11" x14ac:dyDescent="0.25">
      <c r="D218" s="31"/>
      <c r="E218" s="31"/>
      <c r="F218" s="33"/>
      <c r="G218" s="34"/>
      <c r="H218" s="32"/>
      <c r="I218" s="32"/>
      <c r="J218" s="32"/>
      <c r="K218" s="37"/>
    </row>
    <row r="219" spans="4:11" x14ac:dyDescent="0.25">
      <c r="D219" s="31"/>
      <c r="E219" s="31"/>
      <c r="F219" s="33"/>
      <c r="G219" s="34"/>
      <c r="H219" s="32"/>
      <c r="I219" s="32"/>
      <c r="J219" s="32"/>
      <c r="K219" s="37"/>
    </row>
    <row r="220" spans="4:11" x14ac:dyDescent="0.25">
      <c r="K220" s="35"/>
    </row>
  </sheetData>
  <mergeCells count="8">
    <mergeCell ref="D29:M37"/>
    <mergeCell ref="D2:M12"/>
    <mergeCell ref="O178:P178"/>
    <mergeCell ref="N192:V202"/>
    <mergeCell ref="O191:P191"/>
    <mergeCell ref="N179:W189"/>
    <mergeCell ref="O4:AH12"/>
    <mergeCell ref="O29:AE37"/>
  </mergeCells>
  <pageMargins left="0.7" right="0.7" top="0.75" bottom="0.75" header="0.3" footer="0.3"/>
  <pageSetup paperSize="9" scale="21" fitToHeight="0" orientation="portrait" horizontalDpi="4294967293" r:id="rId1"/>
  <drawing r:id="rId2"/>
  <legacyDrawing r:id="rId3"/>
  <oleObjects>
    <mc:AlternateContent xmlns:mc="http://schemas.openxmlformats.org/markup-compatibility/2006">
      <mc:Choice Requires="x14">
        <oleObject progId="ChemDraw.Document.6.0" shapeId="23553" r:id="rId4">
          <objectPr defaultSize="0" r:id="rId5">
            <anchor moveWithCells="1">
              <from>
                <xdr:col>13</xdr:col>
                <xdr:colOff>295275</xdr:colOff>
                <xdr:row>178</xdr:row>
                <xdr:rowOff>142875</xdr:rowOff>
              </from>
              <to>
                <xdr:col>21</xdr:col>
                <xdr:colOff>590550</xdr:colOff>
                <xdr:row>188</xdr:row>
                <xdr:rowOff>104775</xdr:rowOff>
              </to>
            </anchor>
          </objectPr>
        </oleObject>
      </mc:Choice>
      <mc:Fallback>
        <oleObject progId="ChemDraw.Document.6.0" shapeId="23553" r:id="rId4"/>
      </mc:Fallback>
    </mc:AlternateContent>
    <mc:AlternateContent xmlns:mc="http://schemas.openxmlformats.org/markup-compatibility/2006">
      <mc:Choice Requires="x14">
        <oleObject progId="ChemDraw.Document.6.0" shapeId="23554" r:id="rId6">
          <objectPr defaultSize="0" r:id="rId7">
            <anchor moveWithCells="1">
              <from>
                <xdr:col>13</xdr:col>
                <xdr:colOff>342900</xdr:colOff>
                <xdr:row>191</xdr:row>
                <xdr:rowOff>66675</xdr:rowOff>
              </from>
              <to>
                <xdr:col>20</xdr:col>
                <xdr:colOff>495300</xdr:colOff>
                <xdr:row>201</xdr:row>
                <xdr:rowOff>47625</xdr:rowOff>
              </to>
            </anchor>
          </objectPr>
        </oleObject>
      </mc:Choice>
      <mc:Fallback>
        <oleObject progId="ChemDraw.Document.6.0" shapeId="23554" r:id="rId6"/>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A7D00"/>
    <pageSetUpPr fitToPage="1"/>
  </sheetPr>
  <dimension ref="A1:AW220"/>
  <sheetViews>
    <sheetView topLeftCell="A19" zoomScale="70" zoomScaleNormal="70" workbookViewId="0">
      <selection activeCell="D42" sqref="D42"/>
    </sheetView>
  </sheetViews>
  <sheetFormatPr defaultColWidth="8.85546875" defaultRowHeight="15" x14ac:dyDescent="0.25"/>
  <cols>
    <col min="1" max="1" width="12" customWidth="1"/>
    <col min="2" max="2" width="1.7109375" customWidth="1"/>
    <col min="3" max="3" width="51.85546875" customWidth="1"/>
    <col min="4" max="4" width="12.85546875" style="58" bestFit="1" customWidth="1"/>
    <col min="5" max="5" width="17" style="58" bestFit="1" customWidth="1"/>
    <col min="6" max="6" width="12.85546875" style="58" customWidth="1"/>
    <col min="7" max="7" width="11.140625" bestFit="1" customWidth="1"/>
    <col min="8" max="8" width="11" bestFit="1" customWidth="1"/>
    <col min="9" max="9" width="7.42578125" bestFit="1" customWidth="1"/>
    <col min="10" max="10" width="11.42578125" bestFit="1" customWidth="1"/>
    <col min="11" max="11" width="17.85546875" bestFit="1" customWidth="1"/>
    <col min="12" max="12" width="11.7109375" bestFit="1" customWidth="1"/>
    <col min="13" max="13" width="11.7109375" customWidth="1"/>
    <col min="14" max="14" width="14" bestFit="1" customWidth="1"/>
    <col min="15" max="15" width="13.28515625" customWidth="1"/>
    <col min="16" max="16" width="14" bestFit="1" customWidth="1"/>
    <col min="17" max="17" width="12.140625" bestFit="1" customWidth="1"/>
    <col min="18" max="18" width="10.140625" customWidth="1"/>
    <col min="19" max="19" width="10.28515625" bestFit="1" customWidth="1"/>
    <col min="20" max="20" width="12.28515625" customWidth="1"/>
    <col min="21" max="21" width="10.28515625" customWidth="1"/>
    <col min="22" max="22" width="12.140625" customWidth="1"/>
  </cols>
  <sheetData>
    <row r="1" spans="1:34" s="29" customFormat="1" ht="14.45" x14ac:dyDescent="0.3">
      <c r="A1" s="28" t="s">
        <v>107</v>
      </c>
      <c r="D1" s="30"/>
      <c r="E1" s="30"/>
      <c r="F1" s="30"/>
    </row>
    <row r="3" spans="1:34" x14ac:dyDescent="0.25">
      <c r="C3" s="41" t="s">
        <v>189</v>
      </c>
      <c r="D3" s="192"/>
      <c r="E3" s="192"/>
      <c r="F3" s="192"/>
      <c r="G3" s="192"/>
      <c r="H3" s="192"/>
      <c r="I3" s="192"/>
      <c r="J3" s="192"/>
      <c r="K3" s="192"/>
      <c r="L3" s="192"/>
      <c r="M3" s="103"/>
      <c r="O3" s="190" t="s">
        <v>97</v>
      </c>
      <c r="P3" s="190"/>
      <c r="Q3" s="190"/>
      <c r="R3" s="190"/>
      <c r="S3" s="190"/>
      <c r="T3" s="190"/>
      <c r="U3" s="190"/>
      <c r="V3" s="190"/>
      <c r="W3" s="190"/>
      <c r="X3" s="190"/>
      <c r="Y3" s="190"/>
      <c r="Z3" s="190"/>
      <c r="AA3" s="190"/>
      <c r="AB3" s="190"/>
      <c r="AC3" s="190"/>
      <c r="AD3" s="190"/>
      <c r="AE3" s="190"/>
      <c r="AF3" s="190"/>
      <c r="AG3" s="190"/>
      <c r="AH3" s="190"/>
    </row>
    <row r="4" spans="1:34" x14ac:dyDescent="0.25">
      <c r="C4" s="110" t="s">
        <v>72</v>
      </c>
      <c r="D4" s="192"/>
      <c r="E4" s="192"/>
      <c r="F4" s="192"/>
      <c r="G4" s="192"/>
      <c r="H4" s="192"/>
      <c r="I4" s="192"/>
      <c r="J4" s="192"/>
      <c r="K4" s="192"/>
      <c r="L4" s="192"/>
      <c r="M4" s="103"/>
      <c r="O4" s="190"/>
      <c r="P4" s="190"/>
      <c r="Q4" s="190"/>
      <c r="R4" s="190"/>
      <c r="S4" s="190"/>
      <c r="T4" s="190"/>
      <c r="U4" s="190"/>
      <c r="V4" s="190"/>
      <c r="W4" s="190"/>
      <c r="X4" s="190"/>
      <c r="Y4" s="190"/>
      <c r="Z4" s="190"/>
      <c r="AA4" s="190"/>
      <c r="AB4" s="190"/>
      <c r="AC4" s="190"/>
      <c r="AD4" s="190"/>
      <c r="AE4" s="190"/>
      <c r="AF4" s="190"/>
      <c r="AG4" s="190"/>
      <c r="AH4" s="190"/>
    </row>
    <row r="5" spans="1:34" x14ac:dyDescent="0.25">
      <c r="C5" s="52"/>
      <c r="D5" s="192"/>
      <c r="E5" s="192"/>
      <c r="F5" s="192"/>
      <c r="G5" s="192"/>
      <c r="H5" s="192"/>
      <c r="I5" s="192"/>
      <c r="J5" s="192"/>
      <c r="K5" s="192"/>
      <c r="L5" s="192"/>
      <c r="M5" s="103"/>
      <c r="O5" s="190"/>
      <c r="P5" s="190"/>
      <c r="Q5" s="190"/>
      <c r="R5" s="190"/>
      <c r="S5" s="190"/>
      <c r="T5" s="190"/>
      <c r="U5" s="190"/>
      <c r="V5" s="190"/>
      <c r="W5" s="190"/>
      <c r="X5" s="190"/>
      <c r="Y5" s="190"/>
      <c r="Z5" s="190"/>
      <c r="AA5" s="190"/>
      <c r="AB5" s="190"/>
      <c r="AC5" s="190"/>
      <c r="AD5" s="190"/>
      <c r="AE5" s="190"/>
      <c r="AF5" s="190"/>
      <c r="AG5" s="190"/>
      <c r="AH5" s="190"/>
    </row>
    <row r="6" spans="1:34" x14ac:dyDescent="0.25">
      <c r="D6" s="192"/>
      <c r="E6" s="192"/>
      <c r="F6" s="192"/>
      <c r="G6" s="192"/>
      <c r="H6" s="192"/>
      <c r="I6" s="192"/>
      <c r="J6" s="192"/>
      <c r="K6" s="192"/>
      <c r="L6" s="192"/>
      <c r="M6" s="103"/>
      <c r="O6" s="190"/>
      <c r="P6" s="190"/>
      <c r="Q6" s="190"/>
      <c r="R6" s="190"/>
      <c r="S6" s="190"/>
      <c r="T6" s="190"/>
      <c r="U6" s="190"/>
      <c r="V6" s="190"/>
      <c r="W6" s="190"/>
      <c r="X6" s="190"/>
      <c r="Y6" s="190"/>
      <c r="Z6" s="190"/>
      <c r="AA6" s="190"/>
      <c r="AB6" s="190"/>
      <c r="AC6" s="190"/>
      <c r="AD6" s="190"/>
      <c r="AE6" s="190"/>
      <c r="AF6" s="190"/>
      <c r="AG6" s="190"/>
      <c r="AH6" s="190"/>
    </row>
    <row r="7" spans="1:34" x14ac:dyDescent="0.25">
      <c r="D7" s="192"/>
      <c r="E7" s="192"/>
      <c r="F7" s="192"/>
      <c r="G7" s="192"/>
      <c r="H7" s="192"/>
      <c r="I7" s="192"/>
      <c r="J7" s="192"/>
      <c r="K7" s="192"/>
      <c r="L7" s="192"/>
      <c r="M7" s="103"/>
      <c r="O7" s="190"/>
      <c r="P7" s="190"/>
      <c r="Q7" s="190"/>
      <c r="R7" s="190"/>
      <c r="S7" s="190"/>
      <c r="T7" s="190"/>
      <c r="U7" s="190"/>
      <c r="V7" s="190"/>
      <c r="W7" s="190"/>
      <c r="X7" s="190"/>
      <c r="Y7" s="190"/>
      <c r="Z7" s="190"/>
      <c r="AA7" s="190"/>
      <c r="AB7" s="190"/>
      <c r="AC7" s="190"/>
      <c r="AD7" s="190"/>
      <c r="AE7" s="190"/>
      <c r="AF7" s="190"/>
      <c r="AG7" s="190"/>
      <c r="AH7" s="190"/>
    </row>
    <row r="8" spans="1:34" x14ac:dyDescent="0.25">
      <c r="D8" s="192"/>
      <c r="E8" s="192"/>
      <c r="F8" s="192"/>
      <c r="G8" s="192"/>
      <c r="H8" s="192"/>
      <c r="I8" s="192"/>
      <c r="J8" s="192"/>
      <c r="K8" s="192"/>
      <c r="L8" s="192"/>
      <c r="M8" s="103"/>
      <c r="O8" s="190"/>
      <c r="P8" s="190"/>
      <c r="Q8" s="190"/>
      <c r="R8" s="190"/>
      <c r="S8" s="190"/>
      <c r="T8" s="190"/>
      <c r="U8" s="190"/>
      <c r="V8" s="190"/>
      <c r="W8" s="190"/>
      <c r="X8" s="190"/>
      <c r="Y8" s="190"/>
      <c r="Z8" s="190"/>
      <c r="AA8" s="190"/>
      <c r="AB8" s="190"/>
      <c r="AC8" s="190"/>
      <c r="AD8" s="190"/>
      <c r="AE8" s="190"/>
      <c r="AF8" s="190"/>
      <c r="AG8" s="190"/>
      <c r="AH8" s="190"/>
    </row>
    <row r="9" spans="1:34" x14ac:dyDescent="0.25">
      <c r="D9" s="192"/>
      <c r="E9" s="192"/>
      <c r="F9" s="192"/>
      <c r="G9" s="192"/>
      <c r="H9" s="192"/>
      <c r="I9" s="192"/>
      <c r="J9" s="192"/>
      <c r="K9" s="192"/>
      <c r="L9" s="192"/>
      <c r="M9" s="103"/>
      <c r="O9" s="190"/>
      <c r="P9" s="190"/>
      <c r="Q9" s="190"/>
      <c r="R9" s="190"/>
      <c r="S9" s="190"/>
      <c r="T9" s="190"/>
      <c r="U9" s="190"/>
      <c r="V9" s="190"/>
      <c r="W9" s="190"/>
      <c r="X9" s="190"/>
      <c r="Y9" s="190"/>
      <c r="Z9" s="190"/>
      <c r="AA9" s="190"/>
      <c r="AB9" s="190"/>
      <c r="AC9" s="190"/>
      <c r="AD9" s="190"/>
      <c r="AE9" s="190"/>
      <c r="AF9" s="190"/>
      <c r="AG9" s="190"/>
      <c r="AH9" s="190"/>
    </row>
    <row r="10" spans="1:34" x14ac:dyDescent="0.25">
      <c r="D10" s="192"/>
      <c r="E10" s="192"/>
      <c r="F10" s="192"/>
      <c r="G10" s="192"/>
      <c r="H10" s="192"/>
      <c r="I10" s="192"/>
      <c r="J10" s="192"/>
      <c r="K10" s="192"/>
      <c r="L10" s="192"/>
      <c r="M10" s="103"/>
      <c r="O10" s="190"/>
      <c r="P10" s="190"/>
      <c r="Q10" s="190"/>
      <c r="R10" s="190"/>
      <c r="S10" s="190"/>
      <c r="T10" s="190"/>
      <c r="U10" s="190"/>
      <c r="V10" s="190"/>
      <c r="W10" s="190"/>
      <c r="X10" s="190"/>
      <c r="Y10" s="190"/>
      <c r="Z10" s="190"/>
      <c r="AA10" s="190"/>
      <c r="AB10" s="190"/>
      <c r="AC10" s="190"/>
      <c r="AD10" s="190"/>
      <c r="AE10" s="190"/>
      <c r="AF10" s="190"/>
      <c r="AG10" s="190"/>
      <c r="AH10" s="190"/>
    </row>
    <row r="11" spans="1:34" x14ac:dyDescent="0.25">
      <c r="D11" s="192"/>
      <c r="E11" s="192"/>
      <c r="F11" s="192"/>
      <c r="G11" s="192"/>
      <c r="H11" s="192"/>
      <c r="I11" s="192"/>
      <c r="J11" s="192"/>
      <c r="K11" s="192"/>
      <c r="L11" s="192"/>
      <c r="M11" s="103"/>
      <c r="O11" s="190"/>
      <c r="P11" s="190"/>
      <c r="Q11" s="190"/>
      <c r="R11" s="190"/>
      <c r="S11" s="190"/>
      <c r="T11" s="190"/>
      <c r="U11" s="190"/>
      <c r="V11" s="190"/>
      <c r="W11" s="190"/>
      <c r="X11" s="190"/>
      <c r="Y11" s="190"/>
      <c r="Z11" s="190"/>
      <c r="AA11" s="190"/>
      <c r="AB11" s="190"/>
      <c r="AC11" s="190"/>
      <c r="AD11" s="190"/>
      <c r="AE11" s="190"/>
      <c r="AF11" s="190"/>
      <c r="AG11" s="190"/>
      <c r="AH11" s="190"/>
    </row>
    <row r="12" spans="1:34" x14ac:dyDescent="0.25">
      <c r="D12" s="192"/>
      <c r="E12" s="192"/>
      <c r="F12" s="192"/>
      <c r="G12" s="192"/>
      <c r="H12" s="192"/>
      <c r="I12" s="192"/>
      <c r="J12" s="192"/>
      <c r="K12" s="192"/>
      <c r="L12" s="192"/>
      <c r="M12" s="63"/>
    </row>
    <row r="13" spans="1:34" ht="14.45" x14ac:dyDescent="0.3">
      <c r="C13" s="6" t="s">
        <v>26</v>
      </c>
      <c r="D13" s="63"/>
      <c r="E13" s="63"/>
      <c r="F13" s="63"/>
    </row>
    <row r="14" spans="1:34" ht="32.450000000000003" x14ac:dyDescent="0.3">
      <c r="C14" s="17" t="s">
        <v>14</v>
      </c>
      <c r="D14" s="20" t="s">
        <v>21</v>
      </c>
      <c r="E14" s="20" t="s">
        <v>94</v>
      </c>
      <c r="F14" s="17" t="s">
        <v>13</v>
      </c>
      <c r="G14" s="17" t="s">
        <v>15</v>
      </c>
      <c r="H14" s="18" t="s">
        <v>1</v>
      </c>
      <c r="I14" s="19" t="s">
        <v>25</v>
      </c>
      <c r="J14" s="17" t="s">
        <v>2</v>
      </c>
      <c r="K14" s="20" t="s">
        <v>94</v>
      </c>
      <c r="L14" s="20" t="s">
        <v>22</v>
      </c>
      <c r="M14" s="19" t="s">
        <v>8</v>
      </c>
      <c r="N14" s="19" t="s">
        <v>16</v>
      </c>
      <c r="O14" s="19" t="s">
        <v>17</v>
      </c>
      <c r="P14" s="19" t="s">
        <v>18</v>
      </c>
      <c r="Q14" s="20" t="s">
        <v>10</v>
      </c>
      <c r="R14" s="20" t="s">
        <v>23</v>
      </c>
      <c r="S14" s="19" t="s">
        <v>9</v>
      </c>
      <c r="T14" s="19" t="s">
        <v>19</v>
      </c>
      <c r="U14" s="19" t="s">
        <v>20</v>
      </c>
      <c r="V14" s="19" t="s">
        <v>24</v>
      </c>
    </row>
    <row r="15" spans="1:34" ht="14.45" x14ac:dyDescent="0.3">
      <c r="C15" s="68" t="s">
        <v>115</v>
      </c>
      <c r="D15" s="8">
        <v>59940</v>
      </c>
      <c r="E15" s="8">
        <v>226.71</v>
      </c>
      <c r="F15" s="8">
        <v>1</v>
      </c>
      <c r="G15" s="11">
        <f>D15/E15</f>
        <v>264.39063120285829</v>
      </c>
      <c r="H15" s="7"/>
      <c r="I15" s="7"/>
      <c r="J15" s="8" t="s">
        <v>65</v>
      </c>
      <c r="K15" s="8">
        <v>135.126</v>
      </c>
      <c r="L15" s="46">
        <f>13.32*K15</f>
        <v>1799.87832</v>
      </c>
      <c r="M15" s="42" t="s">
        <v>74</v>
      </c>
      <c r="N15" s="45">
        <v>358000</v>
      </c>
      <c r="O15" s="1">
        <v>0.78900000000000003</v>
      </c>
      <c r="P15" s="11">
        <f>N15*O15</f>
        <v>282462</v>
      </c>
      <c r="Q15" s="8"/>
      <c r="R15" s="8"/>
      <c r="S15" s="7"/>
      <c r="T15" s="7"/>
      <c r="U15" s="7"/>
      <c r="V15" s="11">
        <f>T15*U15</f>
        <v>0</v>
      </c>
    </row>
    <row r="16" spans="1:34" ht="14.45" x14ac:dyDescent="0.3">
      <c r="C16" s="8" t="s">
        <v>75</v>
      </c>
      <c r="D16" s="8">
        <v>51280</v>
      </c>
      <c r="E16" s="8">
        <v>189.21</v>
      </c>
      <c r="F16" s="8">
        <f>G16/G15</f>
        <v>1.025080257044741</v>
      </c>
      <c r="G16" s="11">
        <f>D16/E16</f>
        <v>271.02161619364728</v>
      </c>
      <c r="H16" s="1"/>
      <c r="I16" s="1"/>
      <c r="J16" s="25" t="s">
        <v>76</v>
      </c>
      <c r="K16" s="26">
        <v>101.15</v>
      </c>
      <c r="L16" s="46">
        <f>K16*566.5</f>
        <v>57301.475000000006</v>
      </c>
      <c r="M16" s="42"/>
      <c r="N16" s="2"/>
      <c r="O16" s="1"/>
      <c r="P16" s="11"/>
      <c r="Q16" s="8"/>
      <c r="R16" s="8"/>
      <c r="S16" s="7"/>
      <c r="T16" s="7"/>
      <c r="U16" s="7"/>
      <c r="V16" s="11">
        <f t="shared" ref="V16" si="0">T16*U16</f>
        <v>0</v>
      </c>
    </row>
    <row r="17" spans="3:49" ht="14.45" x14ac:dyDescent="0.3">
      <c r="C17" s="8"/>
      <c r="D17" s="8"/>
      <c r="E17" s="8"/>
      <c r="F17" s="8"/>
      <c r="G17" s="11"/>
      <c r="H17" s="1"/>
      <c r="I17" s="1"/>
      <c r="J17" s="25" t="s">
        <v>77</v>
      </c>
      <c r="K17" s="26">
        <v>191.7</v>
      </c>
      <c r="L17" s="46">
        <f>K17*295.1</f>
        <v>56570.67</v>
      </c>
      <c r="M17" s="42"/>
      <c r="N17" s="2"/>
      <c r="O17" s="1"/>
      <c r="P17" s="11"/>
      <c r="Q17" s="8"/>
      <c r="R17" s="8"/>
      <c r="S17" s="7"/>
      <c r="T17" s="7"/>
      <c r="U17" s="7"/>
      <c r="V17" s="11"/>
    </row>
    <row r="18" spans="3:49" ht="14.45" x14ac:dyDescent="0.3">
      <c r="C18" s="10" t="s">
        <v>4</v>
      </c>
      <c r="D18" s="11">
        <f>SUM(D15:D16)</f>
        <v>111220</v>
      </c>
      <c r="E18" s="23">
        <f>SUM(E15:E16)</f>
        <v>415.92</v>
      </c>
      <c r="F18" s="43"/>
      <c r="G18" s="165">
        <f>SUM(G15:G16)</f>
        <v>535.41224739650556</v>
      </c>
      <c r="I18" s="23">
        <f>SUM(I15:I16)</f>
        <v>0</v>
      </c>
      <c r="L18" s="47">
        <f>SUM(L15:L17)</f>
        <v>115672.02332000001</v>
      </c>
      <c r="N18" s="89">
        <f>SUM(N15:N16)</f>
        <v>358000</v>
      </c>
      <c r="P18" s="23">
        <f>SUM(P15:P16)</f>
        <v>282462</v>
      </c>
      <c r="R18" s="23">
        <f>SUM(R15:R16)</f>
        <v>0</v>
      </c>
      <c r="V18" s="23">
        <f>SUM(V15:V16)</f>
        <v>0</v>
      </c>
    </row>
    <row r="19" spans="3:49" ht="14.45" x14ac:dyDescent="0.3">
      <c r="C19" s="4"/>
      <c r="D19" s="3"/>
      <c r="E19" s="3"/>
      <c r="F19" s="3"/>
      <c r="G19" s="4"/>
      <c r="H19" s="4"/>
      <c r="I19" s="4"/>
      <c r="M19" s="49"/>
      <c r="N19" s="4"/>
      <c r="O19" s="4"/>
      <c r="P19" s="4"/>
      <c r="Q19" s="4"/>
      <c r="R19" s="4"/>
      <c r="S19" s="4"/>
      <c r="T19" s="4"/>
      <c r="U19" s="4"/>
      <c r="V19" s="4"/>
    </row>
    <row r="20" spans="3:49" ht="14.45" x14ac:dyDescent="0.3">
      <c r="C20" s="4"/>
      <c r="D20" s="3"/>
      <c r="E20" s="3"/>
      <c r="F20" s="3"/>
      <c r="G20" s="4"/>
      <c r="H20" s="4"/>
      <c r="K20" s="162" t="s">
        <v>133</v>
      </c>
      <c r="L20" s="96">
        <f>(T22/G15)*100</f>
        <v>92.249638832059148</v>
      </c>
      <c r="M20" s="49"/>
      <c r="O20" s="4"/>
      <c r="P20" s="4"/>
      <c r="Q20" s="4"/>
      <c r="R20" s="4"/>
      <c r="S20" s="4"/>
    </row>
    <row r="21" spans="3:49" ht="14.45" x14ac:dyDescent="0.3">
      <c r="C21" s="4"/>
      <c r="D21" s="3"/>
      <c r="E21" s="3"/>
      <c r="F21" s="3"/>
      <c r="G21" s="4"/>
      <c r="H21" s="4"/>
      <c r="K21" s="159" t="s">
        <v>134</v>
      </c>
      <c r="L21" s="97">
        <f>(S22/(E18)*100)</f>
        <v>86.901327178303518</v>
      </c>
      <c r="M21" s="49"/>
      <c r="R21" s="5" t="s">
        <v>11</v>
      </c>
      <c r="S21" s="5" t="s">
        <v>12</v>
      </c>
      <c r="T21" s="5" t="s">
        <v>0</v>
      </c>
    </row>
    <row r="22" spans="3:49" ht="14.45" x14ac:dyDescent="0.3">
      <c r="C22" s="4"/>
      <c r="D22" s="3"/>
      <c r="E22" s="3"/>
      <c r="F22" s="3"/>
      <c r="G22" s="4"/>
      <c r="H22" s="4"/>
      <c r="K22" s="162" t="s">
        <v>135</v>
      </c>
      <c r="L22" s="96">
        <f>(R22/D18)*100</f>
        <v>79.261823413055211</v>
      </c>
      <c r="P22" s="4"/>
      <c r="Q22" s="5" t="s">
        <v>3</v>
      </c>
      <c r="R22" s="9">
        <v>88155</v>
      </c>
      <c r="S22" s="9">
        <v>361.44</v>
      </c>
      <c r="T22" s="22">
        <f>R22/S22</f>
        <v>243.89940239043824</v>
      </c>
    </row>
    <row r="23" spans="3:49" ht="16.149999999999999" x14ac:dyDescent="0.3">
      <c r="C23" s="4"/>
      <c r="D23" s="3"/>
      <c r="E23" s="3"/>
      <c r="F23" s="3"/>
      <c r="G23" s="4"/>
      <c r="H23" s="4"/>
      <c r="K23" s="159" t="s">
        <v>136</v>
      </c>
      <c r="L23" s="13">
        <f>(D18+I18+L18+P18+R18+V18)/R22</f>
        <v>5.7779368534966826</v>
      </c>
      <c r="O23" s="4"/>
      <c r="P23" s="4"/>
      <c r="S23" s="63"/>
      <c r="T23" s="3"/>
    </row>
    <row r="24" spans="3:49" ht="16.149999999999999" x14ac:dyDescent="0.3">
      <c r="C24" s="4"/>
      <c r="D24" s="3"/>
      <c r="E24" s="3"/>
      <c r="F24" s="3"/>
      <c r="G24" s="4"/>
      <c r="H24" s="4"/>
      <c r="I24" s="4"/>
      <c r="K24" s="163" t="s">
        <v>137</v>
      </c>
      <c r="L24" s="15">
        <f>(D18+I18+L18)/R22</f>
        <v>2.5737850753785945</v>
      </c>
      <c r="N24" s="163" t="s">
        <v>139</v>
      </c>
      <c r="O24" s="93">
        <f>G15/N18*1000</f>
        <v>0.73852131620910133</v>
      </c>
      <c r="P24" s="4"/>
      <c r="S24" s="4"/>
    </row>
    <row r="25" spans="3:49" ht="16.149999999999999" x14ac:dyDescent="0.3">
      <c r="C25" s="4"/>
      <c r="D25" s="3"/>
      <c r="E25" s="3"/>
      <c r="F25" s="3"/>
      <c r="G25" s="4"/>
      <c r="H25" s="4"/>
      <c r="I25" s="4"/>
      <c r="K25" s="164" t="s">
        <v>138</v>
      </c>
      <c r="L25" s="16">
        <f>(P18+V18)/R22</f>
        <v>3.2041517781180873</v>
      </c>
      <c r="M25" s="4"/>
      <c r="N25" s="4"/>
      <c r="O25" s="4"/>
      <c r="P25" s="4"/>
      <c r="U25" s="4"/>
      <c r="V25" s="4"/>
    </row>
    <row r="26" spans="3:49" ht="14.45" x14ac:dyDescent="0.3">
      <c r="C26" s="6"/>
      <c r="D26"/>
      <c r="E26" s="3"/>
      <c r="F26" s="3"/>
      <c r="G26" s="4"/>
      <c r="H26" s="4"/>
      <c r="I26" s="4"/>
      <c r="M26" s="4"/>
      <c r="P26" s="4"/>
      <c r="Q26" s="4"/>
      <c r="R26" s="4"/>
      <c r="S26" s="4"/>
      <c r="T26" s="4"/>
      <c r="U26" s="4"/>
      <c r="V26" s="4"/>
    </row>
    <row r="28" spans="3:49" x14ac:dyDescent="0.25">
      <c r="D28" s="191"/>
      <c r="E28" s="191"/>
      <c r="F28" s="191"/>
      <c r="G28" s="191"/>
      <c r="H28" s="191"/>
      <c r="I28" s="191"/>
      <c r="J28" s="191"/>
      <c r="K28" s="191"/>
      <c r="L28" s="191"/>
    </row>
    <row r="29" spans="3:49" ht="15" customHeight="1" x14ac:dyDescent="0.25">
      <c r="C29" s="41" t="s">
        <v>190</v>
      </c>
      <c r="D29" s="191"/>
      <c r="E29" s="191"/>
      <c r="F29" s="191"/>
      <c r="G29" s="191"/>
      <c r="H29" s="191"/>
      <c r="I29" s="191"/>
      <c r="J29" s="191"/>
      <c r="K29" s="191"/>
      <c r="L29" s="191"/>
      <c r="M29" s="103"/>
      <c r="P29" s="190" t="s">
        <v>98</v>
      </c>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0"/>
      <c r="AP29" s="190"/>
      <c r="AQ29" s="190"/>
      <c r="AR29" s="190"/>
      <c r="AS29" s="190"/>
      <c r="AT29" s="190"/>
      <c r="AU29" s="190"/>
      <c r="AV29" s="190"/>
      <c r="AW29" s="87"/>
    </row>
    <row r="30" spans="3:49" x14ac:dyDescent="0.25">
      <c r="C30" s="110" t="s">
        <v>73</v>
      </c>
      <c r="D30" s="191"/>
      <c r="E30" s="191"/>
      <c r="F30" s="191"/>
      <c r="G30" s="191"/>
      <c r="H30" s="191"/>
      <c r="I30" s="191"/>
      <c r="J30" s="191"/>
      <c r="K30" s="191"/>
      <c r="L30" s="191"/>
      <c r="M30" s="103"/>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87"/>
    </row>
    <row r="31" spans="3:49" x14ac:dyDescent="0.25">
      <c r="C31" s="52"/>
      <c r="D31" s="191"/>
      <c r="E31" s="191"/>
      <c r="F31" s="191"/>
      <c r="G31" s="191"/>
      <c r="H31" s="191"/>
      <c r="I31" s="191"/>
      <c r="J31" s="191"/>
      <c r="K31" s="191"/>
      <c r="L31" s="191"/>
      <c r="M31" s="103"/>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87"/>
    </row>
    <row r="32" spans="3:49" x14ac:dyDescent="0.25">
      <c r="D32" s="191"/>
      <c r="E32" s="191"/>
      <c r="F32" s="191"/>
      <c r="G32" s="191"/>
      <c r="H32" s="191"/>
      <c r="I32" s="191"/>
      <c r="J32" s="191"/>
      <c r="K32" s="191"/>
      <c r="L32" s="191"/>
      <c r="M32" s="103"/>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87"/>
    </row>
    <row r="33" spans="3:49" x14ac:dyDescent="0.25">
      <c r="D33" s="191"/>
      <c r="E33" s="191"/>
      <c r="F33" s="191"/>
      <c r="G33" s="191"/>
      <c r="H33" s="191"/>
      <c r="I33" s="191"/>
      <c r="J33" s="191"/>
      <c r="K33" s="191"/>
      <c r="L33" s="191"/>
      <c r="M33" s="103"/>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87"/>
    </row>
    <row r="34" spans="3:49" x14ac:dyDescent="0.25">
      <c r="D34" s="191"/>
      <c r="E34" s="191"/>
      <c r="F34" s="191"/>
      <c r="G34" s="191"/>
      <c r="H34" s="191"/>
      <c r="I34" s="191"/>
      <c r="J34" s="191"/>
      <c r="K34" s="191"/>
      <c r="L34" s="191"/>
      <c r="M34" s="103"/>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87"/>
    </row>
    <row r="35" spans="3:49" x14ac:dyDescent="0.25">
      <c r="D35" s="191"/>
      <c r="E35" s="191"/>
      <c r="F35" s="191"/>
      <c r="G35" s="191"/>
      <c r="H35" s="191"/>
      <c r="I35" s="191"/>
      <c r="J35" s="191"/>
      <c r="K35" s="191"/>
      <c r="L35" s="191"/>
      <c r="M35" s="103"/>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87"/>
    </row>
    <row r="36" spans="3:49" x14ac:dyDescent="0.25">
      <c r="D36" s="191"/>
      <c r="E36" s="191"/>
      <c r="F36" s="191"/>
      <c r="G36" s="191"/>
      <c r="H36" s="191"/>
      <c r="I36" s="191"/>
      <c r="J36" s="191"/>
      <c r="K36" s="191"/>
      <c r="L36" s="191"/>
      <c r="M36" s="103"/>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87"/>
    </row>
    <row r="37" spans="3:49" x14ac:dyDescent="0.25">
      <c r="D37" s="191"/>
      <c r="E37" s="191"/>
      <c r="F37" s="191"/>
      <c r="G37" s="191"/>
      <c r="H37" s="191"/>
      <c r="I37" s="191"/>
      <c r="J37" s="191"/>
      <c r="K37" s="191"/>
      <c r="L37" s="191"/>
      <c r="M37" s="103"/>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87"/>
    </row>
    <row r="38" spans="3:49" x14ac:dyDescent="0.25">
      <c r="D38" s="191"/>
      <c r="E38" s="191"/>
      <c r="F38" s="191"/>
      <c r="G38" s="191"/>
      <c r="H38" s="191"/>
      <c r="I38" s="191"/>
      <c r="J38" s="191"/>
      <c r="K38" s="191"/>
      <c r="L38" s="191"/>
    </row>
    <row r="39" spans="3:49" ht="14.45" x14ac:dyDescent="0.3">
      <c r="C39" s="6" t="s">
        <v>26</v>
      </c>
      <c r="D39" s="63"/>
      <c r="E39" s="63"/>
      <c r="F39" s="63"/>
    </row>
    <row r="40" spans="3:49" ht="32.450000000000003" x14ac:dyDescent="0.3">
      <c r="C40" s="17" t="s">
        <v>14</v>
      </c>
      <c r="D40" s="20" t="s">
        <v>21</v>
      </c>
      <c r="E40" s="20" t="s">
        <v>94</v>
      </c>
      <c r="F40" s="17" t="s">
        <v>13</v>
      </c>
      <c r="G40" s="17" t="s">
        <v>15</v>
      </c>
      <c r="H40" s="18" t="s">
        <v>1</v>
      </c>
      <c r="I40" s="19" t="s">
        <v>25</v>
      </c>
      <c r="J40" s="17" t="s">
        <v>2</v>
      </c>
      <c r="K40" s="20" t="s">
        <v>94</v>
      </c>
      <c r="L40" s="20" t="s">
        <v>22</v>
      </c>
      <c r="M40" s="19" t="s">
        <v>8</v>
      </c>
      <c r="N40" s="19" t="s">
        <v>16</v>
      </c>
      <c r="O40" s="19" t="s">
        <v>17</v>
      </c>
      <c r="P40" s="19" t="s">
        <v>18</v>
      </c>
      <c r="Q40" s="20" t="s">
        <v>10</v>
      </c>
      <c r="R40" s="20" t="s">
        <v>23</v>
      </c>
      <c r="S40" s="19" t="s">
        <v>9</v>
      </c>
      <c r="T40" s="19" t="s">
        <v>19</v>
      </c>
      <c r="U40" s="19" t="s">
        <v>20</v>
      </c>
      <c r="V40" s="19" t="s">
        <v>24</v>
      </c>
    </row>
    <row r="41" spans="3:49" ht="14.45" x14ac:dyDescent="0.3">
      <c r="C41" s="68" t="s">
        <v>119</v>
      </c>
      <c r="D41" s="8">
        <v>1595</v>
      </c>
      <c r="E41" s="8">
        <v>218.23</v>
      </c>
      <c r="F41" s="8">
        <v>1</v>
      </c>
      <c r="G41" s="11">
        <f>D41/E41</f>
        <v>7.308802639417129</v>
      </c>
      <c r="H41" s="7"/>
      <c r="I41" s="7"/>
      <c r="J41" s="8" t="s">
        <v>49</v>
      </c>
      <c r="K41" s="8">
        <v>101.19</v>
      </c>
      <c r="L41" s="46">
        <v>1569.5</v>
      </c>
      <c r="M41" s="42" t="s">
        <v>38</v>
      </c>
      <c r="N41" s="44">
        <v>13000</v>
      </c>
      <c r="O41" s="42">
        <v>0.94499999999999995</v>
      </c>
      <c r="P41" s="11">
        <f>N41*O41</f>
        <v>12285</v>
      </c>
      <c r="Q41" s="8"/>
      <c r="R41" s="8"/>
      <c r="S41" s="7"/>
      <c r="T41" s="7"/>
      <c r="U41" s="7"/>
      <c r="V41" s="11">
        <f>T41*U41</f>
        <v>0</v>
      </c>
    </row>
    <row r="42" spans="3:49" x14ac:dyDescent="0.25">
      <c r="C42" s="69" t="s">
        <v>209</v>
      </c>
      <c r="D42" s="8">
        <v>2240</v>
      </c>
      <c r="E42" s="8">
        <v>291.26</v>
      </c>
      <c r="F42" s="8">
        <f>G42/G41</f>
        <v>1.0522548555115736</v>
      </c>
      <c r="G42" s="11">
        <f>D42/E42</f>
        <v>7.6907230653024792</v>
      </c>
      <c r="H42" s="1"/>
      <c r="I42" s="1"/>
      <c r="J42" s="8" t="s">
        <v>65</v>
      </c>
      <c r="K42" s="8">
        <v>135.12</v>
      </c>
      <c r="L42" s="46">
        <v>225</v>
      </c>
      <c r="M42" s="42"/>
      <c r="N42" s="45"/>
      <c r="O42" s="1"/>
      <c r="P42" s="11"/>
      <c r="Q42" s="8"/>
      <c r="R42" s="8"/>
      <c r="S42" s="7"/>
      <c r="T42" s="7"/>
      <c r="U42" s="7"/>
      <c r="V42" s="11">
        <f t="shared" ref="V42:V43" si="1">T42*U42</f>
        <v>0</v>
      </c>
    </row>
    <row r="43" spans="3:49" ht="14.45" x14ac:dyDescent="0.3">
      <c r="C43" s="8"/>
      <c r="D43" s="8"/>
      <c r="E43" s="8"/>
      <c r="F43" s="8"/>
      <c r="G43" s="11"/>
      <c r="H43" s="1"/>
      <c r="I43" s="1"/>
      <c r="J43" s="25" t="s">
        <v>78</v>
      </c>
      <c r="K43" s="26">
        <v>191.7</v>
      </c>
      <c r="L43" s="46">
        <v>1470</v>
      </c>
      <c r="M43" s="42"/>
      <c r="N43" s="45"/>
      <c r="O43" s="1"/>
      <c r="P43" s="11"/>
      <c r="Q43" s="8"/>
      <c r="R43" s="8"/>
      <c r="S43" s="7"/>
      <c r="T43" s="7"/>
      <c r="U43" s="7"/>
      <c r="V43" s="11">
        <f t="shared" si="1"/>
        <v>0</v>
      </c>
    </row>
    <row r="44" spans="3:49" ht="14.45" x14ac:dyDescent="0.3">
      <c r="C44" s="10" t="s">
        <v>4</v>
      </c>
      <c r="D44" s="11">
        <f>SUM(D41:D42)</f>
        <v>3835</v>
      </c>
      <c r="E44" s="11">
        <f>SUM(E41:E42)</f>
        <v>509.49</v>
      </c>
      <c r="F44" s="10"/>
      <c r="G44" s="165">
        <f>SUM(G41:G42)</f>
        <v>14.999525704719609</v>
      </c>
      <c r="I44" s="23">
        <f>SUM(I41:I42)</f>
        <v>0</v>
      </c>
      <c r="L44" s="47">
        <f>SUM(L41:L43)</f>
        <v>3264.5</v>
      </c>
      <c r="N44" s="89">
        <f>SUM(N41:N43)</f>
        <v>13000</v>
      </c>
      <c r="P44" s="23">
        <f>SUM(P41:P43)</f>
        <v>12285</v>
      </c>
      <c r="R44" s="23">
        <f>SUM(R41:R43)</f>
        <v>0</v>
      </c>
      <c r="V44" s="23">
        <f>SUM(V41:V43)</f>
        <v>0</v>
      </c>
    </row>
    <row r="45" spans="3:49" ht="14.45" x14ac:dyDescent="0.3">
      <c r="C45" s="4"/>
      <c r="D45" s="3"/>
      <c r="E45" s="3"/>
      <c r="F45" s="3"/>
      <c r="G45" s="4"/>
      <c r="H45" s="4"/>
      <c r="I45" s="4"/>
      <c r="M45" s="4"/>
      <c r="N45" s="4"/>
      <c r="O45" s="4"/>
      <c r="P45" s="4"/>
      <c r="Q45" s="4"/>
      <c r="R45" s="4"/>
      <c r="S45" s="4"/>
      <c r="T45" s="4"/>
      <c r="U45" s="4"/>
      <c r="V45" s="4"/>
    </row>
    <row r="46" spans="3:49" ht="14.45" x14ac:dyDescent="0.3">
      <c r="C46" s="4"/>
      <c r="D46" s="3"/>
      <c r="E46" s="3"/>
      <c r="F46" s="3"/>
      <c r="G46" s="4"/>
      <c r="H46" s="4"/>
      <c r="K46" s="162" t="s">
        <v>133</v>
      </c>
      <c r="L46" s="96">
        <f>(T48/G41)*100</f>
        <v>76.164389265959173</v>
      </c>
      <c r="N46" s="49"/>
      <c r="O46" s="4"/>
      <c r="P46" s="4"/>
      <c r="Q46" s="4"/>
      <c r="R46" s="4"/>
      <c r="S46" s="4"/>
    </row>
    <row r="47" spans="3:49" ht="14.45" x14ac:dyDescent="0.3">
      <c r="C47" s="4"/>
      <c r="D47" s="3"/>
      <c r="E47" s="3"/>
      <c r="F47" s="3"/>
      <c r="G47" s="4"/>
      <c r="H47" s="4"/>
      <c r="K47" s="159" t="s">
        <v>134</v>
      </c>
      <c r="L47" s="97">
        <f>(S48/(E44)*100)</f>
        <v>82.152740976270394</v>
      </c>
      <c r="R47" s="5" t="s">
        <v>11</v>
      </c>
      <c r="S47" s="5" t="s">
        <v>12</v>
      </c>
      <c r="T47" s="5" t="s">
        <v>0</v>
      </c>
    </row>
    <row r="48" spans="3:49" ht="14.45" x14ac:dyDescent="0.3">
      <c r="C48" s="4"/>
      <c r="D48" s="3"/>
      <c r="E48" s="3"/>
      <c r="F48" s="3"/>
      <c r="G48" s="4"/>
      <c r="H48" s="4"/>
      <c r="K48" s="162" t="s">
        <v>135</v>
      </c>
      <c r="L48" s="96">
        <f>(R48/D44)*100</f>
        <v>60.756192959582791</v>
      </c>
      <c r="P48" s="4"/>
      <c r="Q48" s="5" t="s">
        <v>3</v>
      </c>
      <c r="R48" s="9">
        <v>2330</v>
      </c>
      <c r="S48" s="9">
        <v>418.56</v>
      </c>
      <c r="T48" s="48">
        <f>R48/S48</f>
        <v>5.566704892966361</v>
      </c>
    </row>
    <row r="49" spans="1:22" ht="16.149999999999999" x14ac:dyDescent="0.3">
      <c r="C49" s="4"/>
      <c r="D49" s="3"/>
      <c r="E49" s="3"/>
      <c r="F49" s="3"/>
      <c r="G49" s="4"/>
      <c r="H49" s="4"/>
      <c r="K49" s="159" t="s">
        <v>136</v>
      </c>
      <c r="L49" s="13">
        <f>(D44+I44+L44+P44+R44+V44)/R48</f>
        <v>8.3195278969957087</v>
      </c>
      <c r="O49" s="4"/>
      <c r="P49" s="4"/>
      <c r="S49" s="63"/>
      <c r="T49" s="3"/>
    </row>
    <row r="50" spans="1:22" ht="16.149999999999999" x14ac:dyDescent="0.3">
      <c r="C50" s="4"/>
      <c r="D50" s="3"/>
      <c r="E50" s="3"/>
      <c r="F50" s="3"/>
      <c r="G50" s="4"/>
      <c r="H50" s="4"/>
      <c r="I50" s="4"/>
      <c r="K50" s="163" t="s">
        <v>137</v>
      </c>
      <c r="L50" s="15">
        <f>(D44+I44+L44)/R48</f>
        <v>3.0469957081545065</v>
      </c>
      <c r="O50" s="4"/>
      <c r="P50" s="4"/>
      <c r="S50" s="4"/>
    </row>
    <row r="51" spans="1:22" ht="16.149999999999999" x14ac:dyDescent="0.3">
      <c r="C51" s="4"/>
      <c r="D51" s="3"/>
      <c r="E51" s="3"/>
      <c r="F51" s="3"/>
      <c r="G51" s="4"/>
      <c r="H51" s="4"/>
      <c r="I51" s="4"/>
      <c r="K51" s="164" t="s">
        <v>138</v>
      </c>
      <c r="L51" s="16">
        <f>(P44+V44)/R48</f>
        <v>5.2725321888412013</v>
      </c>
      <c r="M51" s="4"/>
      <c r="N51" s="163" t="s">
        <v>139</v>
      </c>
      <c r="O51" s="93">
        <f>(G41/N44)*1000</f>
        <v>0.56221558764747148</v>
      </c>
      <c r="P51" s="4"/>
      <c r="U51" s="4"/>
      <c r="V51" s="4"/>
    </row>
    <row r="52" spans="1:22" ht="14.45" x14ac:dyDescent="0.3">
      <c r="C52" s="6"/>
      <c r="D52"/>
      <c r="E52" s="3"/>
      <c r="F52" s="3"/>
      <c r="G52" s="4"/>
      <c r="H52" s="4"/>
      <c r="I52" s="4"/>
      <c r="M52" s="4"/>
      <c r="N52" s="4"/>
      <c r="O52" s="4"/>
      <c r="P52" s="4"/>
      <c r="Q52" s="4"/>
      <c r="R52" s="4"/>
      <c r="S52" s="4"/>
      <c r="T52" s="4"/>
      <c r="U52" s="4"/>
      <c r="V52" s="4"/>
    </row>
    <row r="53" spans="1:22" ht="14.45" x14ac:dyDescent="0.3">
      <c r="C53" s="6"/>
      <c r="D53"/>
      <c r="E53" s="3"/>
      <c r="F53" s="3"/>
      <c r="G53" s="4"/>
      <c r="H53" s="4"/>
      <c r="I53" s="4"/>
      <c r="K53" s="4"/>
      <c r="L53" s="4"/>
      <c r="N53" s="4"/>
      <c r="O53" s="4"/>
      <c r="P53" s="4"/>
      <c r="Q53" s="4"/>
      <c r="R53" s="4"/>
      <c r="S53" s="4"/>
      <c r="T53" s="4"/>
      <c r="U53" s="4"/>
      <c r="V53" s="4"/>
    </row>
    <row r="54" spans="1:22" s="29" customFormat="1" ht="14.45" x14ac:dyDescent="0.3">
      <c r="A54" s="28" t="s">
        <v>126</v>
      </c>
      <c r="D54" s="30"/>
      <c r="E54" s="30"/>
      <c r="F54" s="30"/>
    </row>
    <row r="55" spans="1:22" ht="14.45" x14ac:dyDescent="0.3">
      <c r="B55" s="4"/>
      <c r="C55" s="6" t="s">
        <v>26</v>
      </c>
      <c r="D55" s="63"/>
      <c r="E55" s="63"/>
      <c r="F55" s="63"/>
    </row>
    <row r="56" spans="1:22" ht="32.450000000000003" x14ac:dyDescent="0.3">
      <c r="C56" s="17" t="s">
        <v>14</v>
      </c>
      <c r="D56" s="20" t="s">
        <v>21</v>
      </c>
      <c r="E56" s="20" t="s">
        <v>94</v>
      </c>
      <c r="F56" s="17" t="s">
        <v>13</v>
      </c>
      <c r="G56" s="17" t="s">
        <v>15</v>
      </c>
      <c r="H56" s="18" t="s">
        <v>1</v>
      </c>
      <c r="I56" s="19" t="s">
        <v>25</v>
      </c>
      <c r="J56" s="17" t="s">
        <v>2</v>
      </c>
      <c r="K56" s="20" t="s">
        <v>94</v>
      </c>
      <c r="L56" s="20" t="s">
        <v>22</v>
      </c>
      <c r="M56" s="19" t="s">
        <v>8</v>
      </c>
      <c r="N56" s="19" t="s">
        <v>16</v>
      </c>
      <c r="O56" s="19" t="s">
        <v>17</v>
      </c>
      <c r="P56" s="19" t="s">
        <v>18</v>
      </c>
      <c r="Q56" s="20" t="s">
        <v>10</v>
      </c>
      <c r="R56" s="20" t="s">
        <v>23</v>
      </c>
      <c r="S56" s="19" t="s">
        <v>9</v>
      </c>
      <c r="T56" s="19" t="s">
        <v>19</v>
      </c>
      <c r="U56" s="19" t="s">
        <v>20</v>
      </c>
      <c r="V56" s="19" t="s">
        <v>24</v>
      </c>
    </row>
    <row r="57" spans="1:22" x14ac:dyDescent="0.25">
      <c r="A57" s="41" t="s">
        <v>189</v>
      </c>
      <c r="C57" s="68" t="s">
        <v>115</v>
      </c>
      <c r="D57" s="8">
        <v>59940</v>
      </c>
      <c r="E57" s="8">
        <v>226.7</v>
      </c>
      <c r="F57" s="8">
        <v>1</v>
      </c>
      <c r="G57" s="11">
        <f>D57/E57</f>
        <v>264.40229378032643</v>
      </c>
      <c r="H57" s="7"/>
      <c r="I57" s="7"/>
      <c r="J57" s="8" t="s">
        <v>65</v>
      </c>
      <c r="K57" s="8">
        <v>135.126</v>
      </c>
      <c r="L57" s="46">
        <f>13.32*K57</f>
        <v>1799.87832</v>
      </c>
      <c r="M57" s="42" t="s">
        <v>74</v>
      </c>
      <c r="N57" s="45">
        <v>660000</v>
      </c>
      <c r="O57" s="1">
        <v>0.78900000000000003</v>
      </c>
      <c r="P57" s="11">
        <f>N57*O57</f>
        <v>520740</v>
      </c>
      <c r="Q57" s="8"/>
      <c r="R57" s="8"/>
      <c r="S57" s="7"/>
      <c r="T57" s="7"/>
      <c r="U57" s="7"/>
      <c r="V57" s="11">
        <f>T57*U57</f>
        <v>0</v>
      </c>
    </row>
    <row r="58" spans="1:22" x14ac:dyDescent="0.25">
      <c r="C58" s="8" t="s">
        <v>75</v>
      </c>
      <c r="D58" s="8">
        <v>51280</v>
      </c>
      <c r="E58" s="8">
        <v>189.21</v>
      </c>
      <c r="F58" s="8">
        <f>G58/G57</f>
        <v>1.0250350415598906</v>
      </c>
      <c r="G58" s="11">
        <f>D58/E58</f>
        <v>271.02161619364728</v>
      </c>
      <c r="H58" s="1"/>
      <c r="I58" s="1"/>
      <c r="J58" s="25" t="s">
        <v>76</v>
      </c>
      <c r="K58" s="26">
        <v>101.15</v>
      </c>
      <c r="L58" s="46">
        <f>K58*566.5</f>
        <v>57301.475000000006</v>
      </c>
      <c r="M58" s="42"/>
      <c r="N58" s="2"/>
      <c r="O58" s="1"/>
      <c r="P58" s="11"/>
      <c r="Q58" s="8"/>
      <c r="R58" s="8"/>
      <c r="S58" s="7"/>
      <c r="T58" s="7"/>
      <c r="U58" s="7"/>
      <c r="V58" s="11">
        <f t="shared" ref="V58" si="2">T58*U58</f>
        <v>0</v>
      </c>
    </row>
    <row r="59" spans="1:22" x14ac:dyDescent="0.25">
      <c r="C59" s="8"/>
      <c r="D59" s="8"/>
      <c r="E59" s="8"/>
      <c r="F59" s="8"/>
      <c r="G59" s="11"/>
      <c r="H59" s="1"/>
      <c r="I59" s="1"/>
      <c r="J59" s="25" t="s">
        <v>77</v>
      </c>
      <c r="K59" s="26">
        <v>191.7</v>
      </c>
      <c r="L59" s="46">
        <f>K59*295.1</f>
        <v>56570.67</v>
      </c>
      <c r="M59" s="42"/>
      <c r="N59" s="2"/>
      <c r="O59" s="1"/>
      <c r="P59" s="11"/>
      <c r="Q59" s="8"/>
      <c r="R59" s="8"/>
      <c r="S59" s="7"/>
      <c r="T59" s="7"/>
      <c r="U59" s="7"/>
      <c r="V59" s="11"/>
    </row>
    <row r="60" spans="1:22" x14ac:dyDescent="0.25">
      <c r="C60" s="10" t="s">
        <v>4</v>
      </c>
      <c r="D60" s="11">
        <f>SUM(D57:D58)</f>
        <v>111220</v>
      </c>
      <c r="E60" s="23">
        <f>SUM(E57:E58)</f>
        <v>415.90999999999997</v>
      </c>
      <c r="F60" s="43"/>
      <c r="G60" s="165">
        <f>SUM(G57:G58)</f>
        <v>535.42390997397365</v>
      </c>
      <c r="I60" s="23">
        <f>SUM(I57:I58)</f>
        <v>0</v>
      </c>
      <c r="L60" s="47">
        <f>SUM(L57:L59)</f>
        <v>115672.02332000001</v>
      </c>
      <c r="N60" s="89">
        <f>SUM(N57:N58)</f>
        <v>660000</v>
      </c>
      <c r="P60" s="23">
        <f>SUM(P57:P58)</f>
        <v>520740</v>
      </c>
      <c r="R60" s="23">
        <f>SUM(R57:R58)</f>
        <v>0</v>
      </c>
      <c r="V60" s="23">
        <f>SUM(V57:V58)</f>
        <v>0</v>
      </c>
    </row>
    <row r="61" spans="1:22" x14ac:dyDescent="0.25">
      <c r="C61" s="4"/>
      <c r="D61" s="3"/>
      <c r="E61" s="3"/>
      <c r="F61" s="3"/>
      <c r="G61" s="4"/>
      <c r="H61" s="4"/>
      <c r="I61" s="4"/>
      <c r="M61" s="49"/>
      <c r="N61" s="4"/>
      <c r="O61" s="4"/>
      <c r="P61" s="4"/>
      <c r="Q61" s="4"/>
      <c r="R61" s="4"/>
      <c r="S61" s="4"/>
      <c r="T61" s="4"/>
      <c r="U61" s="4"/>
      <c r="V61" s="4"/>
    </row>
    <row r="62" spans="1:22" x14ac:dyDescent="0.25">
      <c r="C62" s="4"/>
      <c r="D62" s="3"/>
      <c r="E62" s="3"/>
      <c r="F62" s="3"/>
      <c r="G62" s="4"/>
      <c r="H62" s="4"/>
      <c r="K62" s="162" t="s">
        <v>133</v>
      </c>
      <c r="L62" s="96">
        <f>(T64/G57)*100</f>
        <v>92.245569772960195</v>
      </c>
      <c r="M62" s="49"/>
      <c r="O62" s="4"/>
      <c r="P62" s="4"/>
      <c r="Q62" s="4"/>
      <c r="R62" s="4"/>
      <c r="S62" s="4"/>
    </row>
    <row r="63" spans="1:22" x14ac:dyDescent="0.25">
      <c r="C63" s="4"/>
      <c r="D63" s="3"/>
      <c r="E63" s="3"/>
      <c r="F63" s="3"/>
      <c r="G63" s="4"/>
      <c r="H63" s="4"/>
      <c r="K63" s="159" t="s">
        <v>134</v>
      </c>
      <c r="L63" s="97">
        <f>(S64/(E60)*100)</f>
        <v>86.903416604553868</v>
      </c>
      <c r="M63" s="49"/>
      <c r="R63" s="5" t="s">
        <v>11</v>
      </c>
      <c r="S63" s="5" t="s">
        <v>12</v>
      </c>
      <c r="T63" s="5" t="s">
        <v>0</v>
      </c>
    </row>
    <row r="64" spans="1:22" x14ac:dyDescent="0.25">
      <c r="C64" s="4"/>
      <c r="D64" s="3"/>
      <c r="E64" s="3"/>
      <c r="F64" s="3"/>
      <c r="G64" s="4"/>
      <c r="H64" s="4"/>
      <c r="K64" s="162" t="s">
        <v>135</v>
      </c>
      <c r="L64" s="96">
        <f>(R64/D60)*100</f>
        <v>79.261823413055211</v>
      </c>
      <c r="P64" s="4"/>
      <c r="Q64" s="5" t="s">
        <v>3</v>
      </c>
      <c r="R64" s="9">
        <v>88155</v>
      </c>
      <c r="S64" s="9">
        <v>361.44</v>
      </c>
      <c r="T64" s="22">
        <f>R64/S64</f>
        <v>243.89940239043824</v>
      </c>
    </row>
    <row r="65" spans="1:22" ht="17.25" x14ac:dyDescent="0.25">
      <c r="C65" s="4"/>
      <c r="D65" s="3"/>
      <c r="E65" s="3"/>
      <c r="F65" s="3"/>
      <c r="G65" s="4"/>
      <c r="H65" s="4"/>
      <c r="K65" s="159" t="s">
        <v>136</v>
      </c>
      <c r="L65" s="13">
        <f>(D60+I60+L60+P60+R60+V60)/R64</f>
        <v>8.4808805322443419</v>
      </c>
      <c r="O65" s="4"/>
      <c r="P65" s="4"/>
      <c r="S65" s="63"/>
      <c r="T65" s="3"/>
    </row>
    <row r="66" spans="1:22" ht="17.25" x14ac:dyDescent="0.25">
      <c r="C66" s="4"/>
      <c r="D66" s="3"/>
      <c r="E66" s="3"/>
      <c r="F66" s="3"/>
      <c r="G66" s="4"/>
      <c r="H66" s="4"/>
      <c r="I66" s="4"/>
      <c r="K66" s="163" t="s">
        <v>137</v>
      </c>
      <c r="L66" s="15">
        <f>(D60+I60+L60)/R64</f>
        <v>2.5737850753785945</v>
      </c>
      <c r="N66" s="163" t="s">
        <v>139</v>
      </c>
      <c r="O66" s="93">
        <f>G57/N60*1000</f>
        <v>0.40060953603079763</v>
      </c>
      <c r="P66" s="4"/>
      <c r="S66" s="4"/>
    </row>
    <row r="67" spans="1:22" ht="17.25" x14ac:dyDescent="0.25">
      <c r="C67" s="4"/>
      <c r="D67" s="3"/>
      <c r="E67" s="3"/>
      <c r="F67" s="3"/>
      <c r="G67" s="4"/>
      <c r="H67" s="4"/>
      <c r="I67" s="4"/>
      <c r="K67" s="164" t="s">
        <v>138</v>
      </c>
      <c r="L67" s="16">
        <f>(P60+V60)/R64</f>
        <v>5.9070954568657479</v>
      </c>
      <c r="M67" s="4"/>
      <c r="N67" s="4"/>
      <c r="O67" s="4"/>
      <c r="P67" s="4"/>
      <c r="U67" s="4"/>
      <c r="V67" s="4"/>
    </row>
    <row r="68" spans="1:22" x14ac:dyDescent="0.25">
      <c r="C68" s="6"/>
      <c r="D68"/>
      <c r="E68" s="3"/>
      <c r="F68" s="3"/>
      <c r="G68" s="4"/>
      <c r="H68" s="4"/>
      <c r="I68" s="4"/>
      <c r="M68" s="4"/>
      <c r="P68" s="4"/>
      <c r="Q68" s="4"/>
      <c r="R68" s="4"/>
      <c r="S68" s="4"/>
      <c r="T68" s="4"/>
      <c r="U68" s="4"/>
      <c r="V68" s="4"/>
    </row>
    <row r="69" spans="1:22" x14ac:dyDescent="0.25">
      <c r="B69" s="4"/>
      <c r="C69" s="6" t="s">
        <v>26</v>
      </c>
      <c r="D69" s="63"/>
      <c r="E69" s="63"/>
      <c r="F69" s="63"/>
    </row>
    <row r="70" spans="1:22" ht="34.5" x14ac:dyDescent="0.25">
      <c r="C70" s="17" t="s">
        <v>14</v>
      </c>
      <c r="D70" s="20" t="s">
        <v>21</v>
      </c>
      <c r="E70" s="20" t="s">
        <v>94</v>
      </c>
      <c r="F70" s="17" t="s">
        <v>13</v>
      </c>
      <c r="G70" s="17" t="s">
        <v>15</v>
      </c>
      <c r="H70" s="18" t="s">
        <v>1</v>
      </c>
      <c r="I70" s="19" t="s">
        <v>25</v>
      </c>
      <c r="J70" s="17" t="s">
        <v>2</v>
      </c>
      <c r="K70" s="20" t="s">
        <v>94</v>
      </c>
      <c r="L70" s="20" t="s">
        <v>22</v>
      </c>
      <c r="M70" s="19" t="s">
        <v>8</v>
      </c>
      <c r="N70" s="19" t="s">
        <v>16</v>
      </c>
      <c r="O70" s="19" t="s">
        <v>17</v>
      </c>
      <c r="P70" s="19" t="s">
        <v>18</v>
      </c>
      <c r="Q70" s="20" t="s">
        <v>10</v>
      </c>
      <c r="R70" s="20" t="s">
        <v>23</v>
      </c>
      <c r="S70" s="19" t="s">
        <v>9</v>
      </c>
      <c r="T70" s="19" t="s">
        <v>19</v>
      </c>
      <c r="U70" s="19" t="s">
        <v>20</v>
      </c>
      <c r="V70" s="19" t="s">
        <v>24</v>
      </c>
    </row>
    <row r="71" spans="1:22" x14ac:dyDescent="0.25">
      <c r="A71" s="41" t="s">
        <v>190</v>
      </c>
      <c r="C71" s="68" t="s">
        <v>119</v>
      </c>
      <c r="D71" s="8">
        <v>1595</v>
      </c>
      <c r="E71" s="8">
        <v>218.23</v>
      </c>
      <c r="F71" s="8">
        <v>1</v>
      </c>
      <c r="G71" s="11">
        <f>D71/E71</f>
        <v>7.308802639417129</v>
      </c>
      <c r="H71" s="7"/>
      <c r="I71" s="7"/>
      <c r="J71" s="8" t="s">
        <v>49</v>
      </c>
      <c r="K71" s="8">
        <v>101.19</v>
      </c>
      <c r="L71" s="46">
        <v>1569.5</v>
      </c>
      <c r="M71" s="42" t="s">
        <v>38</v>
      </c>
      <c r="N71" s="44">
        <v>18250</v>
      </c>
      <c r="O71" s="42">
        <v>0.94499999999999995</v>
      </c>
      <c r="P71" s="11">
        <f>N71*O71</f>
        <v>17246.25</v>
      </c>
      <c r="Q71" s="8"/>
      <c r="R71" s="8"/>
      <c r="S71" s="7"/>
      <c r="T71" s="7"/>
      <c r="U71" s="7"/>
      <c r="V71" s="11">
        <f>T71*U71</f>
        <v>0</v>
      </c>
    </row>
    <row r="72" spans="1:22" x14ac:dyDescent="0.25">
      <c r="C72" s="72" t="s">
        <v>120</v>
      </c>
      <c r="D72" s="8">
        <v>2240</v>
      </c>
      <c r="E72" s="8">
        <v>291.26</v>
      </c>
      <c r="F72" s="8">
        <f>G72/G71</f>
        <v>1.0522548555115736</v>
      </c>
      <c r="G72" s="11">
        <f>D72/E72</f>
        <v>7.6907230653024792</v>
      </c>
      <c r="H72" s="1"/>
      <c r="I72" s="1"/>
      <c r="J72" s="8" t="s">
        <v>65</v>
      </c>
      <c r="K72" s="8">
        <v>135.12</v>
      </c>
      <c r="L72" s="46">
        <v>225</v>
      </c>
      <c r="M72" s="42"/>
      <c r="N72" s="45"/>
      <c r="O72" s="1"/>
      <c r="P72" s="11"/>
      <c r="Q72" s="8"/>
      <c r="R72" s="8"/>
      <c r="S72" s="7"/>
      <c r="T72" s="7"/>
      <c r="U72" s="7"/>
      <c r="V72" s="11">
        <f t="shared" ref="V72:V73" si="3">T72*U72</f>
        <v>0</v>
      </c>
    </row>
    <row r="73" spans="1:22" x14ac:dyDescent="0.25">
      <c r="C73" s="8"/>
      <c r="D73" s="8"/>
      <c r="E73" s="8"/>
      <c r="F73" s="8"/>
      <c r="G73" s="11"/>
      <c r="H73" s="1"/>
      <c r="I73" s="1"/>
      <c r="J73" s="25" t="s">
        <v>78</v>
      </c>
      <c r="K73" s="26"/>
      <c r="L73" s="46">
        <v>1470</v>
      </c>
      <c r="M73" s="42"/>
      <c r="N73" s="45"/>
      <c r="O73" s="1"/>
      <c r="P73" s="11"/>
      <c r="Q73" s="8"/>
      <c r="R73" s="8"/>
      <c r="S73" s="7"/>
      <c r="T73" s="7"/>
      <c r="U73" s="7"/>
      <c r="V73" s="11">
        <f t="shared" si="3"/>
        <v>0</v>
      </c>
    </row>
    <row r="74" spans="1:22" x14ac:dyDescent="0.25">
      <c r="C74" s="10" t="s">
        <v>4</v>
      </c>
      <c r="D74" s="11">
        <f>SUM(D71:D72)</f>
        <v>3835</v>
      </c>
      <c r="E74" s="11">
        <f>SUM(E71:E72)</f>
        <v>509.49</v>
      </c>
      <c r="F74" s="10"/>
      <c r="G74" s="165">
        <f>SUM(G71:G72)</f>
        <v>14.999525704719609</v>
      </c>
      <c r="I74" s="23">
        <f>SUM(I71:I72)</f>
        <v>0</v>
      </c>
      <c r="L74" s="47">
        <f>SUM(L71:L73)</f>
        <v>3264.5</v>
      </c>
      <c r="N74" s="89">
        <f>SUM(N71:N73)</f>
        <v>18250</v>
      </c>
      <c r="P74" s="23">
        <f>SUM(P71:P73)</f>
        <v>17246.25</v>
      </c>
      <c r="R74" s="23">
        <f>SUM(R71:R73)</f>
        <v>0</v>
      </c>
      <c r="V74" s="23">
        <f>SUM(V71:V73)</f>
        <v>0</v>
      </c>
    </row>
    <row r="75" spans="1:22" x14ac:dyDescent="0.25">
      <c r="C75" s="4"/>
      <c r="D75" s="3"/>
      <c r="E75" s="3"/>
      <c r="F75" s="3"/>
      <c r="G75" s="4"/>
      <c r="H75" s="4"/>
      <c r="I75" s="4"/>
      <c r="M75" s="4"/>
      <c r="N75" s="4"/>
      <c r="O75" s="4"/>
      <c r="P75" s="4"/>
      <c r="Q75" s="4"/>
      <c r="R75" s="4"/>
      <c r="S75" s="4"/>
      <c r="T75" s="4"/>
      <c r="U75" s="4"/>
      <c r="V75" s="4"/>
    </row>
    <row r="76" spans="1:22" x14ac:dyDescent="0.25">
      <c r="C76" s="4"/>
      <c r="D76" s="3"/>
      <c r="E76" s="3"/>
      <c r="F76" s="3"/>
      <c r="G76" s="4"/>
      <c r="H76" s="4"/>
      <c r="K76" s="162" t="s">
        <v>133</v>
      </c>
      <c r="L76" s="96">
        <f>(T78/G71)*100</f>
        <v>76.164389265959173</v>
      </c>
      <c r="N76" s="49"/>
      <c r="O76" s="4"/>
      <c r="P76" s="4"/>
      <c r="Q76" s="4"/>
      <c r="R76" s="4"/>
      <c r="S76" s="4"/>
    </row>
    <row r="77" spans="1:22" x14ac:dyDescent="0.25">
      <c r="C77" s="4"/>
      <c r="D77" s="3"/>
      <c r="E77" s="3"/>
      <c r="F77" s="3"/>
      <c r="G77" s="4"/>
      <c r="H77" s="4"/>
      <c r="K77" s="159" t="s">
        <v>134</v>
      </c>
      <c r="L77" s="97">
        <f>(S78/(E74)*100)</f>
        <v>82.152740976270394</v>
      </c>
      <c r="R77" s="5" t="s">
        <v>11</v>
      </c>
      <c r="S77" s="5" t="s">
        <v>12</v>
      </c>
      <c r="T77" s="5" t="s">
        <v>0</v>
      </c>
    </row>
    <row r="78" spans="1:22" x14ac:dyDescent="0.25">
      <c r="C78" s="4"/>
      <c r="D78" s="3"/>
      <c r="E78" s="3"/>
      <c r="F78" s="3"/>
      <c r="G78" s="4"/>
      <c r="H78" s="4"/>
      <c r="K78" s="162" t="s">
        <v>135</v>
      </c>
      <c r="L78" s="96">
        <f>(R78/D74)*100</f>
        <v>60.756192959582791</v>
      </c>
      <c r="P78" s="4"/>
      <c r="Q78" s="5" t="s">
        <v>3</v>
      </c>
      <c r="R78" s="9">
        <v>2330</v>
      </c>
      <c r="S78" s="9">
        <v>418.56</v>
      </c>
      <c r="T78" s="48">
        <f>R78/S78</f>
        <v>5.566704892966361</v>
      </c>
    </row>
    <row r="79" spans="1:22" ht="17.25" x14ac:dyDescent="0.25">
      <c r="C79" s="4"/>
      <c r="D79" s="3"/>
      <c r="E79" s="3"/>
      <c r="F79" s="3"/>
      <c r="G79" s="4"/>
      <c r="H79" s="4"/>
      <c r="K79" s="159" t="s">
        <v>136</v>
      </c>
      <c r="L79" s="13">
        <f>(D74+I74+L74+P74+R74+V74)/R78</f>
        <v>10.44881974248927</v>
      </c>
      <c r="O79" s="4"/>
      <c r="P79" s="4"/>
      <c r="S79" s="63"/>
      <c r="T79" s="3"/>
    </row>
    <row r="80" spans="1:22" ht="17.25" x14ac:dyDescent="0.25">
      <c r="C80" s="4"/>
      <c r="D80" s="3"/>
      <c r="E80" s="3"/>
      <c r="F80" s="3"/>
      <c r="G80" s="4"/>
      <c r="H80" s="4"/>
      <c r="I80" s="4"/>
      <c r="K80" s="163" t="s">
        <v>137</v>
      </c>
      <c r="L80" s="15">
        <f>(D74+I74+L74)/R78</f>
        <v>3.0469957081545065</v>
      </c>
      <c r="O80" s="4"/>
      <c r="P80" s="4"/>
      <c r="S80" s="4"/>
    </row>
    <row r="81" spans="1:22" ht="17.25" x14ac:dyDescent="0.25">
      <c r="C81" s="4"/>
      <c r="D81" s="3"/>
      <c r="E81" s="3"/>
      <c r="F81" s="3"/>
      <c r="G81" s="4"/>
      <c r="H81" s="4"/>
      <c r="I81" s="4"/>
      <c r="K81" s="164" t="s">
        <v>138</v>
      </c>
      <c r="L81" s="16">
        <f>(P74+V74)/R78</f>
        <v>7.4018240343347639</v>
      </c>
      <c r="M81" s="4"/>
      <c r="N81" s="163" t="s">
        <v>139</v>
      </c>
      <c r="O81" s="93">
        <f>(G71/N74)*1000</f>
        <v>0.40048233640641806</v>
      </c>
      <c r="P81" s="4"/>
      <c r="U81" s="4"/>
      <c r="V81" s="4"/>
    </row>
    <row r="82" spans="1:22" x14ac:dyDescent="0.25">
      <c r="C82" s="6"/>
      <c r="D82"/>
      <c r="E82" s="3"/>
      <c r="F82" s="3"/>
      <c r="G82" s="4"/>
      <c r="H82" s="4"/>
      <c r="I82" s="4"/>
      <c r="M82" s="4"/>
      <c r="N82" s="4"/>
      <c r="O82" s="4"/>
      <c r="P82" s="4"/>
      <c r="Q82" s="4"/>
      <c r="R82" s="4"/>
      <c r="S82" s="4"/>
      <c r="T82" s="4"/>
      <c r="U82" s="4"/>
      <c r="V82" s="4"/>
    </row>
    <row r="83" spans="1:22" x14ac:dyDescent="0.25">
      <c r="C83" s="6"/>
      <c r="D83"/>
      <c r="E83" s="3"/>
      <c r="F83" s="3"/>
      <c r="G83" s="4"/>
      <c r="H83" s="4"/>
      <c r="I83" s="4"/>
      <c r="M83" s="4"/>
      <c r="N83" s="4"/>
      <c r="O83" s="4"/>
      <c r="P83" s="4"/>
      <c r="Q83" s="4"/>
      <c r="R83" s="4"/>
      <c r="S83" s="4"/>
      <c r="T83" s="4"/>
      <c r="U83" s="4"/>
      <c r="V83" s="4"/>
    </row>
    <row r="84" spans="1:22" s="29" customFormat="1" x14ac:dyDescent="0.25">
      <c r="A84" s="28" t="s">
        <v>108</v>
      </c>
      <c r="D84" s="30"/>
      <c r="E84" s="30"/>
      <c r="F84" s="30"/>
    </row>
    <row r="85" spans="1:22" x14ac:dyDescent="0.25">
      <c r="B85" s="4"/>
      <c r="C85" s="6" t="s">
        <v>26</v>
      </c>
      <c r="D85" s="63"/>
      <c r="E85" s="63"/>
      <c r="F85" s="63"/>
    </row>
    <row r="86" spans="1:22" ht="34.5" x14ac:dyDescent="0.25">
      <c r="C86" s="17" t="s">
        <v>14</v>
      </c>
      <c r="D86" s="20" t="s">
        <v>21</v>
      </c>
      <c r="E86" s="20" t="s">
        <v>94</v>
      </c>
      <c r="F86" s="17" t="s">
        <v>13</v>
      </c>
      <c r="G86" s="17" t="s">
        <v>15</v>
      </c>
      <c r="H86" s="18" t="s">
        <v>1</v>
      </c>
      <c r="I86" s="19" t="s">
        <v>25</v>
      </c>
      <c r="J86" s="17" t="s">
        <v>2</v>
      </c>
      <c r="K86" s="20" t="s">
        <v>94</v>
      </c>
      <c r="L86" s="20" t="s">
        <v>22</v>
      </c>
      <c r="M86" s="19" t="s">
        <v>8</v>
      </c>
      <c r="N86" s="19" t="s">
        <v>16</v>
      </c>
      <c r="O86" s="19" t="s">
        <v>17</v>
      </c>
      <c r="P86" s="19" t="s">
        <v>18</v>
      </c>
      <c r="Q86" s="20" t="s">
        <v>10</v>
      </c>
      <c r="R86" s="20" t="s">
        <v>23</v>
      </c>
      <c r="S86" s="19" t="s">
        <v>9</v>
      </c>
      <c r="T86" s="19" t="s">
        <v>19</v>
      </c>
      <c r="U86" s="19" t="s">
        <v>20</v>
      </c>
      <c r="V86" s="19" t="s">
        <v>24</v>
      </c>
    </row>
    <row r="87" spans="1:22" x14ac:dyDescent="0.25">
      <c r="A87" s="41" t="s">
        <v>189</v>
      </c>
      <c r="C87" s="68" t="s">
        <v>115</v>
      </c>
      <c r="D87" s="8">
        <v>59940</v>
      </c>
      <c r="E87" s="8">
        <v>226.7</v>
      </c>
      <c r="F87" s="8">
        <v>1</v>
      </c>
      <c r="G87" s="11">
        <f>D87/E87</f>
        <v>264.40229378032643</v>
      </c>
      <c r="H87" s="7"/>
      <c r="I87" s="7"/>
      <c r="J87" s="8" t="s">
        <v>65</v>
      </c>
      <c r="K87" s="8">
        <v>135.126</v>
      </c>
      <c r="L87" s="46">
        <f>13.32*K87</f>
        <v>1799.87832</v>
      </c>
      <c r="M87" s="42" t="s">
        <v>74</v>
      </c>
      <c r="N87" s="45">
        <v>358000</v>
      </c>
      <c r="O87" s="1">
        <v>0.78900000000000003</v>
      </c>
      <c r="P87" s="11">
        <f>N87*O87</f>
        <v>282462</v>
      </c>
      <c r="Q87" s="8"/>
      <c r="R87" s="8"/>
      <c r="S87" s="7"/>
      <c r="T87" s="7"/>
      <c r="U87" s="7"/>
      <c r="V87" s="11">
        <f>T87*U87</f>
        <v>0</v>
      </c>
    </row>
    <row r="88" spans="1:22" x14ac:dyDescent="0.25">
      <c r="C88" s="8" t="s">
        <v>75</v>
      </c>
      <c r="D88" s="8">
        <v>51280</v>
      </c>
      <c r="E88" s="8">
        <v>189.21</v>
      </c>
      <c r="F88" s="8">
        <f>G88/G87</f>
        <v>1.0250350415598906</v>
      </c>
      <c r="G88" s="11">
        <f>D88/E88</f>
        <v>271.02161619364728</v>
      </c>
      <c r="H88" s="1"/>
      <c r="I88" s="1"/>
      <c r="J88" s="25" t="s">
        <v>76</v>
      </c>
      <c r="K88" s="26">
        <v>101.15</v>
      </c>
      <c r="L88" s="46">
        <f>K88*566.5</f>
        <v>57301.475000000006</v>
      </c>
      <c r="M88" s="42"/>
      <c r="N88" s="2"/>
      <c r="O88" s="1"/>
      <c r="P88" s="11"/>
      <c r="Q88" s="8"/>
      <c r="R88" s="8"/>
      <c r="S88" s="7"/>
      <c r="T88" s="7"/>
      <c r="U88" s="7"/>
      <c r="V88" s="11">
        <f t="shared" ref="V88" si="4">T88*U88</f>
        <v>0</v>
      </c>
    </row>
    <row r="89" spans="1:22" x14ac:dyDescent="0.25">
      <c r="C89" s="8"/>
      <c r="D89" s="8"/>
      <c r="E89" s="8"/>
      <c r="F89" s="8"/>
      <c r="G89" s="11"/>
      <c r="H89" s="1"/>
      <c r="I89" s="1"/>
      <c r="J89" s="25" t="s">
        <v>77</v>
      </c>
      <c r="K89" s="26">
        <v>191.7</v>
      </c>
      <c r="L89" s="46">
        <f>K89*295.1</f>
        <v>56570.67</v>
      </c>
      <c r="M89" s="42"/>
      <c r="N89" s="2"/>
      <c r="O89" s="1"/>
      <c r="P89" s="11"/>
      <c r="Q89" s="8"/>
      <c r="R89" s="8"/>
      <c r="S89" s="7"/>
      <c r="T89" s="7"/>
      <c r="U89" s="7"/>
      <c r="V89" s="11"/>
    </row>
    <row r="90" spans="1:22" x14ac:dyDescent="0.25">
      <c r="C90" s="10" t="s">
        <v>4</v>
      </c>
      <c r="D90" s="11">
        <f>SUM(D87:D88)</f>
        <v>111220</v>
      </c>
      <c r="E90" s="23">
        <f>SUM(E87:E88)</f>
        <v>415.90999999999997</v>
      </c>
      <c r="F90" s="43"/>
      <c r="G90" s="165">
        <f>SUM(G87:G88)</f>
        <v>535.42390997397365</v>
      </c>
      <c r="I90" s="23">
        <f>SUM(I87:I88)</f>
        <v>0</v>
      </c>
      <c r="L90" s="47">
        <f>SUM(L87:L89)</f>
        <v>115672.02332000001</v>
      </c>
      <c r="N90" s="89">
        <f>SUM(N87:N88)</f>
        <v>358000</v>
      </c>
      <c r="P90" s="23">
        <f>SUM(P87:P88)</f>
        <v>282462</v>
      </c>
      <c r="R90" s="23">
        <f>SUM(R87:R88)</f>
        <v>0</v>
      </c>
      <c r="V90" s="23">
        <f>SUM(V87:V88)</f>
        <v>0</v>
      </c>
    </row>
    <row r="91" spans="1:22" x14ac:dyDescent="0.25">
      <c r="C91" s="4"/>
      <c r="D91" s="3"/>
      <c r="E91" s="3"/>
      <c r="F91" s="3"/>
      <c r="G91" s="4"/>
      <c r="H91" s="4"/>
      <c r="I91" s="4"/>
      <c r="M91" s="49"/>
      <c r="N91" s="4"/>
      <c r="O91" s="4"/>
      <c r="P91" s="4"/>
      <c r="Q91" s="4"/>
      <c r="R91" s="4"/>
      <c r="S91" s="4"/>
      <c r="T91" s="4"/>
      <c r="U91" s="4"/>
      <c r="V91" s="4"/>
    </row>
    <row r="92" spans="1:22" x14ac:dyDescent="0.25">
      <c r="C92" s="4"/>
      <c r="D92" s="3"/>
      <c r="E92" s="3"/>
      <c r="F92" s="3"/>
      <c r="G92" s="4"/>
      <c r="H92" s="4"/>
      <c r="K92" s="162" t="s">
        <v>133</v>
      </c>
      <c r="L92" s="96">
        <f>(T94/G87)*100</f>
        <v>90</v>
      </c>
      <c r="M92" s="49"/>
      <c r="O92" s="4"/>
      <c r="P92" s="4"/>
      <c r="Q92" s="4"/>
      <c r="R92" s="4"/>
      <c r="S92" s="4"/>
    </row>
    <row r="93" spans="1:22" x14ac:dyDescent="0.25">
      <c r="C93" s="4"/>
      <c r="D93" s="3"/>
      <c r="E93" s="3"/>
      <c r="F93" s="3"/>
      <c r="G93" s="4"/>
      <c r="H93" s="4"/>
      <c r="K93" s="159" t="s">
        <v>134</v>
      </c>
      <c r="L93" s="97">
        <f>(S94/(E90)*100)</f>
        <v>86.903416604553868</v>
      </c>
      <c r="M93" s="49"/>
      <c r="R93" s="5" t="s">
        <v>11</v>
      </c>
      <c r="S93" s="5" t="s">
        <v>12</v>
      </c>
      <c r="T93" s="5" t="s">
        <v>0</v>
      </c>
    </row>
    <row r="94" spans="1:22" x14ac:dyDescent="0.25">
      <c r="C94" s="4"/>
      <c r="D94" s="3"/>
      <c r="E94" s="3"/>
      <c r="F94" s="3"/>
      <c r="G94" s="4"/>
      <c r="H94" s="4"/>
      <c r="K94" s="162" t="s">
        <v>135</v>
      </c>
      <c r="L94" s="96">
        <f>(R94/D90)*100</f>
        <v>77.332322026222869</v>
      </c>
      <c r="P94" s="4"/>
      <c r="Q94" s="5" t="s">
        <v>3</v>
      </c>
      <c r="R94" s="9">
        <f>T94*S94</f>
        <v>86009.008557565074</v>
      </c>
      <c r="S94" s="9">
        <v>361.44</v>
      </c>
      <c r="T94" s="22">
        <f>G87*0.9</f>
        <v>237.96206440229381</v>
      </c>
    </row>
    <row r="95" spans="1:22" ht="17.25" x14ac:dyDescent="0.25">
      <c r="C95" s="4"/>
      <c r="D95" s="3"/>
      <c r="E95" s="3"/>
      <c r="F95" s="3"/>
      <c r="G95" s="4"/>
      <c r="H95" s="4"/>
      <c r="K95" s="159" t="s">
        <v>136</v>
      </c>
      <c r="L95" s="13">
        <f>(D90+I90+L90+P90+R90+V90)/R94</f>
        <v>5.922100857366515</v>
      </c>
      <c r="O95" s="4"/>
      <c r="P95" s="4"/>
      <c r="S95" s="63"/>
      <c r="T95" s="3"/>
    </row>
    <row r="96" spans="1:22" ht="17.25" x14ac:dyDescent="0.25">
      <c r="C96" s="4"/>
      <c r="D96" s="3"/>
      <c r="E96" s="3"/>
      <c r="F96" s="3"/>
      <c r="G96" s="4"/>
      <c r="H96" s="4"/>
      <c r="I96" s="4"/>
      <c r="K96" s="163" t="s">
        <v>137</v>
      </c>
      <c r="L96" s="15">
        <f>(D90+I90+L90)/R94</f>
        <v>2.6380030083493309</v>
      </c>
      <c r="N96" s="163" t="s">
        <v>139</v>
      </c>
      <c r="O96" s="93">
        <f>G87/N90*1000</f>
        <v>0.7385538932411353</v>
      </c>
      <c r="P96" s="4"/>
      <c r="S96" s="4"/>
    </row>
    <row r="97" spans="1:22" ht="17.25" x14ac:dyDescent="0.25">
      <c r="C97" s="4"/>
      <c r="D97" s="3"/>
      <c r="E97" s="3"/>
      <c r="F97" s="3"/>
      <c r="G97" s="4"/>
      <c r="H97" s="4"/>
      <c r="I97" s="4"/>
      <c r="K97" s="164" t="s">
        <v>138</v>
      </c>
      <c r="L97" s="16">
        <f>(P90+V90)/R94</f>
        <v>3.2840978490171837</v>
      </c>
      <c r="M97" s="4"/>
      <c r="N97" s="4"/>
      <c r="O97" s="4"/>
      <c r="P97" s="4"/>
      <c r="U97" s="4"/>
      <c r="V97" s="4"/>
    </row>
    <row r="98" spans="1:22" x14ac:dyDescent="0.25">
      <c r="C98" s="6"/>
      <c r="D98"/>
      <c r="E98" s="3"/>
      <c r="F98" s="3"/>
      <c r="G98" s="4"/>
      <c r="H98" s="4"/>
      <c r="I98" s="4"/>
      <c r="M98" s="4"/>
      <c r="P98" s="4"/>
      <c r="Q98" s="4"/>
      <c r="R98" s="4"/>
      <c r="S98" s="4"/>
      <c r="T98" s="4"/>
      <c r="U98" s="4"/>
      <c r="V98" s="4"/>
    </row>
    <row r="99" spans="1:22" x14ac:dyDescent="0.25">
      <c r="B99" s="4"/>
      <c r="C99" s="6" t="s">
        <v>26</v>
      </c>
      <c r="D99" s="63"/>
      <c r="E99" s="63"/>
      <c r="F99" s="63"/>
    </row>
    <row r="100" spans="1:22" ht="34.5" x14ac:dyDescent="0.25">
      <c r="C100" s="17" t="s">
        <v>14</v>
      </c>
      <c r="D100" s="20" t="s">
        <v>21</v>
      </c>
      <c r="E100" s="20" t="s">
        <v>94</v>
      </c>
      <c r="F100" s="17" t="s">
        <v>13</v>
      </c>
      <c r="G100" s="17" t="s">
        <v>15</v>
      </c>
      <c r="H100" s="18" t="s">
        <v>1</v>
      </c>
      <c r="I100" s="19" t="s">
        <v>25</v>
      </c>
      <c r="J100" s="17" t="s">
        <v>2</v>
      </c>
      <c r="K100" s="20" t="s">
        <v>94</v>
      </c>
      <c r="L100" s="20" t="s">
        <v>22</v>
      </c>
      <c r="M100" s="19" t="s">
        <v>8</v>
      </c>
      <c r="N100" s="19" t="s">
        <v>16</v>
      </c>
      <c r="O100" s="19" t="s">
        <v>17</v>
      </c>
      <c r="P100" s="19" t="s">
        <v>18</v>
      </c>
      <c r="Q100" s="20" t="s">
        <v>10</v>
      </c>
      <c r="R100" s="20" t="s">
        <v>23</v>
      </c>
      <c r="S100" s="19" t="s">
        <v>9</v>
      </c>
      <c r="T100" s="19" t="s">
        <v>19</v>
      </c>
      <c r="U100" s="19" t="s">
        <v>20</v>
      </c>
      <c r="V100" s="19" t="s">
        <v>24</v>
      </c>
    </row>
    <row r="101" spans="1:22" x14ac:dyDescent="0.25">
      <c r="A101" s="41" t="s">
        <v>190</v>
      </c>
      <c r="C101" s="68" t="s">
        <v>119</v>
      </c>
      <c r="D101" s="8">
        <v>1595</v>
      </c>
      <c r="E101" s="8">
        <v>218.23</v>
      </c>
      <c r="F101" s="8">
        <v>1</v>
      </c>
      <c r="G101" s="11">
        <f>D101/E101</f>
        <v>7.308802639417129</v>
      </c>
      <c r="H101" s="7"/>
      <c r="I101" s="7"/>
      <c r="J101" s="8" t="s">
        <v>49</v>
      </c>
      <c r="K101" s="8">
        <v>101.19</v>
      </c>
      <c r="L101" s="46">
        <v>1569.5</v>
      </c>
      <c r="M101" s="42" t="s">
        <v>38</v>
      </c>
      <c r="N101" s="44">
        <v>13000</v>
      </c>
      <c r="O101" s="42">
        <v>0.94499999999999995</v>
      </c>
      <c r="P101" s="11">
        <f>N101*O101</f>
        <v>12285</v>
      </c>
      <c r="Q101" s="8"/>
      <c r="R101" s="8"/>
      <c r="S101" s="7"/>
      <c r="T101" s="7"/>
      <c r="U101" s="7"/>
      <c r="V101" s="11">
        <f>T101*U101</f>
        <v>0</v>
      </c>
    </row>
    <row r="102" spans="1:22" x14ac:dyDescent="0.25">
      <c r="C102" s="72" t="s">
        <v>120</v>
      </c>
      <c r="D102" s="8">
        <v>2240</v>
      </c>
      <c r="E102" s="8">
        <v>291.26</v>
      </c>
      <c r="F102" s="8">
        <f>G102/G101</f>
        <v>1.0522548555115736</v>
      </c>
      <c r="G102" s="11">
        <f>D102/E102</f>
        <v>7.6907230653024792</v>
      </c>
      <c r="H102" s="1"/>
      <c r="I102" s="1"/>
      <c r="J102" s="8" t="s">
        <v>65</v>
      </c>
      <c r="K102" s="8">
        <v>135.12</v>
      </c>
      <c r="L102" s="46">
        <v>225</v>
      </c>
      <c r="M102" s="42"/>
      <c r="N102" s="45"/>
      <c r="O102" s="1"/>
      <c r="P102" s="11"/>
      <c r="Q102" s="8"/>
      <c r="R102" s="8"/>
      <c r="S102" s="7"/>
      <c r="T102" s="7"/>
      <c r="U102" s="7"/>
      <c r="V102" s="11">
        <f t="shared" ref="V102:V103" si="5">T102*U102</f>
        <v>0</v>
      </c>
    </row>
    <row r="103" spans="1:22" x14ac:dyDescent="0.25">
      <c r="C103" s="8"/>
      <c r="D103" s="8"/>
      <c r="E103" s="8"/>
      <c r="F103" s="8"/>
      <c r="G103" s="11"/>
      <c r="H103" s="1"/>
      <c r="I103" s="1"/>
      <c r="J103" s="25" t="s">
        <v>78</v>
      </c>
      <c r="K103" s="26"/>
      <c r="L103" s="46">
        <v>1470</v>
      </c>
      <c r="M103" s="42"/>
      <c r="N103" s="45"/>
      <c r="O103" s="1"/>
      <c r="P103" s="11"/>
      <c r="Q103" s="8"/>
      <c r="R103" s="8"/>
      <c r="S103" s="7"/>
      <c r="T103" s="7"/>
      <c r="U103" s="7"/>
      <c r="V103" s="11">
        <f t="shared" si="5"/>
        <v>0</v>
      </c>
    </row>
    <row r="104" spans="1:22" x14ac:dyDescent="0.25">
      <c r="C104" s="10" t="s">
        <v>4</v>
      </c>
      <c r="D104" s="11">
        <f>SUM(D101:D102)</f>
        <v>3835</v>
      </c>
      <c r="E104" s="11">
        <f>SUM(E101:E102)</f>
        <v>509.49</v>
      </c>
      <c r="F104" s="10"/>
      <c r="G104" s="165">
        <f>SUM(G101:G102)</f>
        <v>14.999525704719609</v>
      </c>
      <c r="I104" s="23">
        <f>SUM(I101:I102)</f>
        <v>0</v>
      </c>
      <c r="L104" s="47">
        <f>SUM(L101:L103)</f>
        <v>3264.5</v>
      </c>
      <c r="N104" s="23">
        <f>SUM(N101:N103)</f>
        <v>13000</v>
      </c>
      <c r="P104" s="23">
        <f>SUM(P101:P103)</f>
        <v>12285</v>
      </c>
      <c r="R104" s="23">
        <f>SUM(R101:R103)</f>
        <v>0</v>
      </c>
      <c r="V104" s="23">
        <f>SUM(V101:V103)</f>
        <v>0</v>
      </c>
    </row>
    <row r="105" spans="1:22" x14ac:dyDescent="0.25">
      <c r="C105" s="4"/>
      <c r="D105" s="3"/>
      <c r="E105" s="3"/>
      <c r="F105" s="3"/>
      <c r="G105" s="4"/>
      <c r="H105" s="4"/>
      <c r="I105" s="4"/>
      <c r="M105" s="4"/>
      <c r="N105" s="4"/>
      <c r="O105" s="4"/>
      <c r="P105" s="4"/>
      <c r="Q105" s="4"/>
      <c r="R105" s="4"/>
      <c r="S105" s="4"/>
      <c r="T105" s="4"/>
      <c r="U105" s="4"/>
      <c r="V105" s="4"/>
    </row>
    <row r="106" spans="1:22" x14ac:dyDescent="0.25">
      <c r="C106" s="4"/>
      <c r="D106" s="3"/>
      <c r="E106" s="3"/>
      <c r="F106" s="3"/>
      <c r="G106" s="4"/>
      <c r="H106" s="4"/>
      <c r="K106" s="162" t="s">
        <v>133</v>
      </c>
      <c r="L106" s="96">
        <f>(T108/G101)*100</f>
        <v>90</v>
      </c>
      <c r="N106" s="49"/>
      <c r="O106" s="4"/>
      <c r="P106" s="4"/>
      <c r="Q106" s="4"/>
      <c r="R106" s="4"/>
      <c r="S106" s="4"/>
    </row>
    <row r="107" spans="1:22" x14ac:dyDescent="0.25">
      <c r="C107" s="4"/>
      <c r="D107" s="3"/>
      <c r="E107" s="3"/>
      <c r="F107" s="3"/>
      <c r="G107" s="4"/>
      <c r="H107" s="4"/>
      <c r="K107" s="159" t="s">
        <v>134</v>
      </c>
      <c r="L107" s="97">
        <f>(S108/(E104)*100)</f>
        <v>82.152740976270394</v>
      </c>
      <c r="R107" s="5" t="s">
        <v>11</v>
      </c>
      <c r="S107" s="5" t="s">
        <v>12</v>
      </c>
      <c r="T107" s="5" t="s">
        <v>0</v>
      </c>
    </row>
    <row r="108" spans="1:22" x14ac:dyDescent="0.25">
      <c r="C108" s="4"/>
      <c r="D108" s="3"/>
      <c r="E108" s="3"/>
      <c r="F108" s="3"/>
      <c r="G108" s="4"/>
      <c r="H108" s="4"/>
      <c r="K108" s="162" t="s">
        <v>135</v>
      </c>
      <c r="L108" s="96">
        <f>(R108/D104)*100</f>
        <v>71.792834145475624</v>
      </c>
      <c r="P108" s="4"/>
      <c r="Q108" s="5" t="s">
        <v>3</v>
      </c>
      <c r="R108" s="9">
        <f>T108*S108</f>
        <v>2753.2551894789904</v>
      </c>
      <c r="S108" s="9">
        <v>418.56</v>
      </c>
      <c r="T108" s="48">
        <f>G101*0.9</f>
        <v>6.5779223754754161</v>
      </c>
    </row>
    <row r="109" spans="1:22" ht="17.25" x14ac:dyDescent="0.25">
      <c r="C109" s="4"/>
      <c r="D109" s="3"/>
      <c r="E109" s="3"/>
      <c r="F109" s="3"/>
      <c r="G109" s="4"/>
      <c r="H109" s="4"/>
      <c r="K109" s="159" t="s">
        <v>136</v>
      </c>
      <c r="L109" s="13">
        <f>(D104+I104+L104+P104+R104+V104)/R108</f>
        <v>7.0405751250643087</v>
      </c>
      <c r="O109" s="4"/>
      <c r="P109" s="4"/>
      <c r="S109" s="63"/>
      <c r="T109" s="3"/>
    </row>
    <row r="110" spans="1:22" ht="17.25" x14ac:dyDescent="0.25">
      <c r="C110" s="4"/>
      <c r="D110" s="3"/>
      <c r="E110" s="3"/>
      <c r="F110" s="3"/>
      <c r="G110" s="4"/>
      <c r="H110" s="4"/>
      <c r="I110" s="4"/>
      <c r="K110" s="163" t="s">
        <v>137</v>
      </c>
      <c r="L110" s="15">
        <f>(D104+I104+L104)/R108</f>
        <v>2.5785840800842972</v>
      </c>
      <c r="O110" s="4"/>
      <c r="P110" s="4"/>
      <c r="S110" s="4"/>
    </row>
    <row r="111" spans="1:22" ht="17.25" x14ac:dyDescent="0.25">
      <c r="C111" s="4"/>
      <c r="D111" s="3"/>
      <c r="E111" s="3"/>
      <c r="F111" s="3"/>
      <c r="G111" s="4"/>
      <c r="H111" s="4"/>
      <c r="I111" s="4"/>
      <c r="K111" s="164" t="s">
        <v>138</v>
      </c>
      <c r="L111" s="16">
        <f>(P104+V104)/R108</f>
        <v>4.461991044980012</v>
      </c>
      <c r="M111" s="4"/>
      <c r="N111" s="163" t="s">
        <v>139</v>
      </c>
      <c r="O111" s="93">
        <f>(G101/N104)*1000</f>
        <v>0.56221558764747148</v>
      </c>
      <c r="P111" s="4"/>
      <c r="U111" s="4"/>
      <c r="V111" s="4"/>
    </row>
    <row r="112" spans="1:22" x14ac:dyDescent="0.25">
      <c r="C112" s="6"/>
      <c r="D112"/>
      <c r="E112" s="3"/>
      <c r="F112" s="3"/>
      <c r="G112" s="4"/>
      <c r="H112" s="4"/>
      <c r="I112" s="4"/>
      <c r="M112" s="4"/>
      <c r="N112" s="4"/>
      <c r="O112" s="4"/>
      <c r="P112" s="4"/>
      <c r="Q112" s="4"/>
      <c r="R112" s="4"/>
      <c r="S112" s="4"/>
      <c r="T112" s="4"/>
      <c r="U112" s="4"/>
      <c r="V112" s="4"/>
    </row>
    <row r="113" spans="1:22" x14ac:dyDescent="0.25">
      <c r="C113" s="6"/>
      <c r="D113"/>
      <c r="E113" s="3"/>
      <c r="F113" s="3"/>
      <c r="G113" s="4"/>
      <c r="H113" s="4"/>
      <c r="I113" s="4"/>
      <c r="M113" s="4"/>
      <c r="N113" s="4"/>
      <c r="O113" s="4"/>
      <c r="P113" s="4"/>
      <c r="Q113" s="4"/>
      <c r="R113" s="4"/>
      <c r="S113" s="4"/>
      <c r="T113" s="4"/>
      <c r="U113" s="4"/>
      <c r="V113" s="4"/>
    </row>
    <row r="114" spans="1:22" s="29" customFormat="1" ht="14.25" customHeight="1" x14ac:dyDescent="0.25">
      <c r="A114" s="28" t="s">
        <v>105</v>
      </c>
      <c r="D114" s="30"/>
      <c r="E114" s="30"/>
      <c r="F114" s="30"/>
    </row>
    <row r="115" spans="1:22" x14ac:dyDescent="0.25">
      <c r="B115" s="4"/>
      <c r="C115" s="6" t="s">
        <v>26</v>
      </c>
      <c r="D115" s="63"/>
      <c r="E115" s="63"/>
      <c r="F115" s="63"/>
    </row>
    <row r="116" spans="1:22" ht="34.5" x14ac:dyDescent="0.25">
      <c r="C116" s="17" t="s">
        <v>14</v>
      </c>
      <c r="D116" s="20" t="s">
        <v>21</v>
      </c>
      <c r="E116" s="20" t="s">
        <v>94</v>
      </c>
      <c r="F116" s="17" t="s">
        <v>13</v>
      </c>
      <c r="G116" s="17" t="s">
        <v>15</v>
      </c>
      <c r="H116" s="18" t="s">
        <v>1</v>
      </c>
      <c r="I116" s="19" t="s">
        <v>25</v>
      </c>
      <c r="J116" s="17" t="s">
        <v>2</v>
      </c>
      <c r="K116" s="20" t="s">
        <v>94</v>
      </c>
      <c r="L116" s="20" t="s">
        <v>22</v>
      </c>
      <c r="M116" s="19" t="s">
        <v>8</v>
      </c>
      <c r="N116" s="19" t="s">
        <v>16</v>
      </c>
      <c r="O116" s="19" t="s">
        <v>17</v>
      </c>
      <c r="P116" s="19" t="s">
        <v>18</v>
      </c>
      <c r="Q116" s="20" t="s">
        <v>10</v>
      </c>
      <c r="R116" s="20" t="s">
        <v>23</v>
      </c>
      <c r="S116" s="19" t="s">
        <v>9</v>
      </c>
      <c r="T116" s="19" t="s">
        <v>19</v>
      </c>
      <c r="U116" s="19" t="s">
        <v>20</v>
      </c>
      <c r="V116" s="19" t="s">
        <v>24</v>
      </c>
    </row>
    <row r="117" spans="1:22" x14ac:dyDescent="0.25">
      <c r="A117" s="41" t="s">
        <v>189</v>
      </c>
      <c r="C117" s="68" t="s">
        <v>115</v>
      </c>
      <c r="D117" s="56">
        <v>59940</v>
      </c>
      <c r="E117" s="8">
        <v>226.7</v>
      </c>
      <c r="F117" s="8">
        <v>1</v>
      </c>
      <c r="G117" s="11">
        <f>D117/E117</f>
        <v>264.40229378032643</v>
      </c>
      <c r="H117" s="7"/>
      <c r="I117" s="7"/>
      <c r="J117" s="8" t="s">
        <v>65</v>
      </c>
      <c r="K117" s="8">
        <v>135.126</v>
      </c>
      <c r="L117" s="46">
        <f>13.32*K117</f>
        <v>1799.87832</v>
      </c>
      <c r="M117" s="42" t="s">
        <v>74</v>
      </c>
      <c r="N117" s="45">
        <v>660000</v>
      </c>
      <c r="O117" s="1">
        <v>0.78900000000000003</v>
      </c>
      <c r="P117" s="11">
        <f>N117*O117</f>
        <v>520740</v>
      </c>
      <c r="Q117" s="8"/>
      <c r="R117" s="8"/>
      <c r="S117" s="7"/>
      <c r="T117" s="7"/>
      <c r="U117" s="7"/>
      <c r="V117" s="11">
        <f>T117*U117</f>
        <v>0</v>
      </c>
    </row>
    <row r="118" spans="1:22" x14ac:dyDescent="0.25">
      <c r="C118" s="8" t="s">
        <v>75</v>
      </c>
      <c r="D118" s="8">
        <v>51280</v>
      </c>
      <c r="E118" s="8">
        <v>189.21</v>
      </c>
      <c r="F118" s="8">
        <f>G118/G117</f>
        <v>1.0250350415598906</v>
      </c>
      <c r="G118" s="11">
        <f>D118/E118</f>
        <v>271.02161619364728</v>
      </c>
      <c r="H118" s="1"/>
      <c r="I118" s="1"/>
      <c r="J118" s="25" t="s">
        <v>76</v>
      </c>
      <c r="K118" s="26">
        <v>101.15</v>
      </c>
      <c r="L118" s="46">
        <f>K118*566.5</f>
        <v>57301.475000000006</v>
      </c>
      <c r="M118" s="42"/>
      <c r="N118" s="2"/>
      <c r="O118" s="1"/>
      <c r="P118" s="11"/>
      <c r="Q118" s="8"/>
      <c r="R118" s="8"/>
      <c r="S118" s="7"/>
      <c r="T118" s="7"/>
      <c r="U118" s="7"/>
      <c r="V118" s="11">
        <f t="shared" ref="V118" si="6">T118*U118</f>
        <v>0</v>
      </c>
    </row>
    <row r="119" spans="1:22" x14ac:dyDescent="0.25">
      <c r="C119" s="8"/>
      <c r="D119" s="8"/>
      <c r="E119" s="8"/>
      <c r="F119" s="8"/>
      <c r="G119" s="11"/>
      <c r="H119" s="1"/>
      <c r="I119" s="1"/>
      <c r="J119" s="25" t="s">
        <v>77</v>
      </c>
      <c r="K119" s="26">
        <v>191.7</v>
      </c>
      <c r="L119" s="46">
        <f>K119*295.1</f>
        <v>56570.67</v>
      </c>
      <c r="M119" s="42"/>
      <c r="N119" s="2"/>
      <c r="O119" s="1"/>
      <c r="P119" s="11"/>
      <c r="Q119" s="8"/>
      <c r="R119" s="8"/>
      <c r="S119" s="7"/>
      <c r="T119" s="7"/>
      <c r="U119" s="7"/>
      <c r="V119" s="11"/>
    </row>
    <row r="120" spans="1:22" x14ac:dyDescent="0.25">
      <c r="C120" s="10" t="s">
        <v>4</v>
      </c>
      <c r="D120" s="11">
        <f>SUM(D117:D118)</f>
        <v>111220</v>
      </c>
      <c r="E120" s="23">
        <f>SUM(E117:E118)</f>
        <v>415.90999999999997</v>
      </c>
      <c r="F120" s="43"/>
      <c r="G120" s="165">
        <f>SUM(G117:G118)</f>
        <v>535.42390997397365</v>
      </c>
      <c r="I120" s="23">
        <f>SUM(I117:I118)</f>
        <v>0</v>
      </c>
      <c r="L120" s="47">
        <f>SUM(L117:L119)</f>
        <v>115672.02332000001</v>
      </c>
      <c r="N120" s="89">
        <f>SUM(N117:N118)</f>
        <v>660000</v>
      </c>
      <c r="P120" s="23">
        <f>SUM(P117:P118)</f>
        <v>520740</v>
      </c>
      <c r="R120" s="23">
        <f>SUM(R117:R118)</f>
        <v>0</v>
      </c>
      <c r="V120" s="23">
        <f>SUM(V117:V118)</f>
        <v>0</v>
      </c>
    </row>
    <row r="121" spans="1:22" x14ac:dyDescent="0.25">
      <c r="C121" s="4"/>
      <c r="D121" s="3"/>
      <c r="E121" s="3"/>
      <c r="F121" s="3"/>
      <c r="G121" s="4"/>
      <c r="H121" s="4"/>
      <c r="I121" s="4"/>
      <c r="M121" s="49"/>
      <c r="N121" s="4"/>
      <c r="O121" s="4"/>
      <c r="P121" s="4"/>
      <c r="Q121" s="4"/>
      <c r="R121" s="4"/>
      <c r="S121" s="4"/>
      <c r="T121" s="4"/>
      <c r="U121" s="4"/>
      <c r="V121" s="4"/>
    </row>
    <row r="122" spans="1:22" x14ac:dyDescent="0.25">
      <c r="C122" s="4"/>
      <c r="D122" s="3"/>
      <c r="E122" s="3"/>
      <c r="F122" s="3"/>
      <c r="G122" s="4"/>
      <c r="H122" s="4"/>
      <c r="K122" s="162" t="s">
        <v>133</v>
      </c>
      <c r="L122" s="96">
        <f>(T124/G117)*100</f>
        <v>90</v>
      </c>
      <c r="M122" s="49"/>
      <c r="O122" s="4"/>
      <c r="P122" s="4"/>
      <c r="Q122" s="4"/>
      <c r="R122" s="4"/>
      <c r="S122" s="4"/>
    </row>
    <row r="123" spans="1:22" x14ac:dyDescent="0.25">
      <c r="C123" s="4"/>
      <c r="D123" s="3"/>
      <c r="E123" s="3"/>
      <c r="F123" s="3"/>
      <c r="G123" s="4"/>
      <c r="H123" s="4"/>
      <c r="K123" s="159" t="s">
        <v>134</v>
      </c>
      <c r="L123" s="97">
        <f>(S124/(E120)*100)</f>
        <v>86.903416604553868</v>
      </c>
      <c r="M123" s="49"/>
      <c r="R123" s="5" t="s">
        <v>11</v>
      </c>
      <c r="S123" s="5" t="s">
        <v>12</v>
      </c>
      <c r="T123" s="5" t="s">
        <v>0</v>
      </c>
    </row>
    <row r="124" spans="1:22" x14ac:dyDescent="0.25">
      <c r="C124" s="4"/>
      <c r="D124" s="3"/>
      <c r="E124" s="3"/>
      <c r="F124" s="3"/>
      <c r="G124" s="4"/>
      <c r="H124" s="4"/>
      <c r="K124" s="162" t="s">
        <v>135</v>
      </c>
      <c r="L124" s="96">
        <f>(R124/D120)*100</f>
        <v>77.332322026222869</v>
      </c>
      <c r="P124" s="4"/>
      <c r="Q124" s="5" t="s">
        <v>3</v>
      </c>
      <c r="R124" s="9">
        <f>T124*S124</f>
        <v>86009.008557565074</v>
      </c>
      <c r="S124" s="9">
        <v>361.44</v>
      </c>
      <c r="T124" s="22">
        <f>G117*0.9</f>
        <v>237.96206440229381</v>
      </c>
    </row>
    <row r="125" spans="1:22" ht="17.25" x14ac:dyDescent="0.25">
      <c r="C125" s="4"/>
      <c r="D125" s="3"/>
      <c r="E125" s="3"/>
      <c r="F125" s="3"/>
      <c r="G125" s="4"/>
      <c r="H125" s="4"/>
      <c r="K125" s="159" t="s">
        <v>136</v>
      </c>
      <c r="L125" s="13">
        <f>(D120+I120+L120+P120+R120+V120)/R124</f>
        <v>8.692485076369838</v>
      </c>
      <c r="O125" s="4"/>
      <c r="P125" s="4"/>
      <c r="S125" s="63"/>
      <c r="T125" s="3"/>
    </row>
    <row r="126" spans="1:22" ht="17.25" x14ac:dyDescent="0.25">
      <c r="C126" s="4"/>
      <c r="D126" s="3"/>
      <c r="E126" s="3"/>
      <c r="F126" s="3"/>
      <c r="G126" s="4"/>
      <c r="H126" s="4"/>
      <c r="I126" s="4"/>
      <c r="K126" s="163" t="s">
        <v>137</v>
      </c>
      <c r="L126" s="15">
        <f>(D120+I120+L120)/R124</f>
        <v>2.6380030083493309</v>
      </c>
      <c r="N126" s="163" t="s">
        <v>139</v>
      </c>
      <c r="O126" s="93">
        <f>G117/N120*1000</f>
        <v>0.40060953603079763</v>
      </c>
      <c r="P126" s="4"/>
      <c r="S126" s="4"/>
    </row>
    <row r="127" spans="1:22" ht="17.25" x14ac:dyDescent="0.25">
      <c r="C127" s="4"/>
      <c r="D127" s="3"/>
      <c r="E127" s="3"/>
      <c r="F127" s="3"/>
      <c r="G127" s="4"/>
      <c r="H127" s="4"/>
      <c r="I127" s="4"/>
      <c r="K127" s="164" t="s">
        <v>138</v>
      </c>
      <c r="L127" s="16">
        <f>(P120+V120)/R124</f>
        <v>6.0544820680205058</v>
      </c>
      <c r="M127" s="4"/>
      <c r="N127" s="4"/>
      <c r="O127" s="4"/>
      <c r="P127" s="4"/>
      <c r="U127" s="4"/>
      <c r="V127" s="4"/>
    </row>
    <row r="128" spans="1:22" x14ac:dyDescent="0.25">
      <c r="C128" s="6"/>
      <c r="D128"/>
      <c r="E128" s="3"/>
      <c r="F128" s="3"/>
      <c r="G128" s="4"/>
      <c r="H128" s="4"/>
      <c r="I128" s="4"/>
      <c r="M128" s="4"/>
      <c r="P128" s="4"/>
      <c r="Q128" s="4"/>
      <c r="R128" s="4"/>
      <c r="S128" s="4"/>
      <c r="T128" s="4"/>
      <c r="U128" s="4"/>
      <c r="V128" s="4"/>
    </row>
    <row r="129" spans="1:22" x14ac:dyDescent="0.25">
      <c r="B129" s="4"/>
      <c r="C129" s="6" t="s">
        <v>26</v>
      </c>
      <c r="D129" s="63"/>
      <c r="E129" s="63"/>
      <c r="F129" s="63"/>
    </row>
    <row r="130" spans="1:22" ht="34.5" x14ac:dyDescent="0.25">
      <c r="C130" s="17" t="s">
        <v>14</v>
      </c>
      <c r="D130" s="20" t="s">
        <v>21</v>
      </c>
      <c r="E130" s="20" t="s">
        <v>94</v>
      </c>
      <c r="F130" s="17" t="s">
        <v>13</v>
      </c>
      <c r="G130" s="17" t="s">
        <v>15</v>
      </c>
      <c r="H130" s="18" t="s">
        <v>1</v>
      </c>
      <c r="I130" s="19" t="s">
        <v>25</v>
      </c>
      <c r="J130" s="17" t="s">
        <v>2</v>
      </c>
      <c r="K130" s="20" t="s">
        <v>94</v>
      </c>
      <c r="L130" s="20" t="s">
        <v>22</v>
      </c>
      <c r="M130" s="19" t="s">
        <v>8</v>
      </c>
      <c r="N130" s="19" t="s">
        <v>16</v>
      </c>
      <c r="O130" s="19" t="s">
        <v>17</v>
      </c>
      <c r="P130" s="19" t="s">
        <v>18</v>
      </c>
      <c r="Q130" s="20" t="s">
        <v>10</v>
      </c>
      <c r="R130" s="20" t="s">
        <v>23</v>
      </c>
      <c r="S130" s="19" t="s">
        <v>9</v>
      </c>
      <c r="T130" s="19" t="s">
        <v>19</v>
      </c>
      <c r="U130" s="19" t="s">
        <v>20</v>
      </c>
      <c r="V130" s="19" t="s">
        <v>24</v>
      </c>
    </row>
    <row r="131" spans="1:22" x14ac:dyDescent="0.25">
      <c r="A131" s="41" t="s">
        <v>190</v>
      </c>
      <c r="C131" s="68" t="s">
        <v>119</v>
      </c>
      <c r="D131" s="8">
        <v>1595</v>
      </c>
      <c r="E131" s="8">
        <v>218.23</v>
      </c>
      <c r="F131" s="8">
        <v>1</v>
      </c>
      <c r="G131" s="11">
        <f>D131/E131</f>
        <v>7.308802639417129</v>
      </c>
      <c r="H131" s="7"/>
      <c r="I131" s="7"/>
      <c r="J131" s="8" t="s">
        <v>49</v>
      </c>
      <c r="K131" s="8">
        <v>101.19</v>
      </c>
      <c r="L131" s="46">
        <v>1569.5</v>
      </c>
      <c r="M131" s="42" t="s">
        <v>38</v>
      </c>
      <c r="N131" s="44">
        <v>18250</v>
      </c>
      <c r="O131" s="42">
        <v>0.94499999999999995</v>
      </c>
      <c r="P131" s="11">
        <f>N131*O131</f>
        <v>17246.25</v>
      </c>
      <c r="Q131" s="8"/>
      <c r="R131" s="8"/>
      <c r="S131" s="7"/>
      <c r="T131" s="7"/>
      <c r="U131" s="7"/>
      <c r="V131" s="11">
        <f>T131*U131</f>
        <v>0</v>
      </c>
    </row>
    <row r="132" spans="1:22" x14ac:dyDescent="0.25">
      <c r="C132" s="72" t="s">
        <v>120</v>
      </c>
      <c r="D132" s="8">
        <v>2240</v>
      </c>
      <c r="E132" s="8">
        <v>291.26</v>
      </c>
      <c r="F132" s="8">
        <f>G132/G131</f>
        <v>1.0522548555115736</v>
      </c>
      <c r="G132" s="11">
        <f>D132/E132</f>
        <v>7.6907230653024792</v>
      </c>
      <c r="H132" s="1"/>
      <c r="I132" s="1"/>
      <c r="J132" s="8" t="s">
        <v>65</v>
      </c>
      <c r="K132" s="8">
        <v>135.12</v>
      </c>
      <c r="L132" s="46">
        <v>225</v>
      </c>
      <c r="M132" s="42"/>
      <c r="N132" s="45"/>
      <c r="O132" s="1"/>
      <c r="P132" s="11"/>
      <c r="Q132" s="8"/>
      <c r="R132" s="8"/>
      <c r="S132" s="7"/>
      <c r="T132" s="7"/>
      <c r="U132" s="7"/>
      <c r="V132" s="11">
        <f t="shared" ref="V132:V133" si="7">T132*U132</f>
        <v>0</v>
      </c>
    </row>
    <row r="133" spans="1:22" x14ac:dyDescent="0.25">
      <c r="C133" s="8"/>
      <c r="D133" s="8"/>
      <c r="E133" s="8"/>
      <c r="F133" s="8"/>
      <c r="G133" s="11"/>
      <c r="H133" s="1"/>
      <c r="I133" s="1"/>
      <c r="J133" s="25" t="s">
        <v>78</v>
      </c>
      <c r="K133" s="26"/>
      <c r="L133" s="46">
        <v>1470</v>
      </c>
      <c r="M133" s="42"/>
      <c r="N133" s="45"/>
      <c r="O133" s="1"/>
      <c r="P133" s="11"/>
      <c r="Q133" s="8"/>
      <c r="R133" s="8"/>
      <c r="S133" s="7"/>
      <c r="T133" s="7"/>
      <c r="U133" s="7"/>
      <c r="V133" s="11">
        <f t="shared" si="7"/>
        <v>0</v>
      </c>
    </row>
    <row r="134" spans="1:22" x14ac:dyDescent="0.25">
      <c r="C134" s="10" t="s">
        <v>4</v>
      </c>
      <c r="D134" s="11">
        <f>SUM(D131:D132)</f>
        <v>3835</v>
      </c>
      <c r="E134" s="11">
        <f>SUM(E131:E132)</f>
        <v>509.49</v>
      </c>
      <c r="F134" s="10"/>
      <c r="G134" s="43">
        <f>SUM(G131:G132)</f>
        <v>14.999525704719609</v>
      </c>
      <c r="I134" s="23">
        <f>SUM(I131:I132)</f>
        <v>0</v>
      </c>
      <c r="L134" s="47">
        <f>SUM(L131:L133)</f>
        <v>3264.5</v>
      </c>
      <c r="N134" s="89">
        <f>SUM(N131:N133)</f>
        <v>18250</v>
      </c>
      <c r="P134" s="23">
        <f>SUM(P131:P133)</f>
        <v>17246.25</v>
      </c>
      <c r="R134" s="23">
        <f>SUM(R131:R133)</f>
        <v>0</v>
      </c>
      <c r="V134" s="23">
        <f>SUM(V131:V133)</f>
        <v>0</v>
      </c>
    </row>
    <row r="135" spans="1:22" x14ac:dyDescent="0.25">
      <c r="C135" s="4"/>
      <c r="D135" s="3"/>
      <c r="E135" s="3"/>
      <c r="F135" s="3"/>
      <c r="G135" s="4"/>
      <c r="H135" s="4"/>
      <c r="I135" s="4"/>
      <c r="M135" s="4"/>
      <c r="N135" s="4"/>
      <c r="O135" s="4"/>
      <c r="P135" s="4"/>
      <c r="Q135" s="4"/>
      <c r="R135" s="4"/>
      <c r="S135" s="4"/>
      <c r="T135" s="4"/>
      <c r="U135" s="4"/>
      <c r="V135" s="4"/>
    </row>
    <row r="136" spans="1:22" x14ac:dyDescent="0.25">
      <c r="C136" s="4"/>
      <c r="D136" s="3"/>
      <c r="E136" s="3"/>
      <c r="F136" s="3"/>
      <c r="G136" s="4"/>
      <c r="H136" s="4"/>
      <c r="K136" s="162" t="s">
        <v>133</v>
      </c>
      <c r="L136" s="96">
        <f>(T138/G131)*100</f>
        <v>90</v>
      </c>
      <c r="N136" s="49"/>
      <c r="O136" s="4"/>
      <c r="P136" s="4"/>
      <c r="Q136" s="4"/>
      <c r="R136" s="4"/>
      <c r="S136" s="4"/>
    </row>
    <row r="137" spans="1:22" x14ac:dyDescent="0.25">
      <c r="C137" s="4"/>
      <c r="D137" s="3"/>
      <c r="E137" s="3"/>
      <c r="F137" s="3"/>
      <c r="G137" s="4"/>
      <c r="H137" s="4"/>
      <c r="K137" s="159" t="s">
        <v>134</v>
      </c>
      <c r="L137" s="97">
        <f>(S138/(E134)*100)</f>
        <v>82.152740976270394</v>
      </c>
      <c r="R137" s="5" t="s">
        <v>11</v>
      </c>
      <c r="S137" s="5" t="s">
        <v>12</v>
      </c>
      <c r="T137" s="5" t="s">
        <v>0</v>
      </c>
    </row>
    <row r="138" spans="1:22" x14ac:dyDescent="0.25">
      <c r="C138" s="4"/>
      <c r="D138" s="3"/>
      <c r="E138" s="3"/>
      <c r="F138" s="3"/>
      <c r="G138" s="4"/>
      <c r="H138" s="4"/>
      <c r="K138" s="162" t="s">
        <v>135</v>
      </c>
      <c r="L138" s="96">
        <f>(R138/D134)*100</f>
        <v>71.792834145475624</v>
      </c>
      <c r="P138" s="4"/>
      <c r="Q138" s="5" t="s">
        <v>3</v>
      </c>
      <c r="R138" s="9">
        <f>T138*S138</f>
        <v>2753.2551894789904</v>
      </c>
      <c r="S138" s="9">
        <v>418.56</v>
      </c>
      <c r="T138" s="48">
        <f>G131*0.9</f>
        <v>6.5779223754754161</v>
      </c>
    </row>
    <row r="139" spans="1:22" ht="17.25" x14ac:dyDescent="0.25">
      <c r="C139" s="4"/>
      <c r="D139" s="3"/>
      <c r="E139" s="3"/>
      <c r="F139" s="3"/>
      <c r="G139" s="4"/>
      <c r="H139" s="4"/>
      <c r="K139" s="159" t="s">
        <v>136</v>
      </c>
      <c r="L139" s="13">
        <f>(D134+I134+L134+P134+R134+V134)/R138</f>
        <v>8.8425330470754666</v>
      </c>
      <c r="O139" s="4"/>
      <c r="P139" s="4"/>
      <c r="S139" s="63"/>
      <c r="T139" s="3"/>
    </row>
    <row r="140" spans="1:22" ht="17.25" x14ac:dyDescent="0.25">
      <c r="C140" s="4"/>
      <c r="D140" s="3"/>
      <c r="E140" s="3"/>
      <c r="F140" s="3"/>
      <c r="G140" s="4"/>
      <c r="H140" s="4"/>
      <c r="I140" s="4"/>
      <c r="K140" s="163" t="s">
        <v>137</v>
      </c>
      <c r="L140" s="15">
        <f>(D134+I134+L134)/R138</f>
        <v>2.5785840800842972</v>
      </c>
      <c r="O140" s="4"/>
      <c r="P140" s="4"/>
      <c r="S140" s="4"/>
    </row>
    <row r="141" spans="1:22" ht="17.25" x14ac:dyDescent="0.25">
      <c r="C141" s="4"/>
      <c r="D141" s="3"/>
      <c r="E141" s="3"/>
      <c r="F141" s="3"/>
      <c r="G141" s="4"/>
      <c r="H141" s="4"/>
      <c r="I141" s="4"/>
      <c r="K141" s="164" t="s">
        <v>138</v>
      </c>
      <c r="L141" s="16">
        <f>(P134+V134)/R138</f>
        <v>6.2639489669911699</v>
      </c>
      <c r="M141" s="4"/>
      <c r="N141" s="163" t="s">
        <v>139</v>
      </c>
      <c r="O141" s="93">
        <f>(G131/N134)*1000</f>
        <v>0.40048233640641806</v>
      </c>
      <c r="P141" s="4"/>
      <c r="U141" s="4"/>
      <c r="V141" s="4"/>
    </row>
    <row r="142" spans="1:22" x14ac:dyDescent="0.25">
      <c r="C142" s="6"/>
      <c r="D142"/>
      <c r="E142" s="3"/>
      <c r="F142" s="3"/>
      <c r="G142" s="4"/>
      <c r="H142" s="4"/>
      <c r="I142" s="4"/>
      <c r="M142" s="4"/>
      <c r="N142" s="4"/>
      <c r="O142" s="4"/>
      <c r="P142" s="4"/>
      <c r="Q142" s="4"/>
      <c r="R142" s="4"/>
      <c r="S142" s="4"/>
      <c r="T142" s="4"/>
      <c r="U142" s="4"/>
      <c r="V142" s="4"/>
    </row>
    <row r="143" spans="1:22" x14ac:dyDescent="0.25">
      <c r="C143" s="6"/>
      <c r="D143"/>
      <c r="E143" s="3"/>
      <c r="F143" s="3"/>
      <c r="G143" s="4"/>
      <c r="H143" s="4"/>
      <c r="I143" s="4"/>
      <c r="M143" s="4"/>
      <c r="N143" s="4"/>
      <c r="O143" s="4"/>
      <c r="P143" s="4"/>
      <c r="Q143" s="4"/>
      <c r="R143" s="4"/>
      <c r="S143" s="4"/>
      <c r="T143" s="4"/>
      <c r="U143" s="4"/>
      <c r="V143" s="4"/>
    </row>
    <row r="144" spans="1:22" s="29" customFormat="1" x14ac:dyDescent="0.25">
      <c r="A144" s="28" t="s">
        <v>106</v>
      </c>
      <c r="D144" s="30"/>
      <c r="E144" s="30"/>
      <c r="F144" s="30"/>
    </row>
    <row r="145" spans="1:22" x14ac:dyDescent="0.25">
      <c r="B145" s="4"/>
      <c r="C145" s="6" t="s">
        <v>26</v>
      </c>
      <c r="D145" s="81"/>
      <c r="E145" s="81"/>
      <c r="F145" s="81"/>
    </row>
    <row r="146" spans="1:22" ht="34.5" x14ac:dyDescent="0.25">
      <c r="C146" s="17" t="s">
        <v>14</v>
      </c>
      <c r="D146" s="20" t="s">
        <v>21</v>
      </c>
      <c r="E146" s="20" t="s">
        <v>94</v>
      </c>
      <c r="F146" s="17" t="s">
        <v>13</v>
      </c>
      <c r="G146" s="17" t="s">
        <v>15</v>
      </c>
      <c r="H146" s="18" t="s">
        <v>1</v>
      </c>
      <c r="I146" s="19" t="s">
        <v>25</v>
      </c>
      <c r="J146" s="17" t="s">
        <v>2</v>
      </c>
      <c r="K146" s="20" t="s">
        <v>94</v>
      </c>
      <c r="L146" s="20" t="s">
        <v>22</v>
      </c>
      <c r="M146" s="19" t="s">
        <v>8</v>
      </c>
      <c r="N146" s="19" t="s">
        <v>16</v>
      </c>
      <c r="O146" s="19" t="s">
        <v>17</v>
      </c>
      <c r="P146" s="19" t="s">
        <v>18</v>
      </c>
      <c r="Q146" s="20" t="s">
        <v>10</v>
      </c>
      <c r="R146" s="20" t="s">
        <v>23</v>
      </c>
      <c r="S146" s="19" t="s">
        <v>9</v>
      </c>
      <c r="T146" s="19" t="s">
        <v>19</v>
      </c>
      <c r="U146" s="19" t="s">
        <v>20</v>
      </c>
      <c r="V146" s="19" t="s">
        <v>24</v>
      </c>
    </row>
    <row r="147" spans="1:22" x14ac:dyDescent="0.25">
      <c r="A147" s="41" t="s">
        <v>189</v>
      </c>
      <c r="C147" s="68" t="s">
        <v>115</v>
      </c>
      <c r="D147" s="56">
        <v>59940</v>
      </c>
      <c r="E147" s="8">
        <v>226.7</v>
      </c>
      <c r="F147" s="8">
        <v>1</v>
      </c>
      <c r="G147" s="11">
        <f>D147/E147</f>
        <v>264.40229378032643</v>
      </c>
      <c r="H147" s="7"/>
      <c r="I147" s="7"/>
      <c r="J147" s="8" t="s">
        <v>65</v>
      </c>
      <c r="K147" s="8">
        <v>135.126</v>
      </c>
      <c r="L147" s="46">
        <f>13.32*K147</f>
        <v>1799.87832</v>
      </c>
      <c r="M147" s="42" t="s">
        <v>74</v>
      </c>
      <c r="N147" s="45">
        <v>660000</v>
      </c>
      <c r="O147" s="1">
        <v>0.78900000000000003</v>
      </c>
      <c r="P147" s="11">
        <f>N147*O147</f>
        <v>520740</v>
      </c>
      <c r="Q147" s="8"/>
      <c r="R147" s="8"/>
      <c r="S147" s="7"/>
      <c r="T147" s="7"/>
      <c r="U147" s="7"/>
      <c r="V147" s="11">
        <f>T147*U147</f>
        <v>0</v>
      </c>
    </row>
    <row r="148" spans="1:22" x14ac:dyDescent="0.25">
      <c r="C148" s="8" t="s">
        <v>75</v>
      </c>
      <c r="D148" s="8">
        <v>51280</v>
      </c>
      <c r="E148" s="8">
        <v>189.21</v>
      </c>
      <c r="F148" s="8">
        <f>G148/G147</f>
        <v>1.0250350415598906</v>
      </c>
      <c r="G148" s="11">
        <f>D148/E148</f>
        <v>271.02161619364728</v>
      </c>
      <c r="H148" s="1"/>
      <c r="I148" s="1"/>
      <c r="J148" s="25" t="s">
        <v>76</v>
      </c>
      <c r="K148" s="26">
        <v>101.15</v>
      </c>
      <c r="L148" s="46">
        <f>K148*566.5</f>
        <v>57301.475000000006</v>
      </c>
      <c r="M148" s="42"/>
      <c r="N148" s="2"/>
      <c r="O148" s="1"/>
      <c r="P148" s="11"/>
      <c r="Q148" s="8"/>
      <c r="R148" s="8"/>
      <c r="S148" s="7"/>
      <c r="T148" s="7"/>
      <c r="U148" s="7"/>
      <c r="V148" s="11">
        <f t="shared" ref="V148" si="8">T148*U148</f>
        <v>0</v>
      </c>
    </row>
    <row r="149" spans="1:22" x14ac:dyDescent="0.25">
      <c r="C149" s="8"/>
      <c r="D149" s="8"/>
      <c r="E149" s="8"/>
      <c r="F149" s="8"/>
      <c r="G149" s="11"/>
      <c r="H149" s="1"/>
      <c r="I149" s="1"/>
      <c r="J149" s="25" t="s">
        <v>77</v>
      </c>
      <c r="K149" s="26">
        <v>191.7</v>
      </c>
      <c r="L149" s="46">
        <f>K149*295.1</f>
        <v>56570.67</v>
      </c>
      <c r="M149" s="42"/>
      <c r="N149" s="2"/>
      <c r="O149" s="1"/>
      <c r="P149" s="11"/>
      <c r="Q149" s="8"/>
      <c r="R149" s="8"/>
      <c r="S149" s="7"/>
      <c r="T149" s="7"/>
      <c r="U149" s="7"/>
      <c r="V149" s="11"/>
    </row>
    <row r="150" spans="1:22" x14ac:dyDescent="0.25">
      <c r="C150" s="10" t="s">
        <v>4</v>
      </c>
      <c r="D150" s="11">
        <f>SUM(D147:D148)</f>
        <v>111220</v>
      </c>
      <c r="E150" s="23">
        <f>SUM(E147:E148)</f>
        <v>415.90999999999997</v>
      </c>
      <c r="F150" s="43"/>
      <c r="G150" s="165">
        <f>SUM(G147:G148)</f>
        <v>535.42390997397365</v>
      </c>
      <c r="I150" s="23">
        <f>SUM(I147:I148)</f>
        <v>0</v>
      </c>
      <c r="L150" s="47">
        <f>SUM(L147:L149)</f>
        <v>115672.02332000001</v>
      </c>
      <c r="N150" s="89">
        <f>SUM(N147:N148)</f>
        <v>660000</v>
      </c>
      <c r="P150" s="23">
        <f>SUM(P147:P148)</f>
        <v>520740</v>
      </c>
      <c r="R150" s="23">
        <f>SUM(R147:R148)</f>
        <v>0</v>
      </c>
      <c r="V150" s="23">
        <f>SUM(V147:V148)</f>
        <v>0</v>
      </c>
    </row>
    <row r="151" spans="1:22" x14ac:dyDescent="0.25">
      <c r="C151" s="4"/>
      <c r="D151" s="3"/>
      <c r="E151" s="3"/>
      <c r="F151" s="3"/>
      <c r="G151" s="4"/>
      <c r="H151" s="4"/>
      <c r="I151" s="4"/>
      <c r="M151" s="49"/>
      <c r="N151" s="4"/>
      <c r="O151" s="4"/>
      <c r="P151" s="4"/>
      <c r="Q151" s="4"/>
      <c r="R151" s="4"/>
      <c r="S151" s="4"/>
      <c r="T151" s="4"/>
      <c r="U151" s="4"/>
      <c r="V151" s="4"/>
    </row>
    <row r="152" spans="1:22" x14ac:dyDescent="0.25">
      <c r="C152" s="4"/>
      <c r="D152" s="3"/>
      <c r="E152" s="3"/>
      <c r="F152" s="3"/>
      <c r="G152" s="4"/>
      <c r="H152" s="4"/>
      <c r="K152" s="162" t="s">
        <v>133</v>
      </c>
      <c r="L152" s="96">
        <f>(T154/G147)*100</f>
        <v>50</v>
      </c>
      <c r="M152" s="49"/>
      <c r="O152" s="4"/>
      <c r="P152" s="4"/>
      <c r="Q152" s="4"/>
      <c r="R152" s="4"/>
      <c r="S152" s="4"/>
    </row>
    <row r="153" spans="1:22" x14ac:dyDescent="0.25">
      <c r="C153" s="4"/>
      <c r="D153" s="3"/>
      <c r="E153" s="3"/>
      <c r="F153" s="3"/>
      <c r="G153" s="4"/>
      <c r="H153" s="4"/>
      <c r="K153" s="159" t="s">
        <v>134</v>
      </c>
      <c r="L153" s="97">
        <f>(S154/(E150)*100)</f>
        <v>86.903416604553868</v>
      </c>
      <c r="M153" s="49"/>
      <c r="R153" s="5" t="s">
        <v>11</v>
      </c>
      <c r="S153" s="5" t="s">
        <v>12</v>
      </c>
      <c r="T153" s="5" t="s">
        <v>0</v>
      </c>
    </row>
    <row r="154" spans="1:22" x14ac:dyDescent="0.25">
      <c r="C154" s="4"/>
      <c r="D154" s="3"/>
      <c r="E154" s="3"/>
      <c r="F154" s="3"/>
      <c r="G154" s="4"/>
      <c r="H154" s="4"/>
      <c r="K154" s="162" t="s">
        <v>135</v>
      </c>
      <c r="L154" s="96">
        <f>(R154/D150)*100</f>
        <v>42.962401125679364</v>
      </c>
      <c r="P154" s="4"/>
      <c r="Q154" s="5" t="s">
        <v>3</v>
      </c>
      <c r="R154" s="9">
        <f>T154*S154</f>
        <v>47782.782531980592</v>
      </c>
      <c r="S154" s="9">
        <v>361.44</v>
      </c>
      <c r="T154" s="22">
        <f>G147*0.5</f>
        <v>132.20114689016322</v>
      </c>
    </row>
    <row r="155" spans="1:22" ht="17.25" x14ac:dyDescent="0.25">
      <c r="C155" s="4"/>
      <c r="D155" s="3"/>
      <c r="E155" s="3"/>
      <c r="F155" s="3"/>
      <c r="G155" s="4"/>
      <c r="H155" s="4"/>
      <c r="K155" s="159" t="s">
        <v>136</v>
      </c>
      <c r="L155" s="13">
        <f>(D150+I150+L150+P150+R150+V150)/R154</f>
        <v>15.646473137465708</v>
      </c>
      <c r="O155" s="4"/>
      <c r="P155" s="4"/>
      <c r="S155" s="81"/>
      <c r="T155" s="3"/>
    </row>
    <row r="156" spans="1:22" ht="17.25" x14ac:dyDescent="0.25">
      <c r="C156" s="4"/>
      <c r="D156" s="3"/>
      <c r="E156" s="3"/>
      <c r="F156" s="3"/>
      <c r="G156" s="4"/>
      <c r="H156" s="4"/>
      <c r="I156" s="4"/>
      <c r="K156" s="163" t="s">
        <v>137</v>
      </c>
      <c r="L156" s="15">
        <f>(D150+I150+L150)/R154</f>
        <v>4.7484054150287962</v>
      </c>
      <c r="N156" s="163" t="s">
        <v>139</v>
      </c>
      <c r="O156" s="93">
        <f>G147/N150*1000</f>
        <v>0.40060953603079763</v>
      </c>
      <c r="P156" s="4"/>
      <c r="S156" s="4"/>
    </row>
    <row r="157" spans="1:22" ht="17.25" x14ac:dyDescent="0.25">
      <c r="C157" s="4"/>
      <c r="D157" s="3"/>
      <c r="E157" s="3"/>
      <c r="F157" s="3"/>
      <c r="G157" s="4"/>
      <c r="H157" s="4"/>
      <c r="I157" s="4"/>
      <c r="K157" s="164" t="s">
        <v>138</v>
      </c>
      <c r="L157" s="16">
        <f>(P150+V150)/R154</f>
        <v>10.898067722436911</v>
      </c>
      <c r="M157" s="4"/>
      <c r="N157" s="4"/>
      <c r="O157" s="4"/>
      <c r="P157" s="4"/>
      <c r="U157" s="4"/>
      <c r="V157" s="4"/>
    </row>
    <row r="158" spans="1:22" x14ac:dyDescent="0.25">
      <c r="C158" s="6"/>
      <c r="D158"/>
      <c r="E158" s="3"/>
      <c r="F158" s="3"/>
      <c r="G158" s="4"/>
      <c r="H158" s="4"/>
      <c r="I158" s="4"/>
      <c r="M158" s="4"/>
      <c r="P158" s="4"/>
      <c r="Q158" s="4"/>
      <c r="R158" s="4"/>
      <c r="S158" s="4"/>
      <c r="T158" s="4"/>
      <c r="U158" s="4"/>
      <c r="V158" s="4"/>
    </row>
    <row r="159" spans="1:22" x14ac:dyDescent="0.25">
      <c r="B159" s="4"/>
      <c r="C159" s="6" t="s">
        <v>26</v>
      </c>
      <c r="D159" s="81"/>
      <c r="E159" s="81"/>
      <c r="F159" s="81"/>
    </row>
    <row r="160" spans="1:22" ht="34.5" x14ac:dyDescent="0.25">
      <c r="C160" s="17" t="s">
        <v>14</v>
      </c>
      <c r="D160" s="20" t="s">
        <v>21</v>
      </c>
      <c r="E160" s="20" t="s">
        <v>94</v>
      </c>
      <c r="F160" s="17" t="s">
        <v>13</v>
      </c>
      <c r="G160" s="17" t="s">
        <v>15</v>
      </c>
      <c r="H160" s="18" t="s">
        <v>1</v>
      </c>
      <c r="I160" s="19" t="s">
        <v>25</v>
      </c>
      <c r="J160" s="17" t="s">
        <v>2</v>
      </c>
      <c r="K160" s="20" t="s">
        <v>94</v>
      </c>
      <c r="L160" s="20" t="s">
        <v>22</v>
      </c>
      <c r="M160" s="19" t="s">
        <v>8</v>
      </c>
      <c r="N160" s="19" t="s">
        <v>16</v>
      </c>
      <c r="O160" s="19" t="s">
        <v>17</v>
      </c>
      <c r="P160" s="19" t="s">
        <v>18</v>
      </c>
      <c r="Q160" s="20" t="s">
        <v>10</v>
      </c>
      <c r="R160" s="20" t="s">
        <v>23</v>
      </c>
      <c r="S160" s="19" t="s">
        <v>9</v>
      </c>
      <c r="T160" s="19" t="s">
        <v>19</v>
      </c>
      <c r="U160" s="19" t="s">
        <v>20</v>
      </c>
      <c r="V160" s="19" t="s">
        <v>24</v>
      </c>
    </row>
    <row r="161" spans="1:22" x14ac:dyDescent="0.25">
      <c r="A161" s="41" t="s">
        <v>190</v>
      </c>
      <c r="C161" s="68" t="s">
        <v>119</v>
      </c>
      <c r="D161" s="8">
        <v>1595</v>
      </c>
      <c r="E161" s="8">
        <v>218.23</v>
      </c>
      <c r="F161" s="8">
        <v>1</v>
      </c>
      <c r="G161" s="11">
        <f>D161/E161</f>
        <v>7.308802639417129</v>
      </c>
      <c r="H161" s="7"/>
      <c r="I161" s="7"/>
      <c r="J161" s="8" t="s">
        <v>49</v>
      </c>
      <c r="K161" s="8">
        <v>101.19</v>
      </c>
      <c r="L161" s="46">
        <v>1569.5</v>
      </c>
      <c r="M161" s="42" t="s">
        <v>38</v>
      </c>
      <c r="N161" s="44">
        <v>18250</v>
      </c>
      <c r="O161" s="42">
        <v>0.94499999999999995</v>
      </c>
      <c r="P161" s="11">
        <f>N161*O161</f>
        <v>17246.25</v>
      </c>
      <c r="Q161" s="8"/>
      <c r="R161" s="8"/>
      <c r="S161" s="7"/>
      <c r="T161" s="7"/>
      <c r="U161" s="7"/>
      <c r="V161" s="11">
        <f>T161*U161</f>
        <v>0</v>
      </c>
    </row>
    <row r="162" spans="1:22" x14ac:dyDescent="0.25">
      <c r="C162" s="72" t="s">
        <v>120</v>
      </c>
      <c r="D162" s="8">
        <v>2240</v>
      </c>
      <c r="E162" s="8">
        <v>291.26</v>
      </c>
      <c r="F162" s="8">
        <f>G162/G161</f>
        <v>1.0522548555115736</v>
      </c>
      <c r="G162" s="11">
        <f>D162/E162</f>
        <v>7.6907230653024792</v>
      </c>
      <c r="H162" s="1"/>
      <c r="I162" s="1"/>
      <c r="J162" s="8" t="s">
        <v>65</v>
      </c>
      <c r="K162" s="8">
        <v>135.12</v>
      </c>
      <c r="L162" s="46">
        <v>225</v>
      </c>
      <c r="M162" s="42"/>
      <c r="N162" s="45"/>
      <c r="O162" s="1"/>
      <c r="P162" s="11"/>
      <c r="Q162" s="8"/>
      <c r="R162" s="8"/>
      <c r="S162" s="7"/>
      <c r="T162" s="7"/>
      <c r="U162" s="7"/>
      <c r="V162" s="11">
        <f t="shared" ref="V162:V163" si="9">T162*U162</f>
        <v>0</v>
      </c>
    </row>
    <row r="163" spans="1:22" x14ac:dyDescent="0.25">
      <c r="C163" s="8"/>
      <c r="D163" s="8"/>
      <c r="E163" s="8"/>
      <c r="F163" s="8"/>
      <c r="G163" s="11"/>
      <c r="H163" s="1"/>
      <c r="I163" s="1"/>
      <c r="J163" s="25" t="s">
        <v>78</v>
      </c>
      <c r="K163" s="26"/>
      <c r="L163" s="46">
        <v>1470</v>
      </c>
      <c r="M163" s="42"/>
      <c r="N163" s="45"/>
      <c r="O163" s="1"/>
      <c r="P163" s="11"/>
      <c r="Q163" s="8"/>
      <c r="R163" s="8"/>
      <c r="S163" s="7"/>
      <c r="T163" s="7"/>
      <c r="U163" s="7"/>
      <c r="V163" s="11">
        <f t="shared" si="9"/>
        <v>0</v>
      </c>
    </row>
    <row r="164" spans="1:22" x14ac:dyDescent="0.25">
      <c r="C164" s="10" t="s">
        <v>4</v>
      </c>
      <c r="D164" s="11">
        <f>SUM(D161:D162)</f>
        <v>3835</v>
      </c>
      <c r="E164" s="11">
        <f>SUM(E161:E162)</f>
        <v>509.49</v>
      </c>
      <c r="F164" s="10"/>
      <c r="G164" s="165">
        <f>SUM(G161:G162)</f>
        <v>14.999525704719609</v>
      </c>
      <c r="I164" s="23">
        <f>SUM(I161:I162)</f>
        <v>0</v>
      </c>
      <c r="L164" s="47">
        <f>SUM(L161:L163)</f>
        <v>3264.5</v>
      </c>
      <c r="N164" s="89">
        <f>SUM(N161:N163)</f>
        <v>18250</v>
      </c>
      <c r="P164" s="23">
        <f>SUM(P161:P163)</f>
        <v>17246.25</v>
      </c>
      <c r="R164" s="23">
        <f>SUM(R161:R163)</f>
        <v>0</v>
      </c>
      <c r="V164" s="23">
        <f>SUM(V161:V163)</f>
        <v>0</v>
      </c>
    </row>
    <row r="165" spans="1:22" x14ac:dyDescent="0.25">
      <c r="C165" s="4"/>
      <c r="D165" s="3"/>
      <c r="E165" s="3"/>
      <c r="F165" s="3"/>
      <c r="G165" s="4"/>
      <c r="H165" s="4"/>
      <c r="I165" s="4"/>
      <c r="M165" s="4"/>
      <c r="N165" s="4"/>
      <c r="O165" s="4"/>
      <c r="P165" s="4"/>
      <c r="Q165" s="4"/>
      <c r="R165" s="4"/>
      <c r="S165" s="4"/>
      <c r="T165" s="4"/>
      <c r="U165" s="4"/>
      <c r="V165" s="4"/>
    </row>
    <row r="166" spans="1:22" x14ac:dyDescent="0.25">
      <c r="C166" s="4"/>
      <c r="D166" s="3"/>
      <c r="E166" s="3"/>
      <c r="F166" s="3"/>
      <c r="G166" s="4"/>
      <c r="H166" s="4"/>
      <c r="K166" s="162" t="s">
        <v>133</v>
      </c>
      <c r="L166" s="96">
        <f>(T168/G161)*100</f>
        <v>50</v>
      </c>
      <c r="N166" s="49"/>
      <c r="O166" s="4"/>
      <c r="P166" s="4"/>
      <c r="Q166" s="4"/>
      <c r="R166" s="4"/>
      <c r="S166" s="4"/>
    </row>
    <row r="167" spans="1:22" x14ac:dyDescent="0.25">
      <c r="C167" s="4"/>
      <c r="D167" s="3"/>
      <c r="E167" s="3"/>
      <c r="F167" s="3"/>
      <c r="G167" s="4"/>
      <c r="H167" s="4"/>
      <c r="K167" s="159" t="s">
        <v>134</v>
      </c>
      <c r="L167" s="97">
        <f>(S168/(E164)*100)</f>
        <v>82.152740976270394</v>
      </c>
      <c r="R167" s="5" t="s">
        <v>11</v>
      </c>
      <c r="S167" s="5" t="s">
        <v>12</v>
      </c>
      <c r="T167" s="5" t="s">
        <v>0</v>
      </c>
    </row>
    <row r="168" spans="1:22" x14ac:dyDescent="0.25">
      <c r="C168" s="4"/>
      <c r="D168" s="3"/>
      <c r="E168" s="3"/>
      <c r="F168" s="3"/>
      <c r="G168" s="4"/>
      <c r="H168" s="4"/>
      <c r="K168" s="162" t="s">
        <v>135</v>
      </c>
      <c r="L168" s="96">
        <f>(R168/D164)*100</f>
        <v>39.884907858597565</v>
      </c>
      <c r="P168" s="4"/>
      <c r="Q168" s="5" t="s">
        <v>3</v>
      </c>
      <c r="R168" s="9">
        <f>T168*S168</f>
        <v>1529.5862163772167</v>
      </c>
      <c r="S168" s="9">
        <v>418.56</v>
      </c>
      <c r="T168" s="48">
        <f>G161*0.5</f>
        <v>3.6544013197085645</v>
      </c>
    </row>
    <row r="169" spans="1:22" ht="17.25" x14ac:dyDescent="0.25">
      <c r="C169" s="4"/>
      <c r="D169" s="3"/>
      <c r="E169" s="3"/>
      <c r="F169" s="3"/>
      <c r="G169" s="4"/>
      <c r="H169" s="4"/>
      <c r="K169" s="159" t="s">
        <v>136</v>
      </c>
      <c r="L169" s="13">
        <f>(D164+I164+L164+P164+R164+V164)/R168</f>
        <v>15.916559484735842</v>
      </c>
      <c r="O169" s="4"/>
      <c r="P169" s="4"/>
      <c r="S169" s="81"/>
      <c r="T169" s="3"/>
    </row>
    <row r="170" spans="1:22" ht="17.25" x14ac:dyDescent="0.25">
      <c r="C170" s="4"/>
      <c r="D170" s="3"/>
      <c r="E170" s="3"/>
      <c r="F170" s="3"/>
      <c r="G170" s="4"/>
      <c r="H170" s="4"/>
      <c r="I170" s="4"/>
      <c r="K170" s="163" t="s">
        <v>137</v>
      </c>
      <c r="L170" s="15">
        <f>(D164+I164+L164)/R168</f>
        <v>4.6414513441517355</v>
      </c>
      <c r="O170" s="4"/>
      <c r="P170" s="4"/>
      <c r="S170" s="4"/>
    </row>
    <row r="171" spans="1:22" ht="17.25" x14ac:dyDescent="0.25">
      <c r="C171" s="4"/>
      <c r="D171" s="3"/>
      <c r="E171" s="3"/>
      <c r="F171" s="3"/>
      <c r="G171" s="4"/>
      <c r="H171" s="4"/>
      <c r="I171" s="4"/>
      <c r="K171" s="164" t="s">
        <v>138</v>
      </c>
      <c r="L171" s="16">
        <f>(P164+V164)/R168</f>
        <v>11.275108140584107</v>
      </c>
      <c r="M171" s="4"/>
      <c r="N171" s="163" t="s">
        <v>139</v>
      </c>
      <c r="O171" s="93">
        <f>(G161/N164)*1000</f>
        <v>0.40048233640641806</v>
      </c>
      <c r="P171" s="4"/>
      <c r="U171" s="4"/>
      <c r="V171" s="4"/>
    </row>
    <row r="172" spans="1:22" x14ac:dyDescent="0.25">
      <c r="C172" s="6"/>
      <c r="D172"/>
      <c r="E172" s="3"/>
      <c r="F172" s="3"/>
      <c r="G172" s="4"/>
      <c r="H172" s="4"/>
      <c r="I172" s="4"/>
      <c r="M172" s="4"/>
      <c r="N172" s="4"/>
      <c r="O172" s="4"/>
      <c r="P172" s="4"/>
      <c r="Q172" s="4"/>
      <c r="R172" s="4"/>
      <c r="S172" s="4"/>
      <c r="T172" s="4"/>
      <c r="U172" s="4"/>
      <c r="V172" s="4"/>
    </row>
    <row r="173" spans="1:22" s="168" customFormat="1" x14ac:dyDescent="0.25">
      <c r="A173" s="167" t="s">
        <v>140</v>
      </c>
      <c r="C173" s="169"/>
      <c r="D173" s="169"/>
      <c r="E173" s="169"/>
    </row>
    <row r="174" spans="1:22" x14ac:dyDescent="0.25">
      <c r="D174" s="78"/>
      <c r="E174" s="78"/>
      <c r="F174" s="78"/>
      <c r="G174" s="35"/>
      <c r="H174" s="35"/>
      <c r="I174" s="35"/>
      <c r="J174" s="35"/>
      <c r="K174" s="35"/>
    </row>
    <row r="175" spans="1:22" x14ac:dyDescent="0.25">
      <c r="D175" s="131" t="s">
        <v>121</v>
      </c>
      <c r="E175" s="105"/>
      <c r="F175" s="105"/>
    </row>
    <row r="176" spans="1:22" ht="15.95" customHeight="1" x14ac:dyDescent="0.25">
      <c r="D176" s="112" t="s">
        <v>29</v>
      </c>
      <c r="E176" s="112" t="s">
        <v>30</v>
      </c>
      <c r="F176" s="111" t="s">
        <v>6</v>
      </c>
      <c r="G176" s="112" t="s">
        <v>7</v>
      </c>
      <c r="H176" s="112" t="s">
        <v>32</v>
      </c>
      <c r="I176" s="112" t="s">
        <v>34</v>
      </c>
      <c r="J176" s="112" t="s">
        <v>35</v>
      </c>
      <c r="K176" s="112" t="s">
        <v>5</v>
      </c>
      <c r="L176" s="54"/>
      <c r="M176" s="54"/>
      <c r="N176" s="54"/>
      <c r="O176" s="54"/>
      <c r="P176" s="54"/>
      <c r="Q176" s="54"/>
      <c r="R176" s="54"/>
      <c r="S176" s="54"/>
      <c r="T176" s="54"/>
      <c r="U176" s="54"/>
    </row>
    <row r="177" spans="4:22" x14ac:dyDescent="0.25">
      <c r="D177" s="114"/>
      <c r="E177" s="114"/>
      <c r="F177" s="113" t="s">
        <v>31</v>
      </c>
      <c r="G177" s="114" t="s">
        <v>31</v>
      </c>
      <c r="H177" s="114" t="s">
        <v>33</v>
      </c>
      <c r="I177" s="114" t="s">
        <v>33</v>
      </c>
      <c r="J177" s="114" t="s">
        <v>33</v>
      </c>
      <c r="K177" s="114" t="s">
        <v>31</v>
      </c>
      <c r="L177" s="54"/>
      <c r="M177" s="54"/>
      <c r="N177" s="54"/>
      <c r="O177" s="54"/>
      <c r="P177" s="54"/>
      <c r="Q177" s="54"/>
      <c r="R177" s="54"/>
      <c r="S177" s="54"/>
      <c r="T177" s="54"/>
      <c r="U177" s="54"/>
    </row>
    <row r="178" spans="4:22" ht="18" customHeight="1" x14ac:dyDescent="0.25">
      <c r="D178" s="127" t="str">
        <f>A1</f>
        <v xml:space="preserve">Literature data reported </v>
      </c>
      <c r="E178" s="127"/>
      <c r="F178" s="127"/>
      <c r="G178" s="127"/>
      <c r="H178" s="127"/>
      <c r="I178" s="127"/>
      <c r="J178" s="127"/>
      <c r="K178" s="128"/>
      <c r="L178" s="54"/>
      <c r="M178" s="54"/>
      <c r="N178" s="41" t="s">
        <v>189</v>
      </c>
      <c r="O178" s="194" t="s">
        <v>72</v>
      </c>
      <c r="P178" s="194"/>
      <c r="Q178" s="62"/>
      <c r="R178" s="54"/>
      <c r="S178" s="54"/>
      <c r="T178" s="54"/>
      <c r="U178" s="54"/>
    </row>
    <row r="179" spans="4:22" ht="15" customHeight="1" x14ac:dyDescent="0.25">
      <c r="D179" s="90"/>
      <c r="E179" s="106" t="s">
        <v>191</v>
      </c>
      <c r="F179" s="91">
        <f>L21</f>
        <v>86.901327178303518</v>
      </c>
      <c r="G179" s="91">
        <f>L22</f>
        <v>79.261823413055211</v>
      </c>
      <c r="H179" s="92">
        <f>L23</f>
        <v>5.7779368534966826</v>
      </c>
      <c r="I179" s="92">
        <f>L24</f>
        <v>2.5737850753785945</v>
      </c>
      <c r="J179" s="92">
        <f>L25</f>
        <v>3.2041517781180873</v>
      </c>
      <c r="K179" s="60">
        <f>L20</f>
        <v>92.249638832059148</v>
      </c>
      <c r="L179" s="54"/>
      <c r="M179" s="54"/>
      <c r="N179" s="192"/>
      <c r="O179" s="192"/>
      <c r="P179" s="192"/>
      <c r="Q179" s="192"/>
      <c r="R179" s="192"/>
      <c r="S179" s="192"/>
      <c r="T179" s="192"/>
      <c r="U179" s="192"/>
      <c r="V179" s="192"/>
    </row>
    <row r="180" spans="4:22" ht="15.95" customHeight="1" x14ac:dyDescent="0.25">
      <c r="D180" s="115"/>
      <c r="E180" s="114" t="s">
        <v>192</v>
      </c>
      <c r="F180" s="116">
        <f>L47</f>
        <v>82.152740976270394</v>
      </c>
      <c r="G180" s="116">
        <f>L48</f>
        <v>60.756192959582791</v>
      </c>
      <c r="H180" s="117">
        <f>L49</f>
        <v>8.3195278969957087</v>
      </c>
      <c r="I180" s="117">
        <f>L50</f>
        <v>3.0469957081545065</v>
      </c>
      <c r="J180" s="117">
        <f>L51</f>
        <v>5.2725321888412013</v>
      </c>
      <c r="K180" s="118">
        <f>L46</f>
        <v>76.164389265959173</v>
      </c>
      <c r="L180" s="54"/>
      <c r="N180" s="192"/>
      <c r="O180" s="192"/>
      <c r="P180" s="192"/>
      <c r="Q180" s="192"/>
      <c r="R180" s="192"/>
      <c r="S180" s="192"/>
      <c r="T180" s="192"/>
      <c r="U180" s="192"/>
      <c r="V180" s="192"/>
    </row>
    <row r="181" spans="4:22" ht="15" customHeight="1" x14ac:dyDescent="0.25">
      <c r="D181" s="123" t="str">
        <f>A54</f>
        <v>Simulation A: [Acid] = 0.4 M, Literature data yield</v>
      </c>
      <c r="E181" s="123"/>
      <c r="F181" s="123"/>
      <c r="G181" s="123"/>
      <c r="H181" s="123"/>
      <c r="I181" s="123"/>
      <c r="J181" s="123"/>
      <c r="K181" s="129"/>
      <c r="L181" s="54"/>
      <c r="M181" s="52"/>
      <c r="N181" s="192"/>
      <c r="O181" s="192"/>
      <c r="P181" s="192"/>
      <c r="Q181" s="192"/>
      <c r="R181" s="192"/>
      <c r="S181" s="192"/>
      <c r="T181" s="192"/>
      <c r="U181" s="192"/>
      <c r="V181" s="192"/>
    </row>
    <row r="182" spans="4:22" x14ac:dyDescent="0.25">
      <c r="D182" s="102"/>
      <c r="E182" s="102" t="s">
        <v>189</v>
      </c>
      <c r="F182" s="99">
        <f>L63</f>
        <v>86.903416604553868</v>
      </c>
      <c r="G182" s="100">
        <f>L64</f>
        <v>79.261823413055211</v>
      </c>
      <c r="H182" s="101">
        <f>L65</f>
        <v>8.4808805322443419</v>
      </c>
      <c r="I182" s="101">
        <f>L66</f>
        <v>2.5737850753785945</v>
      </c>
      <c r="J182" s="101">
        <f>L67</f>
        <v>5.9070954568657479</v>
      </c>
      <c r="K182" s="60">
        <f>L62</f>
        <v>92.245569772960195</v>
      </c>
      <c r="L182" s="54"/>
      <c r="M182" s="52"/>
      <c r="N182" s="192"/>
      <c r="O182" s="192"/>
      <c r="P182" s="192"/>
      <c r="Q182" s="192"/>
      <c r="R182" s="192"/>
      <c r="S182" s="192"/>
      <c r="T182" s="192"/>
      <c r="U182" s="192"/>
      <c r="V182" s="192"/>
    </row>
    <row r="183" spans="4:22" x14ac:dyDescent="0.25">
      <c r="D183" s="102"/>
      <c r="E183" s="102" t="s">
        <v>190</v>
      </c>
      <c r="F183" s="99">
        <f>L77</f>
        <v>82.152740976270394</v>
      </c>
      <c r="G183" s="100">
        <f>L78</f>
        <v>60.756192959582791</v>
      </c>
      <c r="H183" s="101">
        <f>L79</f>
        <v>10.44881974248927</v>
      </c>
      <c r="I183" s="101">
        <f>L80</f>
        <v>3.0469957081545065</v>
      </c>
      <c r="J183" s="101">
        <f>L81</f>
        <v>7.4018240343347639</v>
      </c>
      <c r="K183" s="60">
        <f>L76</f>
        <v>76.164389265959173</v>
      </c>
      <c r="L183" s="54"/>
      <c r="N183" s="192"/>
      <c r="O183" s="192"/>
      <c r="P183" s="192"/>
      <c r="Q183" s="192"/>
      <c r="R183" s="192"/>
      <c r="S183" s="192"/>
      <c r="T183" s="192"/>
      <c r="U183" s="192"/>
      <c r="V183" s="192"/>
    </row>
    <row r="184" spans="4:22" ht="15" customHeight="1" x14ac:dyDescent="0.25">
      <c r="D184" s="123" t="str">
        <f>A84</f>
        <v>Simulation B: [Acid] = Literature data, 90% Yield</v>
      </c>
      <c r="E184" s="123"/>
      <c r="F184" s="123"/>
      <c r="G184" s="123"/>
      <c r="H184" s="123"/>
      <c r="I184" s="123"/>
      <c r="J184" s="123"/>
      <c r="K184" s="119"/>
      <c r="L184" s="54"/>
      <c r="N184" s="192"/>
      <c r="O184" s="192"/>
      <c r="P184" s="192"/>
      <c r="Q184" s="192"/>
      <c r="R184" s="192"/>
      <c r="S184" s="192"/>
      <c r="T184" s="192"/>
      <c r="U184" s="192"/>
      <c r="V184" s="192"/>
    </row>
    <row r="185" spans="4:22" x14ac:dyDescent="0.25">
      <c r="D185" s="102"/>
      <c r="E185" s="102" t="s">
        <v>189</v>
      </c>
      <c r="F185" s="99">
        <f>L93</f>
        <v>86.903416604553868</v>
      </c>
      <c r="G185" s="100">
        <f>L94</f>
        <v>77.332322026222869</v>
      </c>
      <c r="H185" s="101">
        <f>L95</f>
        <v>5.922100857366515</v>
      </c>
      <c r="I185" s="101">
        <f>L96</f>
        <v>2.6380030083493309</v>
      </c>
      <c r="J185" s="101">
        <f>L97</f>
        <v>3.2840978490171837</v>
      </c>
      <c r="K185" s="60">
        <f>L92</f>
        <v>90</v>
      </c>
      <c r="L185" s="54"/>
      <c r="N185" s="192"/>
      <c r="O185" s="192"/>
      <c r="P185" s="192"/>
      <c r="Q185" s="192"/>
      <c r="R185" s="192"/>
      <c r="S185" s="192"/>
      <c r="T185" s="192"/>
      <c r="U185" s="192"/>
      <c r="V185" s="192"/>
    </row>
    <row r="186" spans="4:22" x14ac:dyDescent="0.25">
      <c r="D186" s="102"/>
      <c r="E186" s="102" t="s">
        <v>190</v>
      </c>
      <c r="F186" s="99">
        <f>L107</f>
        <v>82.152740976270394</v>
      </c>
      <c r="G186" s="100">
        <f>L108</f>
        <v>71.792834145475624</v>
      </c>
      <c r="H186" s="101">
        <f>L109</f>
        <v>7.0405751250643087</v>
      </c>
      <c r="I186" s="101">
        <f>L110</f>
        <v>2.5785840800842972</v>
      </c>
      <c r="J186" s="101">
        <f>L111</f>
        <v>4.461991044980012</v>
      </c>
      <c r="K186" s="60">
        <f>L106</f>
        <v>90</v>
      </c>
      <c r="L186" s="54"/>
      <c r="M186" s="54"/>
      <c r="N186" s="192"/>
      <c r="O186" s="192"/>
      <c r="P186" s="192"/>
      <c r="Q186" s="192"/>
      <c r="R186" s="192"/>
      <c r="S186" s="192"/>
      <c r="T186" s="192"/>
      <c r="U186" s="192"/>
      <c r="V186" s="192"/>
    </row>
    <row r="187" spans="4:22" ht="15" customHeight="1" x14ac:dyDescent="0.25">
      <c r="D187" s="123" t="str">
        <f>A114</f>
        <v>Simulation C: [Acid] = 0.4 M, 90% Yield</v>
      </c>
      <c r="E187" s="123"/>
      <c r="F187" s="123"/>
      <c r="G187" s="123"/>
      <c r="H187" s="123"/>
      <c r="I187" s="123"/>
      <c r="J187" s="123"/>
      <c r="K187" s="119"/>
      <c r="N187" s="192"/>
      <c r="O187" s="192"/>
      <c r="P187" s="192"/>
      <c r="Q187" s="192"/>
      <c r="R187" s="192"/>
      <c r="S187" s="192"/>
      <c r="T187" s="192"/>
      <c r="U187" s="192"/>
      <c r="V187" s="192"/>
    </row>
    <row r="188" spans="4:22" x14ac:dyDescent="0.25">
      <c r="D188" s="102"/>
      <c r="E188" s="102" t="s">
        <v>189</v>
      </c>
      <c r="F188" s="99">
        <f>L123</f>
        <v>86.903416604553868</v>
      </c>
      <c r="G188" s="100">
        <f>L124</f>
        <v>77.332322026222869</v>
      </c>
      <c r="H188" s="101">
        <f>L125</f>
        <v>8.692485076369838</v>
      </c>
      <c r="I188" s="101">
        <f>L126</f>
        <v>2.6380030083493309</v>
      </c>
      <c r="J188" s="101">
        <f>L127</f>
        <v>6.0544820680205058</v>
      </c>
      <c r="K188" s="60">
        <f>L122</f>
        <v>90</v>
      </c>
      <c r="N188" s="192"/>
      <c r="O188" s="192"/>
      <c r="P188" s="192"/>
      <c r="Q188" s="192"/>
      <c r="R188" s="192"/>
      <c r="S188" s="192"/>
      <c r="T188" s="192"/>
      <c r="U188" s="192"/>
      <c r="V188" s="192"/>
    </row>
    <row r="189" spans="4:22" x14ac:dyDescent="0.25">
      <c r="D189" s="102"/>
      <c r="E189" s="102" t="s">
        <v>190</v>
      </c>
      <c r="F189" s="99">
        <f>L137</f>
        <v>82.152740976270394</v>
      </c>
      <c r="G189" s="100">
        <f>L138</f>
        <v>71.792834145475624</v>
      </c>
      <c r="H189" s="101">
        <f>L139</f>
        <v>8.8425330470754666</v>
      </c>
      <c r="I189" s="101">
        <f>L140</f>
        <v>2.5785840800842972</v>
      </c>
      <c r="J189" s="101">
        <f>L141</f>
        <v>6.2639489669911699</v>
      </c>
      <c r="K189" s="60">
        <f>L136</f>
        <v>90</v>
      </c>
      <c r="N189" s="192"/>
      <c r="O189" s="192"/>
      <c r="P189" s="192"/>
      <c r="Q189" s="192"/>
      <c r="R189" s="192"/>
      <c r="S189" s="192"/>
      <c r="T189" s="192"/>
      <c r="U189" s="192"/>
      <c r="V189" s="192"/>
    </row>
    <row r="190" spans="4:22" ht="15" customHeight="1" x14ac:dyDescent="0.25">
      <c r="D190" s="123" t="str">
        <f>A144</f>
        <v>Simulation D: [Acid] = 0.4 M, 50% Yield</v>
      </c>
      <c r="E190" s="123"/>
      <c r="F190" s="123"/>
      <c r="G190" s="123"/>
      <c r="H190" s="123"/>
      <c r="I190" s="123"/>
      <c r="J190" s="123"/>
      <c r="K190" s="119"/>
    </row>
    <row r="191" spans="4:22" x14ac:dyDescent="0.25">
      <c r="D191" s="106"/>
      <c r="E191" s="102" t="s">
        <v>189</v>
      </c>
      <c r="F191" s="79">
        <f>L153</f>
        <v>86.903416604553868</v>
      </c>
      <c r="G191" s="60">
        <f>L154</f>
        <v>42.962401125679364</v>
      </c>
      <c r="H191" s="37">
        <f>L155</f>
        <v>15.646473137465708</v>
      </c>
      <c r="I191" s="37">
        <f>L156</f>
        <v>4.7484054150287962</v>
      </c>
      <c r="J191" s="37">
        <f>L157</f>
        <v>10.898067722436911</v>
      </c>
      <c r="K191" s="60">
        <f>L152</f>
        <v>50</v>
      </c>
      <c r="N191" s="41" t="s">
        <v>190</v>
      </c>
      <c r="O191" s="194" t="s">
        <v>73</v>
      </c>
      <c r="P191" s="194"/>
      <c r="Q191" s="107"/>
    </row>
    <row r="192" spans="4:22" x14ac:dyDescent="0.25">
      <c r="D192" s="106"/>
      <c r="E192" s="102" t="s">
        <v>190</v>
      </c>
      <c r="F192" s="79">
        <f>L167</f>
        <v>82.152740976270394</v>
      </c>
      <c r="G192" s="60">
        <f>L168</f>
        <v>39.884907858597565</v>
      </c>
      <c r="H192" s="37">
        <f>L169</f>
        <v>15.916559484735842</v>
      </c>
      <c r="I192" s="37">
        <f>L170</f>
        <v>4.6414513441517355</v>
      </c>
      <c r="J192" s="37">
        <f>L171</f>
        <v>11.275108140584107</v>
      </c>
      <c r="K192" s="60">
        <f>L166</f>
        <v>50</v>
      </c>
      <c r="N192" s="192"/>
      <c r="O192" s="192"/>
      <c r="P192" s="192"/>
      <c r="Q192" s="192"/>
      <c r="R192" s="192"/>
      <c r="S192" s="192"/>
      <c r="T192" s="192"/>
      <c r="U192" s="192"/>
      <c r="V192" s="192"/>
    </row>
    <row r="193" spans="4:22" x14ac:dyDescent="0.25">
      <c r="D193" s="36"/>
      <c r="E193" s="36"/>
      <c r="F193" s="36"/>
      <c r="G193" s="36"/>
      <c r="H193" s="36"/>
      <c r="I193" s="36"/>
      <c r="J193" s="36"/>
      <c r="K193" s="36"/>
      <c r="N193" s="192"/>
      <c r="O193" s="192"/>
      <c r="P193" s="192"/>
      <c r="Q193" s="192"/>
      <c r="R193" s="192"/>
      <c r="S193" s="192"/>
      <c r="T193" s="192"/>
      <c r="U193" s="192"/>
      <c r="V193" s="192"/>
    </row>
    <row r="194" spans="4:22" x14ac:dyDescent="0.25">
      <c r="D194" s="36"/>
      <c r="E194" s="36"/>
      <c r="F194" s="36"/>
      <c r="G194" s="36"/>
      <c r="H194" s="36"/>
      <c r="I194" s="36"/>
      <c r="J194" s="36"/>
      <c r="K194" s="36"/>
      <c r="M194" s="52"/>
      <c r="N194" s="192"/>
      <c r="O194" s="192"/>
      <c r="P194" s="192"/>
      <c r="Q194" s="192"/>
      <c r="R194" s="192"/>
      <c r="S194" s="192"/>
      <c r="T194" s="192"/>
      <c r="U194" s="192"/>
      <c r="V194" s="192"/>
    </row>
    <row r="195" spans="4:22" x14ac:dyDescent="0.25">
      <c r="D195" s="36"/>
      <c r="E195" s="36"/>
      <c r="F195" s="36"/>
      <c r="G195" s="36"/>
      <c r="H195" s="36"/>
      <c r="I195" s="36"/>
      <c r="J195" s="36"/>
      <c r="K195" s="36"/>
      <c r="M195" s="52"/>
      <c r="N195" s="192"/>
      <c r="O195" s="192"/>
      <c r="P195" s="192"/>
      <c r="Q195" s="192"/>
      <c r="R195" s="192"/>
      <c r="S195" s="192"/>
      <c r="T195" s="192"/>
      <c r="U195" s="192"/>
      <c r="V195" s="192"/>
    </row>
    <row r="196" spans="4:22" ht="15" customHeight="1" x14ac:dyDescent="0.25">
      <c r="D196" s="36"/>
      <c r="E196" s="36"/>
      <c r="F196" s="36"/>
      <c r="G196" s="36"/>
      <c r="H196" s="36"/>
      <c r="I196" s="36"/>
      <c r="J196" s="36"/>
      <c r="K196" s="36"/>
      <c r="N196" s="192"/>
      <c r="O196" s="192"/>
      <c r="P196" s="192"/>
      <c r="Q196" s="192"/>
      <c r="R196" s="192"/>
      <c r="S196" s="192"/>
      <c r="T196" s="192"/>
      <c r="U196" s="192"/>
      <c r="V196" s="192"/>
    </row>
    <row r="197" spans="4:22" x14ac:dyDescent="0.25">
      <c r="D197" s="36"/>
      <c r="E197" s="36"/>
      <c r="F197" s="36"/>
      <c r="G197" s="36"/>
      <c r="H197" s="36"/>
      <c r="I197" s="36"/>
      <c r="J197" s="36"/>
      <c r="K197" s="36"/>
      <c r="N197" s="192"/>
      <c r="O197" s="192"/>
      <c r="P197" s="192"/>
      <c r="Q197" s="192"/>
      <c r="R197" s="192"/>
      <c r="S197" s="192"/>
      <c r="T197" s="192"/>
      <c r="U197" s="192"/>
      <c r="V197" s="192"/>
    </row>
    <row r="198" spans="4:22" x14ac:dyDescent="0.25">
      <c r="D198" s="36"/>
      <c r="E198" s="36"/>
      <c r="F198" s="36"/>
      <c r="G198" s="36"/>
      <c r="H198" s="36"/>
      <c r="I198" s="36"/>
      <c r="J198" s="36"/>
      <c r="K198" s="36"/>
      <c r="N198" s="192"/>
      <c r="O198" s="192"/>
      <c r="P198" s="192"/>
      <c r="Q198" s="192"/>
      <c r="R198" s="192"/>
      <c r="S198" s="192"/>
      <c r="T198" s="192"/>
      <c r="U198" s="192"/>
      <c r="V198" s="192"/>
    </row>
    <row r="199" spans="4:22" x14ac:dyDescent="0.25">
      <c r="D199" s="36"/>
      <c r="E199" s="36"/>
      <c r="F199" s="36"/>
      <c r="G199" s="36"/>
      <c r="H199" s="36"/>
      <c r="I199" s="36"/>
      <c r="J199" s="36"/>
      <c r="K199" s="36"/>
      <c r="N199" s="192"/>
      <c r="O199" s="192"/>
      <c r="P199" s="192"/>
      <c r="Q199" s="192"/>
      <c r="R199" s="192"/>
      <c r="S199" s="192"/>
      <c r="T199" s="192"/>
      <c r="U199" s="192"/>
      <c r="V199" s="192"/>
    </row>
    <row r="200" spans="4:22" x14ac:dyDescent="0.25">
      <c r="D200" s="31"/>
      <c r="E200" s="31"/>
      <c r="F200" s="33"/>
      <c r="G200" s="34"/>
      <c r="H200" s="32"/>
      <c r="I200" s="32"/>
      <c r="J200" s="32"/>
      <c r="K200" s="37"/>
      <c r="N200" s="192"/>
      <c r="O200" s="192"/>
      <c r="P200" s="192"/>
      <c r="Q200" s="192"/>
      <c r="R200" s="192"/>
      <c r="S200" s="192"/>
      <c r="T200" s="192"/>
      <c r="U200" s="192"/>
      <c r="V200" s="192"/>
    </row>
    <row r="201" spans="4:22" x14ac:dyDescent="0.25">
      <c r="D201" s="31"/>
      <c r="E201" s="31"/>
      <c r="F201" s="33"/>
      <c r="G201" s="34"/>
      <c r="H201" s="32"/>
      <c r="I201" s="32"/>
      <c r="J201" s="32"/>
      <c r="K201" s="37"/>
      <c r="N201" s="192"/>
      <c r="O201" s="192"/>
      <c r="P201" s="192"/>
      <c r="Q201" s="192"/>
      <c r="R201" s="192"/>
      <c r="S201" s="192"/>
      <c r="T201" s="192"/>
      <c r="U201" s="192"/>
      <c r="V201" s="192"/>
    </row>
    <row r="202" spans="4:22" ht="15" customHeight="1" x14ac:dyDescent="0.25">
      <c r="K202" s="36"/>
      <c r="N202" s="192"/>
      <c r="O202" s="192"/>
      <c r="P202" s="192"/>
      <c r="Q202" s="192"/>
      <c r="R202" s="192"/>
      <c r="S202" s="192"/>
      <c r="T202" s="192"/>
      <c r="U202" s="192"/>
      <c r="V202" s="192"/>
    </row>
    <row r="203" spans="4:22" x14ac:dyDescent="0.25">
      <c r="K203" s="37"/>
    </row>
    <row r="204" spans="4:22" x14ac:dyDescent="0.25">
      <c r="K204" s="37"/>
    </row>
    <row r="205" spans="4:22" x14ac:dyDescent="0.25">
      <c r="D205" s="31"/>
      <c r="E205" s="31"/>
      <c r="F205" s="33"/>
      <c r="G205" s="34"/>
      <c r="H205" s="32"/>
      <c r="I205" s="32"/>
      <c r="J205" s="32"/>
      <c r="K205" s="37"/>
    </row>
    <row r="206" spans="4:22" x14ac:dyDescent="0.25">
      <c r="D206" s="31"/>
      <c r="E206" s="31"/>
      <c r="F206" s="33"/>
      <c r="G206" s="34"/>
      <c r="H206" s="32"/>
      <c r="I206" s="32"/>
      <c r="J206" s="32"/>
      <c r="K206" s="37"/>
    </row>
    <row r="207" spans="4:22" x14ac:dyDescent="0.25">
      <c r="D207" s="31"/>
      <c r="E207" s="31"/>
      <c r="F207" s="33"/>
      <c r="G207" s="34"/>
      <c r="H207" s="32"/>
      <c r="I207" s="32"/>
      <c r="J207" s="32"/>
      <c r="K207" s="37"/>
    </row>
    <row r="208" spans="4:22" ht="15" customHeight="1" x14ac:dyDescent="0.25">
      <c r="K208" s="36"/>
    </row>
    <row r="209" spans="4:11" x14ac:dyDescent="0.25">
      <c r="K209" s="37"/>
    </row>
    <row r="210" spans="4:11" x14ac:dyDescent="0.25">
      <c r="K210" s="37"/>
    </row>
    <row r="211" spans="4:11" x14ac:dyDescent="0.25">
      <c r="D211" s="31"/>
      <c r="E211" s="31"/>
      <c r="F211" s="33"/>
      <c r="G211" s="34"/>
      <c r="H211" s="32"/>
      <c r="I211" s="32"/>
      <c r="J211" s="32"/>
      <c r="K211" s="37"/>
    </row>
    <row r="212" spans="4:11" x14ac:dyDescent="0.25">
      <c r="D212" s="31"/>
      <c r="E212" s="31"/>
      <c r="F212" s="33"/>
      <c r="G212" s="34"/>
      <c r="H212" s="32"/>
      <c r="I212" s="32"/>
      <c r="J212" s="32"/>
      <c r="K212" s="37"/>
    </row>
    <row r="213" spans="4:11" x14ac:dyDescent="0.25">
      <c r="D213" s="31"/>
      <c r="E213" s="31"/>
      <c r="F213" s="33"/>
      <c r="G213" s="34"/>
      <c r="H213" s="32"/>
      <c r="I213" s="32"/>
      <c r="J213" s="32"/>
      <c r="K213" s="37"/>
    </row>
    <row r="214" spans="4:11" ht="15" customHeight="1" x14ac:dyDescent="0.25">
      <c r="K214" s="36"/>
    </row>
    <row r="215" spans="4:11" x14ac:dyDescent="0.25">
      <c r="K215" s="37"/>
    </row>
    <row r="216" spans="4:11" x14ac:dyDescent="0.25">
      <c r="K216" s="37"/>
    </row>
    <row r="217" spans="4:11" x14ac:dyDescent="0.25">
      <c r="D217" s="31"/>
      <c r="E217" s="31"/>
      <c r="F217" s="33"/>
      <c r="G217" s="34"/>
      <c r="H217" s="32"/>
      <c r="I217" s="32"/>
      <c r="J217" s="32"/>
      <c r="K217" s="37"/>
    </row>
    <row r="218" spans="4:11" x14ac:dyDescent="0.25">
      <c r="D218" s="31"/>
      <c r="E218" s="31"/>
      <c r="F218" s="33"/>
      <c r="G218" s="34"/>
      <c r="H218" s="32"/>
      <c r="I218" s="32"/>
      <c r="J218" s="32"/>
      <c r="K218" s="37"/>
    </row>
    <row r="219" spans="4:11" x14ac:dyDescent="0.25">
      <c r="D219" s="31"/>
      <c r="E219" s="31"/>
      <c r="F219" s="33"/>
      <c r="G219" s="34"/>
      <c r="H219" s="32"/>
      <c r="I219" s="32"/>
      <c r="J219" s="32"/>
      <c r="K219" s="37"/>
    </row>
    <row r="220" spans="4:11" x14ac:dyDescent="0.25">
      <c r="K220" s="35"/>
    </row>
  </sheetData>
  <mergeCells count="8">
    <mergeCell ref="D3:L12"/>
    <mergeCell ref="D28:L38"/>
    <mergeCell ref="N192:V202"/>
    <mergeCell ref="O191:P191"/>
    <mergeCell ref="O3:AH11"/>
    <mergeCell ref="P29:AV37"/>
    <mergeCell ref="O178:P178"/>
    <mergeCell ref="N179:V189"/>
  </mergeCells>
  <pageMargins left="0.7" right="0.7" top="0.75" bottom="0.75" header="0.3" footer="0.3"/>
  <pageSetup paperSize="9" scale="16" fitToHeight="0" orientation="portrait" horizontalDpi="4294967293" r:id="rId1"/>
  <drawing r:id="rId2"/>
  <legacyDrawing r:id="rId3"/>
  <oleObjects>
    <mc:AlternateContent xmlns:mc="http://schemas.openxmlformats.org/markup-compatibility/2006">
      <mc:Choice Requires="x14">
        <oleObject progId="ChemDraw.Document.6.0" shapeId="24577" r:id="rId4">
          <objectPr defaultSize="0" r:id="rId5">
            <anchor moveWithCells="1">
              <from>
                <xdr:col>13</xdr:col>
                <xdr:colOff>485775</xdr:colOff>
                <xdr:row>178</xdr:row>
                <xdr:rowOff>152400</xdr:rowOff>
              </from>
              <to>
                <xdr:col>21</xdr:col>
                <xdr:colOff>390525</xdr:colOff>
                <xdr:row>187</xdr:row>
                <xdr:rowOff>161925</xdr:rowOff>
              </to>
            </anchor>
          </objectPr>
        </oleObject>
      </mc:Choice>
      <mc:Fallback>
        <oleObject progId="ChemDraw.Document.6.0" shapeId="24577" r:id="rId4"/>
      </mc:Fallback>
    </mc:AlternateContent>
    <mc:AlternateContent xmlns:mc="http://schemas.openxmlformats.org/markup-compatibility/2006">
      <mc:Choice Requires="x14">
        <oleObject progId="ChemDraw.Document.6.0" shapeId="24578" r:id="rId6">
          <objectPr defaultSize="0" r:id="rId7">
            <anchor moveWithCells="1">
              <from>
                <xdr:col>13</xdr:col>
                <xdr:colOff>485775</xdr:colOff>
                <xdr:row>191</xdr:row>
                <xdr:rowOff>104775</xdr:rowOff>
              </from>
              <to>
                <xdr:col>21</xdr:col>
                <xdr:colOff>447675</xdr:colOff>
                <xdr:row>200</xdr:row>
                <xdr:rowOff>123825</xdr:rowOff>
              </to>
            </anchor>
          </objectPr>
        </oleObject>
      </mc:Choice>
      <mc:Fallback>
        <oleObject progId="ChemDraw.Document.6.0" shapeId="24578" r:id="rId6"/>
      </mc:Fallback>
    </mc:AlternateContent>
    <mc:AlternateContent xmlns:mc="http://schemas.openxmlformats.org/markup-compatibility/2006">
      <mc:Choice Requires="x14">
        <oleObject progId="ChemDraw.Document.6.0" shapeId="24579" r:id="rId8">
          <objectPr defaultSize="0" r:id="rId9">
            <anchor moveWithCells="1">
              <from>
                <xdr:col>3</xdr:col>
                <xdr:colOff>276225</xdr:colOff>
                <xdr:row>2</xdr:row>
                <xdr:rowOff>152400</xdr:rowOff>
              </from>
              <to>
                <xdr:col>10</xdr:col>
                <xdr:colOff>1028700</xdr:colOff>
                <xdr:row>11</xdr:row>
                <xdr:rowOff>171450</xdr:rowOff>
              </to>
            </anchor>
          </objectPr>
        </oleObject>
      </mc:Choice>
      <mc:Fallback>
        <oleObject progId="ChemDraw.Document.6.0" shapeId="24579" r:id="rId8"/>
      </mc:Fallback>
    </mc:AlternateContent>
    <mc:AlternateContent xmlns:mc="http://schemas.openxmlformats.org/markup-compatibility/2006">
      <mc:Choice Requires="x14">
        <oleObject progId="ChemDraw.Document.6.0" shapeId="24580" r:id="rId10">
          <objectPr defaultSize="0" r:id="rId11">
            <anchor moveWithCells="1">
              <from>
                <xdr:col>3</xdr:col>
                <xdr:colOff>228600</xdr:colOff>
                <xdr:row>28</xdr:row>
                <xdr:rowOff>0</xdr:rowOff>
              </from>
              <to>
                <xdr:col>10</xdr:col>
                <xdr:colOff>1057275</xdr:colOff>
                <xdr:row>37</xdr:row>
                <xdr:rowOff>19050</xdr:rowOff>
              </to>
            </anchor>
          </objectPr>
        </oleObject>
      </mc:Choice>
      <mc:Fallback>
        <oleObject progId="ChemDraw.Document.6.0" shapeId="24580" r:id="rId10"/>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J216"/>
  <sheetViews>
    <sheetView zoomScale="70" zoomScaleNormal="70" workbookViewId="0">
      <selection activeCell="H14" sqref="H14"/>
    </sheetView>
  </sheetViews>
  <sheetFormatPr defaultColWidth="8.85546875" defaultRowHeight="15" x14ac:dyDescent="0.25"/>
  <cols>
    <col min="1" max="1" width="13.28515625" customWidth="1"/>
    <col min="2" max="2" width="1.7109375" customWidth="1"/>
    <col min="3" max="3" width="51.85546875" customWidth="1"/>
    <col min="4" max="4" width="12.140625" style="58" bestFit="1" customWidth="1"/>
    <col min="5" max="5" width="15.85546875" style="58" customWidth="1"/>
    <col min="6" max="6" width="12.85546875" style="58" customWidth="1"/>
    <col min="7" max="7" width="10.7109375" customWidth="1"/>
    <col min="8" max="8" width="11" bestFit="1" customWidth="1"/>
    <col min="9" max="9" width="6.85546875" customWidth="1"/>
    <col min="10" max="10" width="11.42578125" bestFit="1" customWidth="1"/>
    <col min="11" max="11" width="17.85546875" bestFit="1" customWidth="1"/>
    <col min="12" max="12" width="13.140625" customWidth="1"/>
    <col min="13" max="13" width="11.7109375" customWidth="1"/>
    <col min="14" max="14" width="12.140625" bestFit="1" customWidth="1"/>
    <col min="15" max="15" width="13.28515625" customWidth="1"/>
    <col min="16" max="16" width="12.42578125" bestFit="1" customWidth="1"/>
    <col min="17" max="17" width="12.140625" bestFit="1" customWidth="1"/>
    <col min="18" max="18" width="10.140625" customWidth="1"/>
    <col min="19" max="19" width="10.28515625" bestFit="1" customWidth="1"/>
    <col min="20" max="20" width="12.28515625" customWidth="1"/>
    <col min="21" max="21" width="10.28515625" customWidth="1"/>
    <col min="22" max="22" width="12.140625" customWidth="1"/>
  </cols>
  <sheetData>
    <row r="1" spans="1:36" s="29" customFormat="1" ht="14.45" x14ac:dyDescent="0.3">
      <c r="A1" s="28" t="s">
        <v>107</v>
      </c>
      <c r="D1" s="30"/>
      <c r="E1" s="30"/>
      <c r="F1" s="30"/>
    </row>
    <row r="3" spans="1:36" ht="15" customHeight="1" x14ac:dyDescent="0.25">
      <c r="C3" s="41" t="s">
        <v>193</v>
      </c>
      <c r="D3" s="192"/>
      <c r="E3" s="192"/>
      <c r="F3" s="192"/>
      <c r="G3" s="192"/>
      <c r="H3" s="192"/>
      <c r="I3" s="192"/>
      <c r="J3" s="192"/>
      <c r="K3" s="192"/>
      <c r="L3" s="192"/>
      <c r="M3" s="103"/>
      <c r="N3" s="190" t="s">
        <v>99</v>
      </c>
      <c r="O3" s="190"/>
      <c r="P3" s="190"/>
      <c r="Q3" s="190"/>
      <c r="R3" s="190"/>
      <c r="S3" s="190"/>
      <c r="T3" s="190"/>
      <c r="U3" s="190"/>
      <c r="V3" s="190"/>
      <c r="W3" s="190"/>
      <c r="X3" s="190"/>
      <c r="Y3" s="190"/>
      <c r="Z3" s="190"/>
      <c r="AA3" s="125"/>
      <c r="AB3" s="125"/>
      <c r="AC3" s="125"/>
      <c r="AD3" s="125"/>
      <c r="AE3" s="125"/>
      <c r="AF3" s="125"/>
      <c r="AG3" s="125"/>
      <c r="AH3" s="125"/>
      <c r="AI3" s="125"/>
      <c r="AJ3" s="125"/>
    </row>
    <row r="4" spans="1:36" x14ac:dyDescent="0.25">
      <c r="C4" s="110" t="s">
        <v>79</v>
      </c>
      <c r="D4" s="192"/>
      <c r="E4" s="192"/>
      <c r="F4" s="192"/>
      <c r="G4" s="192"/>
      <c r="H4" s="192"/>
      <c r="I4" s="192"/>
      <c r="J4" s="192"/>
      <c r="K4" s="192"/>
      <c r="L4" s="192"/>
      <c r="M4" s="103"/>
      <c r="N4" s="190"/>
      <c r="O4" s="190"/>
      <c r="P4" s="190"/>
      <c r="Q4" s="190"/>
      <c r="R4" s="190"/>
      <c r="S4" s="190"/>
      <c r="T4" s="190"/>
      <c r="U4" s="190"/>
      <c r="V4" s="190"/>
      <c r="W4" s="190"/>
      <c r="X4" s="190"/>
      <c r="Y4" s="190"/>
      <c r="Z4" s="190"/>
      <c r="AA4" s="125"/>
      <c r="AB4" s="125"/>
      <c r="AC4" s="125"/>
      <c r="AD4" s="125"/>
      <c r="AE4" s="125"/>
      <c r="AF4" s="125"/>
      <c r="AG4" s="125"/>
      <c r="AH4" s="125"/>
      <c r="AI4" s="125"/>
      <c r="AJ4" s="125"/>
    </row>
    <row r="5" spans="1:36" x14ac:dyDescent="0.25">
      <c r="C5" s="52"/>
      <c r="D5" s="192"/>
      <c r="E5" s="192"/>
      <c r="F5" s="192"/>
      <c r="G5" s="192"/>
      <c r="H5" s="192"/>
      <c r="I5" s="192"/>
      <c r="J5" s="192"/>
      <c r="K5" s="192"/>
      <c r="L5" s="192"/>
      <c r="M5" s="103"/>
      <c r="N5" s="190"/>
      <c r="O5" s="190"/>
      <c r="P5" s="190"/>
      <c r="Q5" s="190"/>
      <c r="R5" s="190"/>
      <c r="S5" s="190"/>
      <c r="T5" s="190"/>
      <c r="U5" s="190"/>
      <c r="V5" s="190"/>
      <c r="W5" s="190"/>
      <c r="X5" s="190"/>
      <c r="Y5" s="190"/>
      <c r="Z5" s="190"/>
      <c r="AA5" s="125"/>
      <c r="AB5" s="125"/>
      <c r="AC5" s="125"/>
      <c r="AD5" s="125"/>
      <c r="AE5" s="125"/>
      <c r="AF5" s="125"/>
      <c r="AG5" s="125"/>
      <c r="AH5" s="125"/>
      <c r="AI5" s="125"/>
      <c r="AJ5" s="125"/>
    </row>
    <row r="6" spans="1:36" x14ac:dyDescent="0.25">
      <c r="D6" s="192"/>
      <c r="E6" s="192"/>
      <c r="F6" s="192"/>
      <c r="G6" s="192"/>
      <c r="H6" s="192"/>
      <c r="I6" s="192"/>
      <c r="J6" s="192"/>
      <c r="K6" s="192"/>
      <c r="L6" s="192"/>
      <c r="M6" s="103"/>
      <c r="N6" s="190"/>
      <c r="O6" s="190"/>
      <c r="P6" s="190"/>
      <c r="Q6" s="190"/>
      <c r="R6" s="190"/>
      <c r="S6" s="190"/>
      <c r="T6" s="190"/>
      <c r="U6" s="190"/>
      <c r="V6" s="190"/>
      <c r="W6" s="190"/>
      <c r="X6" s="190"/>
      <c r="Y6" s="190"/>
      <c r="Z6" s="190"/>
      <c r="AA6" s="125"/>
      <c r="AB6" s="125"/>
      <c r="AC6" s="125"/>
      <c r="AD6" s="125"/>
      <c r="AE6" s="125"/>
      <c r="AF6" s="125"/>
      <c r="AG6" s="125"/>
      <c r="AH6" s="125"/>
      <c r="AI6" s="125"/>
      <c r="AJ6" s="125"/>
    </row>
    <row r="7" spans="1:36" x14ac:dyDescent="0.25">
      <c r="D7" s="192"/>
      <c r="E7" s="192"/>
      <c r="F7" s="192"/>
      <c r="G7" s="192"/>
      <c r="H7" s="192"/>
      <c r="I7" s="192"/>
      <c r="J7" s="192"/>
      <c r="K7" s="192"/>
      <c r="L7" s="192"/>
      <c r="M7" s="103"/>
      <c r="N7" s="190"/>
      <c r="O7" s="190"/>
      <c r="P7" s="190"/>
      <c r="Q7" s="190"/>
      <c r="R7" s="190"/>
      <c r="S7" s="190"/>
      <c r="T7" s="190"/>
      <c r="U7" s="190"/>
      <c r="V7" s="190"/>
      <c r="W7" s="190"/>
      <c r="X7" s="190"/>
      <c r="Y7" s="190"/>
      <c r="Z7" s="190"/>
      <c r="AA7" s="125"/>
      <c r="AB7" s="125"/>
      <c r="AC7" s="125"/>
      <c r="AD7" s="125"/>
      <c r="AE7" s="125"/>
      <c r="AF7" s="125"/>
      <c r="AG7" s="125"/>
      <c r="AH7" s="125"/>
      <c r="AI7" s="125"/>
      <c r="AJ7" s="125"/>
    </row>
    <row r="8" spans="1:36" x14ac:dyDescent="0.25">
      <c r="D8" s="192"/>
      <c r="E8" s="192"/>
      <c r="F8" s="192"/>
      <c r="G8" s="192"/>
      <c r="H8" s="192"/>
      <c r="I8" s="192"/>
      <c r="J8" s="192"/>
      <c r="K8" s="192"/>
      <c r="L8" s="192"/>
      <c r="M8" s="103"/>
      <c r="N8" s="190"/>
      <c r="O8" s="190"/>
      <c r="P8" s="190"/>
      <c r="Q8" s="190"/>
      <c r="R8" s="190"/>
      <c r="S8" s="190"/>
      <c r="T8" s="190"/>
      <c r="U8" s="190"/>
      <c r="V8" s="190"/>
      <c r="W8" s="190"/>
      <c r="X8" s="190"/>
      <c r="Y8" s="190"/>
      <c r="Z8" s="190"/>
      <c r="AA8" s="125"/>
      <c r="AB8" s="125"/>
      <c r="AC8" s="125"/>
      <c r="AD8" s="125"/>
      <c r="AE8" s="125"/>
      <c r="AF8" s="125"/>
      <c r="AG8" s="125"/>
      <c r="AH8" s="125"/>
      <c r="AI8" s="125"/>
      <c r="AJ8" s="125"/>
    </row>
    <row r="9" spans="1:36" x14ac:dyDescent="0.25">
      <c r="D9" s="192"/>
      <c r="E9" s="192"/>
      <c r="F9" s="192"/>
      <c r="G9" s="192"/>
      <c r="H9" s="192"/>
      <c r="I9" s="192"/>
      <c r="J9" s="192"/>
      <c r="K9" s="192"/>
      <c r="L9" s="192"/>
      <c r="M9" s="103"/>
      <c r="N9" s="190"/>
      <c r="O9" s="190"/>
      <c r="P9" s="190"/>
      <c r="Q9" s="190"/>
      <c r="R9" s="190"/>
      <c r="S9" s="190"/>
      <c r="T9" s="190"/>
      <c r="U9" s="190"/>
      <c r="V9" s="190"/>
      <c r="W9" s="190"/>
      <c r="X9" s="190"/>
      <c r="Y9" s="190"/>
      <c r="Z9" s="190"/>
      <c r="AA9" s="125"/>
      <c r="AB9" s="125"/>
      <c r="AC9" s="125"/>
      <c r="AD9" s="125"/>
      <c r="AE9" s="125"/>
      <c r="AF9" s="125"/>
      <c r="AG9" s="125"/>
      <c r="AH9" s="125"/>
      <c r="AI9" s="125"/>
      <c r="AJ9" s="125"/>
    </row>
    <row r="10" spans="1:36" x14ac:dyDescent="0.25">
      <c r="D10" s="192"/>
      <c r="E10" s="192"/>
      <c r="F10" s="192"/>
      <c r="G10" s="192"/>
      <c r="H10" s="192"/>
      <c r="I10" s="192"/>
      <c r="J10" s="192"/>
      <c r="K10" s="192"/>
      <c r="L10" s="192"/>
      <c r="M10" s="103"/>
      <c r="N10" s="190"/>
      <c r="O10" s="190"/>
      <c r="P10" s="190"/>
      <c r="Q10" s="190"/>
      <c r="R10" s="190"/>
      <c r="S10" s="190"/>
      <c r="T10" s="190"/>
      <c r="U10" s="190"/>
      <c r="V10" s="190"/>
      <c r="W10" s="190"/>
      <c r="X10" s="190"/>
      <c r="Y10" s="190"/>
      <c r="Z10" s="190"/>
      <c r="AA10" s="125"/>
      <c r="AB10" s="125"/>
      <c r="AC10" s="125"/>
      <c r="AD10" s="125"/>
      <c r="AE10" s="125"/>
      <c r="AF10" s="125"/>
      <c r="AG10" s="125"/>
      <c r="AH10" s="125"/>
      <c r="AI10" s="125"/>
      <c r="AJ10" s="125"/>
    </row>
    <row r="11" spans="1:36" x14ac:dyDescent="0.25">
      <c r="D11" s="192"/>
      <c r="E11" s="192"/>
      <c r="F11" s="192"/>
      <c r="G11" s="192"/>
      <c r="H11" s="192"/>
      <c r="I11" s="192"/>
      <c r="J11" s="192"/>
      <c r="K11" s="192"/>
      <c r="L11" s="192"/>
      <c r="M11" s="103"/>
      <c r="N11" s="190"/>
      <c r="O11" s="190"/>
      <c r="P11" s="190"/>
      <c r="Q11" s="190"/>
      <c r="R11" s="190"/>
      <c r="S11" s="190"/>
      <c r="T11" s="190"/>
      <c r="U11" s="190"/>
      <c r="V11" s="190"/>
      <c r="W11" s="190"/>
      <c r="X11" s="190"/>
      <c r="Y11" s="190"/>
      <c r="Z11" s="190"/>
      <c r="AA11" s="125"/>
      <c r="AB11" s="125"/>
      <c r="AC11" s="125"/>
      <c r="AD11" s="125"/>
      <c r="AE11" s="125"/>
      <c r="AF11" s="125"/>
      <c r="AG11" s="125"/>
      <c r="AH11" s="125"/>
      <c r="AI11" s="125"/>
      <c r="AJ11" s="125"/>
    </row>
    <row r="12" spans="1:36" x14ac:dyDescent="0.25">
      <c r="D12" s="192"/>
      <c r="E12" s="192"/>
      <c r="F12" s="192"/>
      <c r="G12" s="192"/>
      <c r="H12" s="192"/>
      <c r="I12" s="192"/>
      <c r="J12" s="192"/>
      <c r="K12" s="192"/>
      <c r="L12" s="192"/>
      <c r="M12" s="65"/>
      <c r="N12" s="190"/>
      <c r="O12" s="190"/>
      <c r="P12" s="190"/>
      <c r="Q12" s="190"/>
      <c r="R12" s="190"/>
      <c r="S12" s="190"/>
      <c r="T12" s="190"/>
      <c r="U12" s="190"/>
      <c r="V12" s="190"/>
      <c r="W12" s="190"/>
      <c r="X12" s="190"/>
      <c r="Y12" s="190"/>
      <c r="Z12" s="190"/>
    </row>
    <row r="13" spans="1:36" ht="14.45" x14ac:dyDescent="0.3">
      <c r="C13" s="6" t="s">
        <v>26</v>
      </c>
    </row>
    <row r="14" spans="1:36" ht="32.450000000000003" x14ac:dyDescent="0.3">
      <c r="C14" s="17" t="s">
        <v>14</v>
      </c>
      <c r="D14" s="20" t="s">
        <v>21</v>
      </c>
      <c r="E14" s="20" t="s">
        <v>94</v>
      </c>
      <c r="F14" s="17" t="s">
        <v>13</v>
      </c>
      <c r="G14" s="17" t="s">
        <v>15</v>
      </c>
      <c r="H14" s="18" t="s">
        <v>1</v>
      </c>
      <c r="I14" s="19" t="s">
        <v>25</v>
      </c>
      <c r="J14" s="17" t="s">
        <v>2</v>
      </c>
      <c r="K14" s="20" t="s">
        <v>94</v>
      </c>
      <c r="L14" s="20" t="s">
        <v>22</v>
      </c>
      <c r="M14" s="19" t="s">
        <v>8</v>
      </c>
      <c r="N14" s="19" t="s">
        <v>16</v>
      </c>
      <c r="O14" s="19" t="s">
        <v>17</v>
      </c>
      <c r="P14" s="19" t="s">
        <v>18</v>
      </c>
      <c r="Q14" s="20" t="s">
        <v>10</v>
      </c>
      <c r="R14" s="20" t="s">
        <v>23</v>
      </c>
      <c r="S14" s="19" t="s">
        <v>9</v>
      </c>
      <c r="T14" s="19" t="s">
        <v>19</v>
      </c>
      <c r="U14" s="19" t="s">
        <v>20</v>
      </c>
      <c r="V14" s="19" t="s">
        <v>24</v>
      </c>
    </row>
    <row r="15" spans="1:36" ht="14.45" x14ac:dyDescent="0.3">
      <c r="C15" s="68" t="s">
        <v>119</v>
      </c>
      <c r="D15" s="8">
        <v>2320</v>
      </c>
      <c r="E15" s="8">
        <v>116.16</v>
      </c>
      <c r="F15" s="8">
        <v>1</v>
      </c>
      <c r="G15" s="11">
        <f>D15/E15</f>
        <v>19.97245179063361</v>
      </c>
      <c r="H15" s="7"/>
      <c r="I15" s="7"/>
      <c r="J15" s="8" t="s">
        <v>49</v>
      </c>
      <c r="K15" s="8">
        <v>101.19</v>
      </c>
      <c r="L15" s="46">
        <f>42*K15</f>
        <v>4249.9799999999996</v>
      </c>
      <c r="M15" s="42" t="s">
        <v>47</v>
      </c>
      <c r="N15" s="45">
        <v>14000</v>
      </c>
      <c r="O15" s="1">
        <v>1.33</v>
      </c>
      <c r="P15" s="11">
        <f>N15*O15</f>
        <v>18620</v>
      </c>
      <c r="Q15" s="8"/>
      <c r="R15" s="8"/>
      <c r="S15" s="7"/>
      <c r="T15" s="7"/>
      <c r="U15" s="7"/>
      <c r="V15" s="11">
        <f>T15*U15</f>
        <v>0</v>
      </c>
    </row>
    <row r="16" spans="1:36" ht="14.45" x14ac:dyDescent="0.3">
      <c r="C16" s="8" t="s">
        <v>82</v>
      </c>
      <c r="D16" s="8">
        <v>3300</v>
      </c>
      <c r="E16" s="8">
        <v>165.24</v>
      </c>
      <c r="F16" s="8">
        <f>G16/G15</f>
        <v>0.99992487416422504</v>
      </c>
      <c r="G16" s="11">
        <f>D16/E16</f>
        <v>19.970951343500364</v>
      </c>
      <c r="H16" s="1"/>
      <c r="I16" s="1"/>
      <c r="J16" s="25" t="s">
        <v>81</v>
      </c>
      <c r="K16" s="26">
        <v>120.58</v>
      </c>
      <c r="L16" s="46">
        <f>20*K16</f>
        <v>2411.6</v>
      </c>
      <c r="M16" s="42"/>
      <c r="N16" s="2"/>
      <c r="O16" s="1"/>
      <c r="P16" s="11"/>
      <c r="Q16" s="8"/>
      <c r="R16" s="8"/>
      <c r="S16" s="7"/>
      <c r="T16" s="7"/>
      <c r="U16" s="7"/>
      <c r="V16" s="11">
        <f>T16*U16</f>
        <v>0</v>
      </c>
    </row>
    <row r="17" spans="3:35" ht="14.45" x14ac:dyDescent="0.3">
      <c r="C17" s="10" t="s">
        <v>4</v>
      </c>
      <c r="D17" s="11">
        <f>SUM(D15:D16)</f>
        <v>5620</v>
      </c>
      <c r="E17" s="11">
        <f>SUM(E15:E16)</f>
        <v>281.39999999999998</v>
      </c>
      <c r="F17" s="10"/>
      <c r="G17" s="165">
        <f>SUM(G15:G16)</f>
        <v>39.943403134133973</v>
      </c>
      <c r="I17" s="23">
        <f>SUM(I15:I16)</f>
        <v>0</v>
      </c>
      <c r="L17" s="47">
        <f>SUM(L15:L16)</f>
        <v>6661.58</v>
      </c>
      <c r="N17" s="89">
        <f>SUM(N15:N16)</f>
        <v>14000</v>
      </c>
      <c r="P17" s="165">
        <f>SUM(P15:P16)</f>
        <v>18620</v>
      </c>
      <c r="R17" s="23">
        <f>SUM(R15:R16)</f>
        <v>0</v>
      </c>
      <c r="V17" s="23">
        <f>SUM(V15:V16)</f>
        <v>0</v>
      </c>
    </row>
    <row r="18" spans="3:35" ht="14.45" x14ac:dyDescent="0.3">
      <c r="C18" s="4"/>
      <c r="D18" s="3"/>
      <c r="E18" s="3"/>
      <c r="F18" s="3"/>
      <c r="G18" s="4"/>
      <c r="H18" s="4"/>
      <c r="I18" s="4"/>
      <c r="M18" s="49"/>
      <c r="N18" s="4"/>
      <c r="O18" s="4"/>
      <c r="P18" s="4"/>
      <c r="Q18" s="4"/>
      <c r="R18" s="4"/>
      <c r="S18" s="4"/>
      <c r="T18" s="4"/>
      <c r="U18" s="4"/>
      <c r="V18" s="4"/>
    </row>
    <row r="19" spans="3:35" ht="14.45" x14ac:dyDescent="0.3">
      <c r="C19" s="4"/>
      <c r="D19" s="3"/>
      <c r="E19" s="3"/>
      <c r="F19" s="3"/>
      <c r="G19" s="4"/>
      <c r="H19" s="4"/>
      <c r="K19" s="162" t="s">
        <v>133</v>
      </c>
      <c r="L19" s="12">
        <f>(T21/G15)*100</f>
        <v>100</v>
      </c>
      <c r="M19" s="49"/>
      <c r="O19" s="4"/>
      <c r="P19" s="4"/>
      <c r="Q19" s="4"/>
      <c r="R19" s="4"/>
      <c r="S19" s="4"/>
    </row>
    <row r="20" spans="3:35" ht="14.45" x14ac:dyDescent="0.3">
      <c r="C20" s="4"/>
      <c r="D20" s="3"/>
      <c r="E20" s="3"/>
      <c r="F20" s="3"/>
      <c r="G20" s="4"/>
      <c r="H20" s="4"/>
      <c r="K20" s="159" t="s">
        <v>134</v>
      </c>
      <c r="L20" s="13">
        <f>(S21/(E17)*100)</f>
        <v>93.596304193319128</v>
      </c>
      <c r="M20" s="49"/>
      <c r="R20" s="5" t="s">
        <v>11</v>
      </c>
      <c r="S20" s="5" t="s">
        <v>12</v>
      </c>
      <c r="T20" s="5" t="s">
        <v>0</v>
      </c>
    </row>
    <row r="21" spans="3:35" ht="14.45" x14ac:dyDescent="0.3">
      <c r="C21" s="4"/>
      <c r="D21" s="3"/>
      <c r="E21" s="3"/>
      <c r="F21" s="3"/>
      <c r="G21" s="4"/>
      <c r="H21" s="4"/>
      <c r="K21" s="162" t="s">
        <v>135</v>
      </c>
      <c r="L21" s="12">
        <f>(R21/D17)*100</f>
        <v>93.600433320588621</v>
      </c>
      <c r="P21" s="4"/>
      <c r="Q21" s="5" t="s">
        <v>3</v>
      </c>
      <c r="R21" s="9">
        <f>T21*S21</f>
        <v>5260.3443526170804</v>
      </c>
      <c r="S21" s="9">
        <v>263.38</v>
      </c>
      <c r="T21" s="22">
        <f>G15</f>
        <v>19.97245179063361</v>
      </c>
    </row>
    <row r="22" spans="3:35" ht="16.149999999999999" x14ac:dyDescent="0.3">
      <c r="C22" s="4"/>
      <c r="D22" s="3"/>
      <c r="E22" s="3"/>
      <c r="F22" s="3"/>
      <c r="G22" s="4"/>
      <c r="H22" s="4"/>
      <c r="K22" s="159" t="s">
        <v>136</v>
      </c>
      <c r="L22" s="13">
        <f>(D17+I17+L17+P17+R17+V17)/R21</f>
        <v>5.8744405173068408</v>
      </c>
      <c r="O22" s="4"/>
      <c r="P22" s="4"/>
      <c r="S22" s="65"/>
      <c r="T22" s="3"/>
    </row>
    <row r="23" spans="3:35" ht="16.149999999999999" x14ac:dyDescent="0.3">
      <c r="C23" s="4"/>
      <c r="D23" s="3"/>
      <c r="E23" s="3"/>
      <c r="F23" s="3"/>
      <c r="G23" s="4"/>
      <c r="H23" s="4"/>
      <c r="I23" s="4"/>
      <c r="K23" s="163" t="s">
        <v>137</v>
      </c>
      <c r="L23" s="15">
        <f>(D17+I17+L17)/R21</f>
        <v>2.3347482934058825</v>
      </c>
      <c r="N23" s="163" t="s">
        <v>139</v>
      </c>
      <c r="O23" s="93">
        <f>G15/N17*1000</f>
        <v>1.4266036993309721</v>
      </c>
      <c r="P23" s="4"/>
      <c r="S23" s="4"/>
    </row>
    <row r="24" spans="3:35" ht="16.149999999999999" x14ac:dyDescent="0.3">
      <c r="C24" s="4"/>
      <c r="D24" s="3"/>
      <c r="E24" s="3"/>
      <c r="F24" s="3"/>
      <c r="G24" s="4"/>
      <c r="H24" s="4"/>
      <c r="I24" s="4"/>
      <c r="K24" s="164" t="s">
        <v>138</v>
      </c>
      <c r="L24" s="16">
        <f>(P17+V17)/R21</f>
        <v>3.5396922239009583</v>
      </c>
      <c r="M24" s="4"/>
      <c r="N24" s="4"/>
      <c r="O24" s="4"/>
      <c r="P24" s="4"/>
      <c r="U24" s="4"/>
      <c r="V24" s="4"/>
    </row>
    <row r="25" spans="3:35" ht="14.45" x14ac:dyDescent="0.3">
      <c r="C25" s="6"/>
      <c r="D25"/>
      <c r="E25" s="3"/>
      <c r="F25" s="3"/>
      <c r="G25" s="4"/>
      <c r="H25" s="4"/>
      <c r="I25" s="4"/>
      <c r="K25" s="4"/>
      <c r="M25" s="4"/>
      <c r="P25" s="4"/>
      <c r="Q25" s="4"/>
      <c r="R25" s="4"/>
      <c r="S25" s="4"/>
      <c r="T25" s="4"/>
      <c r="U25" s="4"/>
      <c r="V25" s="4"/>
    </row>
    <row r="26" spans="3:35" ht="14.45" x14ac:dyDescent="0.3">
      <c r="D26" s="103"/>
      <c r="E26" s="103"/>
      <c r="F26" s="103"/>
      <c r="G26" s="103"/>
      <c r="H26" s="103"/>
      <c r="I26" s="103"/>
      <c r="J26" s="103"/>
      <c r="K26" s="103"/>
      <c r="L26" s="103"/>
      <c r="M26" s="103"/>
    </row>
    <row r="27" spans="3:35" ht="15" customHeight="1" x14ac:dyDescent="0.25">
      <c r="C27" s="41" t="s">
        <v>194</v>
      </c>
      <c r="D27" s="192"/>
      <c r="E27" s="192"/>
      <c r="F27" s="192"/>
      <c r="G27" s="192"/>
      <c r="H27" s="192"/>
      <c r="I27" s="192"/>
      <c r="J27" s="192"/>
      <c r="K27" s="192"/>
      <c r="L27" s="103"/>
      <c r="M27" s="103"/>
      <c r="N27" s="190" t="s">
        <v>142</v>
      </c>
      <c r="O27" s="190"/>
      <c r="P27" s="190"/>
      <c r="Q27" s="190"/>
      <c r="R27" s="190"/>
      <c r="S27" s="190"/>
      <c r="T27" s="190"/>
      <c r="U27" s="190"/>
      <c r="V27" s="190"/>
      <c r="W27" s="190"/>
      <c r="X27" s="190"/>
      <c r="Y27" s="190"/>
      <c r="Z27" s="190"/>
      <c r="AA27" s="125"/>
      <c r="AB27" s="125"/>
      <c r="AC27" s="125"/>
      <c r="AD27" s="125"/>
      <c r="AE27" s="125"/>
      <c r="AF27" s="125"/>
      <c r="AG27" s="125"/>
      <c r="AH27" s="125"/>
      <c r="AI27" s="125"/>
    </row>
    <row r="28" spans="3:35" x14ac:dyDescent="0.25">
      <c r="C28" s="110" t="s">
        <v>80</v>
      </c>
      <c r="D28" s="192"/>
      <c r="E28" s="192"/>
      <c r="F28" s="192"/>
      <c r="G28" s="192"/>
      <c r="H28" s="192"/>
      <c r="I28" s="192"/>
      <c r="J28" s="192"/>
      <c r="K28" s="192"/>
      <c r="L28" s="103"/>
      <c r="M28" s="103"/>
      <c r="N28" s="190"/>
      <c r="O28" s="190"/>
      <c r="P28" s="190"/>
      <c r="Q28" s="190"/>
      <c r="R28" s="190"/>
      <c r="S28" s="190"/>
      <c r="T28" s="190"/>
      <c r="U28" s="190"/>
      <c r="V28" s="190"/>
      <c r="W28" s="190"/>
      <c r="X28" s="190"/>
      <c r="Y28" s="190"/>
      <c r="Z28" s="190"/>
      <c r="AA28" s="125"/>
      <c r="AB28" s="125"/>
      <c r="AC28" s="125"/>
      <c r="AD28" s="125"/>
      <c r="AE28" s="125"/>
      <c r="AF28" s="125"/>
      <c r="AG28" s="125"/>
      <c r="AH28" s="125"/>
      <c r="AI28" s="125"/>
    </row>
    <row r="29" spans="3:35" x14ac:dyDescent="0.25">
      <c r="C29" s="52"/>
      <c r="D29" s="192"/>
      <c r="E29" s="192"/>
      <c r="F29" s="192"/>
      <c r="G29" s="192"/>
      <c r="H29" s="192"/>
      <c r="I29" s="192"/>
      <c r="J29" s="192"/>
      <c r="K29" s="192"/>
      <c r="L29" s="103"/>
      <c r="M29" s="103"/>
      <c r="N29" s="190"/>
      <c r="O29" s="190"/>
      <c r="P29" s="190"/>
      <c r="Q29" s="190"/>
      <c r="R29" s="190"/>
      <c r="S29" s="190"/>
      <c r="T29" s="190"/>
      <c r="U29" s="190"/>
      <c r="V29" s="190"/>
      <c r="W29" s="190"/>
      <c r="X29" s="190"/>
      <c r="Y29" s="190"/>
      <c r="Z29" s="190"/>
      <c r="AA29" s="125"/>
      <c r="AB29" s="125"/>
      <c r="AC29" s="125"/>
      <c r="AD29" s="125"/>
      <c r="AE29" s="125"/>
      <c r="AF29" s="125"/>
      <c r="AG29" s="125"/>
      <c r="AH29" s="125"/>
      <c r="AI29" s="125"/>
    </row>
    <row r="30" spans="3:35" x14ac:dyDescent="0.25">
      <c r="C30" s="52"/>
      <c r="D30" s="192"/>
      <c r="E30" s="192"/>
      <c r="F30" s="192"/>
      <c r="G30" s="192"/>
      <c r="H30" s="192"/>
      <c r="I30" s="192"/>
      <c r="J30" s="192"/>
      <c r="K30" s="192"/>
      <c r="L30" s="103"/>
      <c r="M30" s="103"/>
      <c r="N30" s="190"/>
      <c r="O30" s="190"/>
      <c r="P30" s="190"/>
      <c r="Q30" s="190"/>
      <c r="R30" s="190"/>
      <c r="S30" s="190"/>
      <c r="T30" s="190"/>
      <c r="U30" s="190"/>
      <c r="V30" s="190"/>
      <c r="W30" s="190"/>
      <c r="X30" s="190"/>
      <c r="Y30" s="190"/>
      <c r="Z30" s="190"/>
      <c r="AA30" s="125"/>
      <c r="AB30" s="125"/>
      <c r="AC30" s="125"/>
      <c r="AD30" s="125"/>
      <c r="AE30" s="125"/>
      <c r="AF30" s="125"/>
      <c r="AG30" s="125"/>
      <c r="AH30" s="125"/>
      <c r="AI30" s="125"/>
    </row>
    <row r="31" spans="3:35" x14ac:dyDescent="0.25">
      <c r="D31" s="192"/>
      <c r="E31" s="192"/>
      <c r="F31" s="192"/>
      <c r="G31" s="192"/>
      <c r="H31" s="192"/>
      <c r="I31" s="192"/>
      <c r="J31" s="192"/>
      <c r="K31" s="192"/>
      <c r="L31" s="103"/>
      <c r="M31" s="103"/>
      <c r="N31" s="190"/>
      <c r="O31" s="190"/>
      <c r="P31" s="190"/>
      <c r="Q31" s="190"/>
      <c r="R31" s="190"/>
      <c r="S31" s="190"/>
      <c r="T31" s="190"/>
      <c r="U31" s="190"/>
      <c r="V31" s="190"/>
      <c r="W31" s="190"/>
      <c r="X31" s="190"/>
      <c r="Y31" s="190"/>
      <c r="Z31" s="190"/>
      <c r="AA31" s="125"/>
      <c r="AB31" s="125"/>
      <c r="AC31" s="125"/>
      <c r="AD31" s="125"/>
      <c r="AE31" s="125"/>
      <c r="AF31" s="125"/>
      <c r="AG31" s="125"/>
      <c r="AH31" s="125"/>
      <c r="AI31" s="125"/>
    </row>
    <row r="32" spans="3:35" x14ac:dyDescent="0.25">
      <c r="D32" s="192"/>
      <c r="E32" s="192"/>
      <c r="F32" s="192"/>
      <c r="G32" s="192"/>
      <c r="H32" s="192"/>
      <c r="I32" s="192"/>
      <c r="J32" s="192"/>
      <c r="K32" s="192"/>
      <c r="L32" s="103"/>
      <c r="M32" s="103"/>
      <c r="N32" s="190"/>
      <c r="O32" s="190"/>
      <c r="P32" s="190"/>
      <c r="Q32" s="190"/>
      <c r="R32" s="190"/>
      <c r="S32" s="190"/>
      <c r="T32" s="190"/>
      <c r="U32" s="190"/>
      <c r="V32" s="190"/>
      <c r="W32" s="190"/>
      <c r="X32" s="190"/>
      <c r="Y32" s="190"/>
      <c r="Z32" s="190"/>
      <c r="AA32" s="125"/>
      <c r="AB32" s="125"/>
      <c r="AC32" s="125"/>
      <c r="AD32" s="125"/>
      <c r="AE32" s="125"/>
      <c r="AF32" s="125"/>
      <c r="AG32" s="125"/>
      <c r="AH32" s="125"/>
      <c r="AI32" s="125"/>
    </row>
    <row r="33" spans="3:35" x14ac:dyDescent="0.25">
      <c r="D33" s="192"/>
      <c r="E33" s="192"/>
      <c r="F33" s="192"/>
      <c r="G33" s="192"/>
      <c r="H33" s="192"/>
      <c r="I33" s="192"/>
      <c r="J33" s="192"/>
      <c r="K33" s="192"/>
      <c r="L33" s="103"/>
      <c r="M33" s="103"/>
      <c r="N33" s="190"/>
      <c r="O33" s="190"/>
      <c r="P33" s="190"/>
      <c r="Q33" s="190"/>
      <c r="R33" s="190"/>
      <c r="S33" s="190"/>
      <c r="T33" s="190"/>
      <c r="U33" s="190"/>
      <c r="V33" s="190"/>
      <c r="W33" s="190"/>
      <c r="X33" s="190"/>
      <c r="Y33" s="190"/>
      <c r="Z33" s="190"/>
      <c r="AA33" s="125"/>
      <c r="AB33" s="125"/>
      <c r="AC33" s="125"/>
      <c r="AD33" s="125"/>
      <c r="AE33" s="125"/>
      <c r="AF33" s="125"/>
      <c r="AG33" s="125"/>
      <c r="AH33" s="125"/>
      <c r="AI33" s="125"/>
    </row>
    <row r="34" spans="3:35" x14ac:dyDescent="0.25">
      <c r="D34" s="192"/>
      <c r="E34" s="192"/>
      <c r="F34" s="192"/>
      <c r="G34" s="192"/>
      <c r="H34" s="192"/>
      <c r="I34" s="192"/>
      <c r="J34" s="192"/>
      <c r="K34" s="192"/>
      <c r="L34" s="103"/>
      <c r="M34" s="103"/>
      <c r="N34" s="190"/>
      <c r="O34" s="190"/>
      <c r="P34" s="190"/>
      <c r="Q34" s="190"/>
      <c r="R34" s="190"/>
      <c r="S34" s="190"/>
      <c r="T34" s="190"/>
      <c r="U34" s="190"/>
      <c r="V34" s="190"/>
      <c r="W34" s="190"/>
      <c r="X34" s="190"/>
      <c r="Y34" s="190"/>
      <c r="Z34" s="190"/>
      <c r="AA34" s="125"/>
      <c r="AB34" s="125"/>
      <c r="AC34" s="125"/>
      <c r="AD34" s="125"/>
      <c r="AE34" s="125"/>
      <c r="AF34" s="125"/>
      <c r="AG34" s="125"/>
      <c r="AH34" s="125"/>
      <c r="AI34" s="125"/>
    </row>
    <row r="35" spans="3:35" x14ac:dyDescent="0.25">
      <c r="D35" s="192"/>
      <c r="E35" s="192"/>
      <c r="F35" s="192"/>
      <c r="G35" s="192"/>
      <c r="H35" s="192"/>
      <c r="I35" s="192"/>
      <c r="J35" s="192"/>
      <c r="K35" s="192"/>
      <c r="L35" s="103"/>
      <c r="M35" s="103"/>
      <c r="N35" s="190"/>
      <c r="O35" s="190"/>
      <c r="P35" s="190"/>
      <c r="Q35" s="190"/>
      <c r="R35" s="190"/>
      <c r="S35" s="190"/>
      <c r="T35" s="190"/>
      <c r="U35" s="190"/>
      <c r="V35" s="190"/>
      <c r="W35" s="190"/>
      <c r="X35" s="190"/>
      <c r="Y35" s="190"/>
      <c r="Z35" s="190"/>
      <c r="AA35" s="125"/>
      <c r="AB35" s="125"/>
      <c r="AC35" s="125"/>
      <c r="AD35" s="125"/>
      <c r="AE35" s="125"/>
      <c r="AF35" s="125"/>
      <c r="AG35" s="125"/>
      <c r="AH35" s="125"/>
      <c r="AI35" s="125"/>
    </row>
    <row r="36" spans="3:35" x14ac:dyDescent="0.25">
      <c r="D36" s="192"/>
      <c r="E36" s="192"/>
      <c r="F36" s="192"/>
      <c r="G36" s="192"/>
      <c r="H36" s="192"/>
      <c r="I36" s="192"/>
      <c r="J36" s="192"/>
      <c r="K36" s="192"/>
      <c r="L36" s="103"/>
      <c r="M36" s="103"/>
      <c r="N36" s="190"/>
      <c r="O36" s="190"/>
      <c r="P36" s="190"/>
      <c r="Q36" s="190"/>
      <c r="R36" s="190"/>
      <c r="S36" s="190"/>
      <c r="T36" s="190"/>
      <c r="U36" s="190"/>
      <c r="V36" s="190"/>
      <c r="W36" s="190"/>
      <c r="X36" s="190"/>
      <c r="Y36" s="190"/>
      <c r="Z36" s="190"/>
    </row>
    <row r="37" spans="3:35" x14ac:dyDescent="0.25">
      <c r="D37" s="192"/>
      <c r="E37" s="192"/>
      <c r="F37" s="192"/>
      <c r="G37" s="192"/>
      <c r="H37" s="192"/>
      <c r="I37" s="192"/>
      <c r="J37" s="192"/>
      <c r="K37" s="192"/>
      <c r="N37" s="190"/>
      <c r="O37" s="190"/>
      <c r="P37" s="190"/>
      <c r="Q37" s="190"/>
      <c r="R37" s="190"/>
      <c r="S37" s="190"/>
      <c r="T37" s="190"/>
      <c r="U37" s="190"/>
      <c r="V37" s="190"/>
      <c r="W37" s="190"/>
      <c r="X37" s="190"/>
      <c r="Y37" s="190"/>
      <c r="Z37" s="190"/>
    </row>
    <row r="38" spans="3:35" ht="14.45" x14ac:dyDescent="0.3">
      <c r="C38" s="6" t="s">
        <v>26</v>
      </c>
    </row>
    <row r="39" spans="3:35" ht="32.450000000000003" x14ac:dyDescent="0.3">
      <c r="C39" s="17" t="s">
        <v>14</v>
      </c>
      <c r="D39" s="20" t="s">
        <v>21</v>
      </c>
      <c r="E39" s="20" t="s">
        <v>94</v>
      </c>
      <c r="F39" s="17" t="s">
        <v>13</v>
      </c>
      <c r="G39" s="17" t="s">
        <v>15</v>
      </c>
      <c r="H39" s="18" t="s">
        <v>1</v>
      </c>
      <c r="I39" s="19" t="s">
        <v>25</v>
      </c>
      <c r="J39" s="17" t="s">
        <v>2</v>
      </c>
      <c r="K39" s="20" t="s">
        <v>94</v>
      </c>
      <c r="L39" s="20" t="s">
        <v>22</v>
      </c>
      <c r="M39" s="19" t="s">
        <v>8</v>
      </c>
      <c r="N39" s="19" t="s">
        <v>16</v>
      </c>
      <c r="O39" s="19" t="s">
        <v>17</v>
      </c>
      <c r="P39" s="19" t="s">
        <v>18</v>
      </c>
      <c r="Q39" s="20" t="s">
        <v>10</v>
      </c>
      <c r="R39" s="20" t="s">
        <v>23</v>
      </c>
      <c r="S39" s="19" t="s">
        <v>9</v>
      </c>
      <c r="T39" s="19" t="s">
        <v>19</v>
      </c>
      <c r="U39" s="19" t="s">
        <v>20</v>
      </c>
      <c r="V39" s="19" t="s">
        <v>24</v>
      </c>
    </row>
    <row r="40" spans="3:35" ht="14.45" x14ac:dyDescent="0.3">
      <c r="C40" s="68" t="s">
        <v>83</v>
      </c>
      <c r="D40" s="8">
        <v>11000</v>
      </c>
      <c r="E40" s="8">
        <v>252.14</v>
      </c>
      <c r="F40" s="8">
        <v>1</v>
      </c>
      <c r="G40" s="11">
        <f>D40/E40</f>
        <v>43.626556674863174</v>
      </c>
      <c r="H40" s="7"/>
      <c r="I40" s="7"/>
      <c r="J40" s="8" t="s">
        <v>85</v>
      </c>
      <c r="K40" s="8">
        <v>42.39</v>
      </c>
      <c r="L40" s="46">
        <f>87.28*K40</f>
        <v>3699.7991999999999</v>
      </c>
      <c r="M40" s="42" t="s">
        <v>27</v>
      </c>
      <c r="N40" s="44">
        <v>108381</v>
      </c>
      <c r="O40" s="42">
        <v>0.88300000000000001</v>
      </c>
      <c r="P40" s="11">
        <f>N40*O40</f>
        <v>95700.422999999995</v>
      </c>
      <c r="Q40" s="8"/>
      <c r="R40" s="8"/>
      <c r="S40" s="7"/>
      <c r="T40" s="7"/>
      <c r="U40" s="7"/>
      <c r="V40" s="11">
        <f>T40*U40</f>
        <v>0</v>
      </c>
    </row>
    <row r="41" spans="3:35" ht="14.45" x14ac:dyDescent="0.3">
      <c r="C41" s="75" t="s">
        <v>84</v>
      </c>
      <c r="D41" s="8">
        <v>8500</v>
      </c>
      <c r="E41" s="8">
        <v>177.2</v>
      </c>
      <c r="F41" s="8">
        <f>G41/G40</f>
        <v>1.0995228811820232</v>
      </c>
      <c r="G41" s="11">
        <f>D41/E41</f>
        <v>47.968397291196389</v>
      </c>
      <c r="H41" s="1"/>
      <c r="I41" s="1"/>
      <c r="J41" s="25" t="s">
        <v>81</v>
      </c>
      <c r="K41" s="26">
        <v>120.58</v>
      </c>
      <c r="L41" s="46">
        <f>108.54*K41</f>
        <v>13087.753200000001</v>
      </c>
      <c r="M41" s="42"/>
      <c r="N41" s="45"/>
      <c r="O41" s="1"/>
      <c r="P41" s="11"/>
      <c r="Q41" s="8"/>
      <c r="R41" s="8"/>
      <c r="S41" s="7"/>
      <c r="T41" s="7"/>
      <c r="U41" s="7"/>
      <c r="V41" s="11">
        <f t="shared" ref="V41:V42" si="0">T41*U41</f>
        <v>0</v>
      </c>
    </row>
    <row r="42" spans="3:35" ht="14.45" x14ac:dyDescent="0.3">
      <c r="C42" s="8"/>
      <c r="D42" s="8"/>
      <c r="E42" s="8"/>
      <c r="F42" s="8"/>
      <c r="G42" s="10"/>
      <c r="H42" s="1"/>
      <c r="I42" s="1"/>
      <c r="J42" s="25" t="s">
        <v>49</v>
      </c>
      <c r="K42" s="26">
        <v>101.19</v>
      </c>
      <c r="L42" s="46">
        <f>113.64*K42</f>
        <v>11499.231599999999</v>
      </c>
      <c r="M42" s="42"/>
      <c r="N42" s="45"/>
      <c r="O42" s="1"/>
      <c r="P42" s="11"/>
      <c r="Q42" s="8"/>
      <c r="R42" s="8"/>
      <c r="S42" s="7"/>
      <c r="T42" s="7"/>
      <c r="U42" s="7"/>
      <c r="V42" s="11">
        <f t="shared" si="0"/>
        <v>0</v>
      </c>
    </row>
    <row r="43" spans="3:35" ht="14.45" x14ac:dyDescent="0.3">
      <c r="C43" s="10" t="s">
        <v>4</v>
      </c>
      <c r="D43" s="11">
        <f>SUM(D40:D41)</f>
        <v>19500</v>
      </c>
      <c r="E43" s="11">
        <f>SUM(E40:E41)</f>
        <v>429.34</v>
      </c>
      <c r="F43" s="10"/>
      <c r="G43" s="165">
        <f>SUM(G40:G41)</f>
        <v>91.594953966059563</v>
      </c>
      <c r="I43" s="23">
        <f>SUM(I40:I41)</f>
        <v>0</v>
      </c>
      <c r="L43" s="47">
        <f>SUM(L40:L42)</f>
        <v>28286.784</v>
      </c>
      <c r="N43" s="89">
        <f>SUM(N40:N42)</f>
        <v>108381</v>
      </c>
      <c r="P43" s="23">
        <f>SUM(P40:P42)</f>
        <v>95700.422999999995</v>
      </c>
      <c r="R43" s="23">
        <f>SUM(R40:R42)</f>
        <v>0</v>
      </c>
      <c r="V43" s="23">
        <f>SUM(V40:V42)</f>
        <v>0</v>
      </c>
    </row>
    <row r="44" spans="3:35" ht="14.45" x14ac:dyDescent="0.3">
      <c r="C44" s="4"/>
      <c r="D44" s="3"/>
      <c r="E44" s="3"/>
      <c r="F44" s="3"/>
      <c r="G44" s="4"/>
      <c r="H44" s="4"/>
      <c r="I44" s="4"/>
      <c r="M44" s="4"/>
      <c r="N44" s="4"/>
      <c r="O44" s="4"/>
      <c r="P44" s="4"/>
      <c r="Q44" s="4"/>
      <c r="R44" s="4"/>
      <c r="S44" s="4"/>
      <c r="T44" s="4"/>
      <c r="U44" s="4"/>
      <c r="V44" s="4"/>
    </row>
    <row r="45" spans="3:35" ht="14.45" x14ac:dyDescent="0.3">
      <c r="C45" s="4"/>
      <c r="D45" s="3"/>
      <c r="E45" s="3"/>
      <c r="F45" s="3"/>
      <c r="G45" s="4"/>
      <c r="H45" s="4"/>
      <c r="K45" s="162" t="s">
        <v>133</v>
      </c>
      <c r="L45" s="12">
        <f>(T47/G40)*100</f>
        <v>92.951140756260713</v>
      </c>
      <c r="N45" s="49"/>
      <c r="O45" s="4"/>
      <c r="P45" s="4"/>
      <c r="Q45" s="4"/>
      <c r="R45" s="4"/>
      <c r="S45" s="4"/>
    </row>
    <row r="46" spans="3:35" ht="14.45" x14ac:dyDescent="0.3">
      <c r="C46" s="4"/>
      <c r="D46" s="3"/>
      <c r="E46" s="3"/>
      <c r="F46" s="3"/>
      <c r="G46" s="4"/>
      <c r="H46" s="4"/>
      <c r="K46" s="159" t="s">
        <v>134</v>
      </c>
      <c r="L46" s="13">
        <f>(S47/(E43)*100)</f>
        <v>95.80518936041365</v>
      </c>
      <c r="R46" s="5" t="s">
        <v>11</v>
      </c>
      <c r="S46" s="5" t="s">
        <v>12</v>
      </c>
      <c r="T46" s="5" t="s">
        <v>0</v>
      </c>
    </row>
    <row r="47" spans="3:35" ht="14.45" x14ac:dyDescent="0.3">
      <c r="C47" s="4"/>
      <c r="D47" s="3"/>
      <c r="E47" s="3"/>
      <c r="F47" s="3"/>
      <c r="G47" s="4"/>
      <c r="H47" s="4"/>
      <c r="K47" s="162" t="s">
        <v>135</v>
      </c>
      <c r="L47" s="12">
        <f>(R47/D43)*100</f>
        <v>85.538461538461547</v>
      </c>
      <c r="P47" s="4"/>
      <c r="Q47" s="5" t="s">
        <v>3</v>
      </c>
      <c r="R47" s="9">
        <v>16680</v>
      </c>
      <c r="S47" s="9">
        <v>411.33</v>
      </c>
      <c r="T47" s="48">
        <f>R47/S47</f>
        <v>40.551382101961927</v>
      </c>
    </row>
    <row r="48" spans="3:35" ht="16.149999999999999" x14ac:dyDescent="0.3">
      <c r="C48" s="4"/>
      <c r="D48" s="3"/>
      <c r="E48" s="3"/>
      <c r="F48" s="3"/>
      <c r="G48" s="4"/>
      <c r="H48" s="4"/>
      <c r="K48" s="159" t="s">
        <v>136</v>
      </c>
      <c r="L48" s="13">
        <f>(D43+I43+L43+P43+R43+V43)/R47</f>
        <v>8.6023505395683451</v>
      </c>
      <c r="O48" s="4"/>
      <c r="P48" s="4"/>
      <c r="S48" s="65"/>
      <c r="T48" s="3"/>
    </row>
    <row r="49" spans="1:22" ht="16.149999999999999" x14ac:dyDescent="0.3">
      <c r="C49" s="4"/>
      <c r="D49" s="3"/>
      <c r="E49" s="3"/>
      <c r="F49" s="3"/>
      <c r="G49" s="4"/>
      <c r="H49" s="4"/>
      <c r="I49" s="4"/>
      <c r="K49" s="163" t="s">
        <v>137</v>
      </c>
      <c r="L49" s="15">
        <f>(D43+I43+L43)/R47</f>
        <v>2.864915107913669</v>
      </c>
      <c r="O49" s="4"/>
      <c r="P49" s="4"/>
      <c r="S49" s="4"/>
    </row>
    <row r="50" spans="1:22" ht="16.149999999999999" x14ac:dyDescent="0.3">
      <c r="C50" s="4"/>
      <c r="D50" s="3"/>
      <c r="E50" s="3"/>
      <c r="F50" s="3"/>
      <c r="G50" s="4"/>
      <c r="H50" s="4"/>
      <c r="I50" s="4"/>
      <c r="K50" s="164" t="s">
        <v>138</v>
      </c>
      <c r="L50" s="16">
        <f>(P43+V43)/R47</f>
        <v>5.7374354316546761</v>
      </c>
      <c r="M50" s="4"/>
      <c r="N50" s="163" t="s">
        <v>139</v>
      </c>
      <c r="O50" s="93">
        <f>(G40/N43)*1000</f>
        <v>0.4025295639905811</v>
      </c>
      <c r="P50" s="4"/>
      <c r="U50" s="4"/>
      <c r="V50" s="4"/>
    </row>
    <row r="51" spans="1:22" ht="14.45" x14ac:dyDescent="0.3">
      <c r="C51" s="6"/>
      <c r="D51"/>
      <c r="E51" s="3"/>
      <c r="F51" s="3"/>
      <c r="G51" s="4"/>
      <c r="H51" s="4"/>
      <c r="I51" s="4"/>
      <c r="K51" s="4"/>
      <c r="M51" s="4"/>
      <c r="N51" s="4"/>
      <c r="O51" s="4"/>
      <c r="P51" s="4"/>
      <c r="Q51" s="4"/>
      <c r="R51" s="4"/>
      <c r="S51" s="4"/>
      <c r="T51" s="4"/>
      <c r="U51" s="4"/>
      <c r="V51" s="4"/>
    </row>
    <row r="52" spans="1:22" ht="14.45" x14ac:dyDescent="0.3">
      <c r="C52" s="6"/>
      <c r="D52"/>
      <c r="E52" s="3"/>
      <c r="F52" s="3"/>
      <c r="G52" s="4"/>
      <c r="H52" s="4"/>
      <c r="I52" s="4"/>
      <c r="K52" s="4"/>
      <c r="L52" s="4"/>
      <c r="N52" s="4"/>
      <c r="O52" s="4"/>
      <c r="P52" s="4"/>
      <c r="Q52" s="4"/>
      <c r="R52" s="4"/>
      <c r="S52" s="4"/>
      <c r="T52" s="4"/>
      <c r="U52" s="4"/>
      <c r="V52" s="4"/>
    </row>
    <row r="53" spans="1:22" ht="14.45" x14ac:dyDescent="0.3">
      <c r="C53" s="6"/>
      <c r="D53"/>
      <c r="E53" s="3"/>
      <c r="F53" s="3"/>
      <c r="G53" s="4"/>
      <c r="H53" s="4"/>
      <c r="I53" s="4"/>
      <c r="M53" s="4"/>
      <c r="N53" s="4"/>
      <c r="O53" s="4"/>
      <c r="P53" s="4"/>
      <c r="Q53" s="4"/>
      <c r="R53" s="4"/>
      <c r="S53" s="4"/>
      <c r="T53" s="4"/>
      <c r="U53" s="4"/>
      <c r="V53" s="4"/>
    </row>
    <row r="54" spans="1:22" s="29" customFormat="1" ht="14.45" x14ac:dyDescent="0.3">
      <c r="A54" s="28" t="s">
        <v>126</v>
      </c>
      <c r="D54" s="30"/>
      <c r="E54" s="30"/>
      <c r="F54" s="30"/>
    </row>
    <row r="55" spans="1:22" x14ac:dyDescent="0.25">
      <c r="B55" s="4"/>
      <c r="C55" s="6" t="s">
        <v>26</v>
      </c>
      <c r="D55" s="65"/>
      <c r="E55" s="65"/>
      <c r="F55" s="65"/>
    </row>
    <row r="56" spans="1:22" ht="34.5" x14ac:dyDescent="0.25">
      <c r="C56" s="17" t="s">
        <v>14</v>
      </c>
      <c r="D56" s="20" t="s">
        <v>21</v>
      </c>
      <c r="E56" s="20" t="s">
        <v>94</v>
      </c>
      <c r="F56" s="17" t="s">
        <v>13</v>
      </c>
      <c r="G56" s="17" t="s">
        <v>15</v>
      </c>
      <c r="H56" s="18" t="s">
        <v>1</v>
      </c>
      <c r="I56" s="19" t="s">
        <v>25</v>
      </c>
      <c r="J56" s="17" t="s">
        <v>2</v>
      </c>
      <c r="K56" s="20" t="s">
        <v>94</v>
      </c>
      <c r="L56" s="20" t="s">
        <v>22</v>
      </c>
      <c r="M56" s="19" t="s">
        <v>8</v>
      </c>
      <c r="N56" s="19" t="s">
        <v>16</v>
      </c>
      <c r="O56" s="19" t="s">
        <v>17</v>
      </c>
      <c r="P56" s="19" t="s">
        <v>18</v>
      </c>
      <c r="Q56" s="20" t="s">
        <v>10</v>
      </c>
      <c r="R56" s="20" t="s">
        <v>23</v>
      </c>
      <c r="S56" s="19" t="s">
        <v>9</v>
      </c>
      <c r="T56" s="19" t="s">
        <v>19</v>
      </c>
      <c r="U56" s="19" t="s">
        <v>20</v>
      </c>
      <c r="V56" s="19" t="s">
        <v>24</v>
      </c>
    </row>
    <row r="57" spans="1:22" x14ac:dyDescent="0.25">
      <c r="A57" s="41" t="s">
        <v>193</v>
      </c>
      <c r="C57" s="68" t="s">
        <v>119</v>
      </c>
      <c r="D57" s="8">
        <v>2320</v>
      </c>
      <c r="E57" s="8">
        <v>116.16</v>
      </c>
      <c r="F57" s="8">
        <v>1</v>
      </c>
      <c r="G57" s="11">
        <f>D57/E57</f>
        <v>19.97245179063361</v>
      </c>
      <c r="H57" s="7"/>
      <c r="I57" s="7"/>
      <c r="J57" s="8" t="s">
        <v>49</v>
      </c>
      <c r="K57" s="8">
        <v>101.19</v>
      </c>
      <c r="L57" s="46">
        <f>42*K57</f>
        <v>4249.9799999999996</v>
      </c>
      <c r="M57" s="42" t="s">
        <v>47</v>
      </c>
      <c r="N57" s="45">
        <v>49900</v>
      </c>
      <c r="O57" s="1">
        <v>1.33</v>
      </c>
      <c r="P57" s="11">
        <f>N57*O57</f>
        <v>66367</v>
      </c>
      <c r="Q57" s="8"/>
      <c r="R57" s="8"/>
      <c r="S57" s="7"/>
      <c r="T57" s="7"/>
      <c r="U57" s="7"/>
      <c r="V57" s="11">
        <f>T57*U57</f>
        <v>0</v>
      </c>
    </row>
    <row r="58" spans="1:22" x14ac:dyDescent="0.25">
      <c r="C58" s="8" t="s">
        <v>82</v>
      </c>
      <c r="D58" s="8">
        <v>3300</v>
      </c>
      <c r="E58" s="8">
        <v>165.24</v>
      </c>
      <c r="F58" s="8">
        <f>G58/G57</f>
        <v>0.99992487416422504</v>
      </c>
      <c r="G58" s="11">
        <f>D58/E58</f>
        <v>19.970951343500364</v>
      </c>
      <c r="H58" s="1"/>
      <c r="I58" s="1"/>
      <c r="J58" s="25" t="s">
        <v>81</v>
      </c>
      <c r="K58" s="26">
        <v>120.58</v>
      </c>
      <c r="L58" s="46">
        <f>20*K58</f>
        <v>2411.6</v>
      </c>
      <c r="M58" s="42"/>
      <c r="N58" s="2"/>
      <c r="O58" s="1"/>
      <c r="P58" s="11">
        <f>N58*O58</f>
        <v>0</v>
      </c>
      <c r="Q58" s="8"/>
      <c r="R58" s="8"/>
      <c r="S58" s="7"/>
      <c r="T58" s="7"/>
      <c r="U58" s="7"/>
      <c r="V58" s="11">
        <f t="shared" ref="V58" si="1">T58*U58</f>
        <v>0</v>
      </c>
    </row>
    <row r="59" spans="1:22" x14ac:dyDescent="0.25">
      <c r="C59" s="10" t="s">
        <v>4</v>
      </c>
      <c r="D59" s="11">
        <f>SUM(D57:D58)</f>
        <v>5620</v>
      </c>
      <c r="E59" s="11">
        <f>SUM(E57:E58)</f>
        <v>281.39999999999998</v>
      </c>
      <c r="F59" s="10"/>
      <c r="G59" s="165">
        <f>SUM(G57:G58)</f>
        <v>39.943403134133973</v>
      </c>
      <c r="I59" s="23">
        <f>SUM(I57:I58)</f>
        <v>0</v>
      </c>
      <c r="L59" s="47">
        <f>SUM(L57:L58)</f>
        <v>6661.58</v>
      </c>
      <c r="N59" s="89">
        <f>SUM(N57:N58)</f>
        <v>49900</v>
      </c>
      <c r="P59" s="23">
        <f>SUM(P57:P58)</f>
        <v>66367</v>
      </c>
      <c r="R59" s="23">
        <f>SUM(R57:R58)</f>
        <v>0</v>
      </c>
      <c r="V59" s="23">
        <f>SUM(V57:V58)</f>
        <v>0</v>
      </c>
    </row>
    <row r="60" spans="1:22" x14ac:dyDescent="0.25">
      <c r="C60" s="4"/>
      <c r="D60" s="3"/>
      <c r="E60" s="3"/>
      <c r="F60" s="3"/>
      <c r="G60" s="4"/>
      <c r="H60" s="4"/>
      <c r="I60" s="4"/>
      <c r="M60" s="49"/>
      <c r="N60" s="4"/>
      <c r="O60" s="4"/>
      <c r="P60" s="4"/>
      <c r="Q60" s="4"/>
      <c r="R60" s="4"/>
      <c r="S60" s="4"/>
      <c r="T60" s="4"/>
      <c r="U60" s="4"/>
      <c r="V60" s="4"/>
    </row>
    <row r="61" spans="1:22" x14ac:dyDescent="0.25">
      <c r="C61" s="4"/>
      <c r="D61" s="3"/>
      <c r="E61" s="3"/>
      <c r="F61" s="3"/>
      <c r="G61" s="4"/>
      <c r="H61" s="4"/>
      <c r="K61" s="162" t="s">
        <v>133</v>
      </c>
      <c r="L61" s="12">
        <f>(T63/G57)*100</f>
        <v>100</v>
      </c>
      <c r="M61" s="49"/>
      <c r="O61" s="4"/>
      <c r="P61" s="4"/>
      <c r="Q61" s="4"/>
      <c r="R61" s="4"/>
      <c r="S61" s="4"/>
    </row>
    <row r="62" spans="1:22" x14ac:dyDescent="0.25">
      <c r="C62" s="4"/>
      <c r="D62" s="3"/>
      <c r="E62" s="3"/>
      <c r="F62" s="3"/>
      <c r="G62" s="4"/>
      <c r="H62" s="4"/>
      <c r="K62" s="159" t="s">
        <v>134</v>
      </c>
      <c r="L62" s="13">
        <f>(S63/(E59)*100)</f>
        <v>93.596304193319128</v>
      </c>
      <c r="M62" s="49"/>
      <c r="R62" s="5" t="s">
        <v>11</v>
      </c>
      <c r="S62" s="5" t="s">
        <v>12</v>
      </c>
      <c r="T62" s="5" t="s">
        <v>0</v>
      </c>
    </row>
    <row r="63" spans="1:22" x14ac:dyDescent="0.25">
      <c r="C63" s="4"/>
      <c r="D63" s="3"/>
      <c r="E63" s="3"/>
      <c r="F63" s="3"/>
      <c r="G63" s="4"/>
      <c r="H63" s="4"/>
      <c r="K63" s="162" t="s">
        <v>135</v>
      </c>
      <c r="L63" s="12">
        <f>(R63/D59)*100</f>
        <v>93.600433320588621</v>
      </c>
      <c r="P63" s="4"/>
      <c r="Q63" s="5" t="s">
        <v>3</v>
      </c>
      <c r="R63" s="9">
        <f>T63*S63</f>
        <v>5260.3443526170804</v>
      </c>
      <c r="S63" s="9">
        <v>263.38</v>
      </c>
      <c r="T63" s="22">
        <f>G57</f>
        <v>19.97245179063361</v>
      </c>
    </row>
    <row r="64" spans="1:22" ht="17.25" x14ac:dyDescent="0.25">
      <c r="C64" s="4"/>
      <c r="D64" s="3"/>
      <c r="E64" s="3"/>
      <c r="F64" s="3"/>
      <c r="G64" s="4"/>
      <c r="H64" s="4"/>
      <c r="K64" s="159" t="s">
        <v>136</v>
      </c>
      <c r="L64" s="13">
        <f>(D59+I59+L59+P59+R59+V59)/R63</f>
        <v>14.951222720024298</v>
      </c>
      <c r="O64" s="4"/>
      <c r="P64" s="4"/>
      <c r="S64" s="65"/>
      <c r="T64" s="3"/>
    </row>
    <row r="65" spans="1:22" ht="17.25" x14ac:dyDescent="0.25">
      <c r="C65" s="4"/>
      <c r="D65" s="3"/>
      <c r="E65" s="3"/>
      <c r="F65" s="3"/>
      <c r="G65" s="4"/>
      <c r="H65" s="4"/>
      <c r="I65" s="4"/>
      <c r="K65" s="163" t="s">
        <v>137</v>
      </c>
      <c r="L65" s="15">
        <f>(D59+I59+L59)/R63</f>
        <v>2.3347482934058825</v>
      </c>
      <c r="N65" s="163" t="s">
        <v>139</v>
      </c>
      <c r="O65" s="93">
        <f>G57/N59*1000</f>
        <v>0.40024953488243703</v>
      </c>
      <c r="P65" s="4"/>
      <c r="S65" s="4"/>
    </row>
    <row r="66" spans="1:22" ht="17.25" x14ac:dyDescent="0.25">
      <c r="C66" s="4"/>
      <c r="D66" s="3"/>
      <c r="E66" s="3"/>
      <c r="F66" s="3"/>
      <c r="G66" s="4"/>
      <c r="H66" s="4"/>
      <c r="I66" s="4"/>
      <c r="K66" s="164" t="s">
        <v>138</v>
      </c>
      <c r="L66" s="16">
        <f>(P59+V59)/R63</f>
        <v>12.616474426618415</v>
      </c>
      <c r="M66" s="4"/>
      <c r="N66" s="4"/>
      <c r="O66" s="4"/>
      <c r="P66" s="4"/>
      <c r="U66" s="4"/>
      <c r="V66" s="4"/>
    </row>
    <row r="67" spans="1:22" x14ac:dyDescent="0.25">
      <c r="C67" s="6"/>
      <c r="D67"/>
      <c r="E67" s="3"/>
      <c r="F67" s="3"/>
      <c r="G67" s="4"/>
      <c r="H67" s="4"/>
      <c r="I67" s="4"/>
      <c r="K67" s="4"/>
      <c r="M67" s="4"/>
      <c r="P67" s="4"/>
      <c r="Q67" s="4"/>
      <c r="R67" s="4"/>
      <c r="S67" s="4"/>
      <c r="T67" s="4"/>
      <c r="U67" s="4"/>
      <c r="V67" s="4"/>
    </row>
    <row r="68" spans="1:22" x14ac:dyDescent="0.25">
      <c r="B68" s="4"/>
      <c r="C68" s="6" t="s">
        <v>26</v>
      </c>
      <c r="D68" s="65"/>
      <c r="E68" s="65"/>
      <c r="F68" s="65"/>
    </row>
    <row r="69" spans="1:22" ht="34.5" x14ac:dyDescent="0.25">
      <c r="C69" s="17" t="s">
        <v>14</v>
      </c>
      <c r="D69" s="20" t="s">
        <v>21</v>
      </c>
      <c r="E69" s="20" t="s">
        <v>94</v>
      </c>
      <c r="F69" s="17" t="s">
        <v>13</v>
      </c>
      <c r="G69" s="17" t="s">
        <v>15</v>
      </c>
      <c r="H69" s="18" t="s">
        <v>1</v>
      </c>
      <c r="I69" s="19" t="s">
        <v>25</v>
      </c>
      <c r="J69" s="17" t="s">
        <v>2</v>
      </c>
      <c r="K69" s="20" t="s">
        <v>94</v>
      </c>
      <c r="L69" s="20" t="s">
        <v>22</v>
      </c>
      <c r="M69" s="19" t="s">
        <v>8</v>
      </c>
      <c r="N69" s="19" t="s">
        <v>16</v>
      </c>
      <c r="O69" s="19" t="s">
        <v>17</v>
      </c>
      <c r="P69" s="19" t="s">
        <v>18</v>
      </c>
      <c r="Q69" s="20" t="s">
        <v>10</v>
      </c>
      <c r="R69" s="20" t="s">
        <v>23</v>
      </c>
      <c r="S69" s="19" t="s">
        <v>9</v>
      </c>
      <c r="T69" s="19" t="s">
        <v>19</v>
      </c>
      <c r="U69" s="19" t="s">
        <v>20</v>
      </c>
      <c r="V69" s="19" t="s">
        <v>24</v>
      </c>
    </row>
    <row r="70" spans="1:22" x14ac:dyDescent="0.25">
      <c r="A70" s="41" t="s">
        <v>194</v>
      </c>
      <c r="C70" s="68" t="s">
        <v>83</v>
      </c>
      <c r="D70" s="8">
        <v>11000</v>
      </c>
      <c r="E70" s="8">
        <v>252.14</v>
      </c>
      <c r="F70" s="8">
        <v>1</v>
      </c>
      <c r="G70" s="11">
        <f>D70/E70</f>
        <v>43.626556674863174</v>
      </c>
      <c r="H70" s="7"/>
      <c r="I70" s="7"/>
      <c r="J70" s="8" t="s">
        <v>85</v>
      </c>
      <c r="K70" s="8">
        <v>42.39</v>
      </c>
      <c r="L70" s="46">
        <f>87.28*K70</f>
        <v>3699.7991999999999</v>
      </c>
      <c r="M70" s="42" t="s">
        <v>27</v>
      </c>
      <c r="N70" s="44">
        <v>109000</v>
      </c>
      <c r="O70" s="42">
        <v>0.88300000000000001</v>
      </c>
      <c r="P70" s="11">
        <f>N70*O70</f>
        <v>96247</v>
      </c>
      <c r="Q70" s="8"/>
      <c r="R70" s="8"/>
      <c r="S70" s="7"/>
      <c r="T70" s="7"/>
      <c r="U70" s="7"/>
      <c r="V70" s="11">
        <f>T70*U70</f>
        <v>0</v>
      </c>
    </row>
    <row r="71" spans="1:22" x14ac:dyDescent="0.25">
      <c r="C71" s="75" t="s">
        <v>84</v>
      </c>
      <c r="D71" s="8">
        <v>8500</v>
      </c>
      <c r="E71" s="8">
        <v>177.2</v>
      </c>
      <c r="F71" s="8">
        <f>G71/G70</f>
        <v>1.0995228811820232</v>
      </c>
      <c r="G71" s="11">
        <f>D71/E71</f>
        <v>47.968397291196389</v>
      </c>
      <c r="H71" s="1"/>
      <c r="I71" s="1"/>
      <c r="J71" s="25" t="s">
        <v>81</v>
      </c>
      <c r="K71" s="26">
        <v>120.58</v>
      </c>
      <c r="L71" s="46">
        <f>108.54*K71</f>
        <v>13087.753200000001</v>
      </c>
      <c r="M71" s="42"/>
      <c r="N71" s="45"/>
      <c r="O71" s="1"/>
      <c r="P71" s="11"/>
      <c r="Q71" s="8"/>
      <c r="R71" s="8"/>
      <c r="S71" s="7"/>
      <c r="T71" s="7"/>
      <c r="U71" s="7"/>
      <c r="V71" s="11">
        <f t="shared" ref="V71:V72" si="2">T71*U71</f>
        <v>0</v>
      </c>
    </row>
    <row r="72" spans="1:22" x14ac:dyDescent="0.25">
      <c r="C72" s="8"/>
      <c r="D72" s="8"/>
      <c r="E72" s="8"/>
      <c r="F72" s="8"/>
      <c r="G72" s="10"/>
      <c r="H72" s="1"/>
      <c r="I72" s="1"/>
      <c r="J72" s="25" t="s">
        <v>49</v>
      </c>
      <c r="K72" s="26">
        <v>101.19</v>
      </c>
      <c r="L72" s="46">
        <f>113.64*K72</f>
        <v>11499.231599999999</v>
      </c>
      <c r="M72" s="42"/>
      <c r="N72" s="45"/>
      <c r="O72" s="1"/>
      <c r="P72" s="11"/>
      <c r="Q72" s="8"/>
      <c r="R72" s="8"/>
      <c r="S72" s="7"/>
      <c r="T72" s="7"/>
      <c r="U72" s="7"/>
      <c r="V72" s="11">
        <f t="shared" si="2"/>
        <v>0</v>
      </c>
    </row>
    <row r="73" spans="1:22" x14ac:dyDescent="0.25">
      <c r="C73" s="10" t="s">
        <v>4</v>
      </c>
      <c r="D73" s="11">
        <f>SUM(D70:D71)</f>
        <v>19500</v>
      </c>
      <c r="E73" s="11">
        <f>SUM(E70:E71)</f>
        <v>429.34</v>
      </c>
      <c r="F73" s="10"/>
      <c r="G73" s="165">
        <f>SUM(G70:G71)</f>
        <v>91.594953966059563</v>
      </c>
      <c r="I73" s="23">
        <f>SUM(I70:I71)</f>
        <v>0</v>
      </c>
      <c r="L73" s="47">
        <f>SUM(L70:L72)</f>
        <v>28286.784</v>
      </c>
      <c r="N73" s="89">
        <f>SUM(N70:N72)</f>
        <v>109000</v>
      </c>
      <c r="P73" s="23">
        <f>SUM(P70:P72)</f>
        <v>96247</v>
      </c>
      <c r="R73" s="23">
        <f>SUM(R70:R72)</f>
        <v>0</v>
      </c>
      <c r="V73" s="23">
        <f>SUM(V70:V72)</f>
        <v>0</v>
      </c>
    </row>
    <row r="74" spans="1:22" x14ac:dyDescent="0.25">
      <c r="C74" s="4"/>
      <c r="D74" s="3"/>
      <c r="E74" s="3"/>
      <c r="F74" s="3"/>
      <c r="G74" s="4"/>
      <c r="H74" s="4"/>
      <c r="I74" s="4"/>
      <c r="M74" s="4"/>
      <c r="N74" s="4"/>
      <c r="O74" s="4"/>
      <c r="P74" s="4"/>
      <c r="Q74" s="4"/>
      <c r="R74" s="4"/>
      <c r="S74" s="4"/>
      <c r="T74" s="4"/>
      <c r="U74" s="4"/>
      <c r="V74" s="4"/>
    </row>
    <row r="75" spans="1:22" x14ac:dyDescent="0.25">
      <c r="C75" s="4"/>
      <c r="D75" s="3"/>
      <c r="E75" s="3"/>
      <c r="F75" s="3"/>
      <c r="G75" s="4"/>
      <c r="H75" s="4"/>
      <c r="K75" s="162" t="s">
        <v>133</v>
      </c>
      <c r="L75" s="12">
        <f>(T77/G70)*100</f>
        <v>92.951140756260713</v>
      </c>
      <c r="N75" s="49"/>
      <c r="O75" s="4"/>
      <c r="P75" s="4"/>
      <c r="Q75" s="4"/>
      <c r="R75" s="4"/>
      <c r="S75" s="4"/>
    </row>
    <row r="76" spans="1:22" x14ac:dyDescent="0.25">
      <c r="C76" s="4"/>
      <c r="D76" s="3"/>
      <c r="E76" s="3"/>
      <c r="F76" s="3"/>
      <c r="G76" s="4"/>
      <c r="H76" s="4"/>
      <c r="K76" s="159" t="s">
        <v>134</v>
      </c>
      <c r="L76" s="13">
        <f>(S77/(E73)*100)</f>
        <v>95.80518936041365</v>
      </c>
      <c r="R76" s="5" t="s">
        <v>11</v>
      </c>
      <c r="S76" s="5" t="s">
        <v>12</v>
      </c>
      <c r="T76" s="5" t="s">
        <v>0</v>
      </c>
    </row>
    <row r="77" spans="1:22" x14ac:dyDescent="0.25">
      <c r="C77" s="4"/>
      <c r="D77" s="3"/>
      <c r="E77" s="3"/>
      <c r="F77" s="3"/>
      <c r="G77" s="4"/>
      <c r="H77" s="4"/>
      <c r="K77" s="162" t="s">
        <v>135</v>
      </c>
      <c r="L77" s="12">
        <f>(R77/D73)*100</f>
        <v>85.538461538461547</v>
      </c>
      <c r="P77" s="4"/>
      <c r="Q77" s="5" t="s">
        <v>3</v>
      </c>
      <c r="R77" s="9">
        <v>16680</v>
      </c>
      <c r="S77" s="9">
        <v>411.33</v>
      </c>
      <c r="T77" s="48">
        <f>R77/S77</f>
        <v>40.551382101961927</v>
      </c>
    </row>
    <row r="78" spans="1:22" ht="17.25" x14ac:dyDescent="0.25">
      <c r="C78" s="4"/>
      <c r="D78" s="3"/>
      <c r="E78" s="3"/>
      <c r="F78" s="3"/>
      <c r="G78" s="4"/>
      <c r="H78" s="4"/>
      <c r="K78" s="159" t="s">
        <v>136</v>
      </c>
      <c r="L78" s="13">
        <f>(D73+I73+L73+P73+R73+V73)/R77</f>
        <v>8.6351189448441232</v>
      </c>
      <c r="O78" s="4"/>
      <c r="P78" s="4"/>
      <c r="S78" s="65"/>
      <c r="T78" s="3"/>
    </row>
    <row r="79" spans="1:22" ht="17.25" x14ac:dyDescent="0.25">
      <c r="C79" s="4"/>
      <c r="D79" s="3"/>
      <c r="E79" s="3"/>
      <c r="F79" s="3"/>
      <c r="G79" s="4"/>
      <c r="H79" s="4"/>
      <c r="I79" s="4"/>
      <c r="K79" s="163" t="s">
        <v>137</v>
      </c>
      <c r="L79" s="15">
        <f>(D73+I73+L73)/R77</f>
        <v>2.864915107913669</v>
      </c>
      <c r="O79" s="4"/>
      <c r="P79" s="4"/>
      <c r="S79" s="4"/>
    </row>
    <row r="80" spans="1:22" ht="17.25" x14ac:dyDescent="0.25">
      <c r="C80" s="4"/>
      <c r="D80" s="3"/>
      <c r="E80" s="3"/>
      <c r="F80" s="3"/>
      <c r="G80" s="4"/>
      <c r="H80" s="4"/>
      <c r="I80" s="4"/>
      <c r="K80" s="164" t="s">
        <v>138</v>
      </c>
      <c r="L80" s="16">
        <f>(P73+V73)/R77</f>
        <v>5.770203836930456</v>
      </c>
      <c r="M80" s="4"/>
      <c r="N80" s="163" t="s">
        <v>139</v>
      </c>
      <c r="O80" s="93">
        <f>(G70/N73)*1000</f>
        <v>0.40024363921892819</v>
      </c>
      <c r="P80" s="4"/>
      <c r="U80" s="4"/>
      <c r="V80" s="4"/>
    </row>
    <row r="81" spans="1:22" x14ac:dyDescent="0.25">
      <c r="C81" s="6"/>
      <c r="D81"/>
      <c r="E81" s="3"/>
      <c r="F81" s="3"/>
      <c r="G81" s="4"/>
      <c r="H81" s="4"/>
      <c r="I81" s="4"/>
      <c r="K81" s="4"/>
      <c r="M81" s="4"/>
      <c r="N81" s="4"/>
      <c r="O81" s="4"/>
      <c r="P81" s="4"/>
      <c r="Q81" s="4"/>
      <c r="R81" s="4"/>
      <c r="S81" s="4"/>
      <c r="T81" s="4"/>
      <c r="U81" s="4"/>
      <c r="V81" s="4"/>
    </row>
    <row r="82" spans="1:22" x14ac:dyDescent="0.25">
      <c r="C82" s="6"/>
      <c r="D82"/>
      <c r="E82" s="3"/>
      <c r="F82" s="3"/>
      <c r="G82" s="4"/>
      <c r="H82" s="4"/>
      <c r="I82" s="4"/>
      <c r="M82" s="4"/>
      <c r="N82" s="4"/>
      <c r="O82" s="4"/>
      <c r="P82" s="4"/>
      <c r="Q82" s="4"/>
      <c r="R82" s="4"/>
      <c r="S82" s="4"/>
      <c r="T82" s="4"/>
      <c r="U82" s="4"/>
      <c r="V82" s="4"/>
    </row>
    <row r="83" spans="1:22" s="29" customFormat="1" x14ac:dyDescent="0.25">
      <c r="A83" s="28" t="s">
        <v>108</v>
      </c>
      <c r="D83" s="30"/>
      <c r="E83" s="30"/>
      <c r="F83" s="30"/>
    </row>
    <row r="84" spans="1:22" x14ac:dyDescent="0.25">
      <c r="B84" s="4"/>
      <c r="C84" s="6" t="s">
        <v>26</v>
      </c>
      <c r="D84" s="65"/>
      <c r="E84" s="65"/>
      <c r="F84" s="65"/>
    </row>
    <row r="85" spans="1:22" ht="34.5" x14ac:dyDescent="0.25">
      <c r="C85" s="17" t="s">
        <v>14</v>
      </c>
      <c r="D85" s="20" t="s">
        <v>21</v>
      </c>
      <c r="E85" s="20" t="s">
        <v>94</v>
      </c>
      <c r="F85" s="17" t="s">
        <v>13</v>
      </c>
      <c r="G85" s="17" t="s">
        <v>15</v>
      </c>
      <c r="H85" s="18" t="s">
        <v>1</v>
      </c>
      <c r="I85" s="19" t="s">
        <v>25</v>
      </c>
      <c r="J85" s="17" t="s">
        <v>2</v>
      </c>
      <c r="K85" s="20" t="s">
        <v>94</v>
      </c>
      <c r="L85" s="20" t="s">
        <v>22</v>
      </c>
      <c r="M85" s="19" t="s">
        <v>8</v>
      </c>
      <c r="N85" s="19" t="s">
        <v>16</v>
      </c>
      <c r="O85" s="19" t="s">
        <v>17</v>
      </c>
      <c r="P85" s="19" t="s">
        <v>18</v>
      </c>
      <c r="Q85" s="20" t="s">
        <v>10</v>
      </c>
      <c r="R85" s="20" t="s">
        <v>23</v>
      </c>
      <c r="S85" s="19" t="s">
        <v>9</v>
      </c>
      <c r="T85" s="19" t="s">
        <v>19</v>
      </c>
      <c r="U85" s="19" t="s">
        <v>20</v>
      </c>
      <c r="V85" s="19" t="s">
        <v>24</v>
      </c>
    </row>
    <row r="86" spans="1:22" x14ac:dyDescent="0.25">
      <c r="A86" s="41" t="s">
        <v>193</v>
      </c>
      <c r="C86" s="68" t="s">
        <v>119</v>
      </c>
      <c r="D86" s="8">
        <v>2320</v>
      </c>
      <c r="E86" s="8">
        <v>116.16</v>
      </c>
      <c r="F86" s="8">
        <v>1</v>
      </c>
      <c r="G86" s="11">
        <f>D86/E86</f>
        <v>19.97245179063361</v>
      </c>
      <c r="H86" s="7"/>
      <c r="I86" s="7"/>
      <c r="J86" s="8" t="s">
        <v>49</v>
      </c>
      <c r="K86" s="8">
        <v>101.19</v>
      </c>
      <c r="L86" s="46">
        <f>42*K86</f>
        <v>4249.9799999999996</v>
      </c>
      <c r="M86" s="42" t="s">
        <v>47</v>
      </c>
      <c r="N86" s="45">
        <v>14000</v>
      </c>
      <c r="O86" s="1">
        <v>1.33</v>
      </c>
      <c r="P86" s="11">
        <f>N86*O86</f>
        <v>18620</v>
      </c>
      <c r="Q86" s="8"/>
      <c r="R86" s="8"/>
      <c r="S86" s="7"/>
      <c r="T86" s="7"/>
      <c r="U86" s="7"/>
      <c r="V86" s="11">
        <f>T86*U86</f>
        <v>0</v>
      </c>
    </row>
    <row r="87" spans="1:22" x14ac:dyDescent="0.25">
      <c r="C87" s="8" t="s">
        <v>82</v>
      </c>
      <c r="D87" s="8">
        <v>3300</v>
      </c>
      <c r="E87" s="8">
        <v>165.24</v>
      </c>
      <c r="F87" s="8">
        <f>G87/G86</f>
        <v>0.99992487416422504</v>
      </c>
      <c r="G87" s="11">
        <f>D87/E87</f>
        <v>19.970951343500364</v>
      </c>
      <c r="H87" s="1"/>
      <c r="I87" s="1"/>
      <c r="J87" s="25" t="s">
        <v>81</v>
      </c>
      <c r="K87" s="26">
        <v>120.58</v>
      </c>
      <c r="L87" s="46">
        <f>20*K87</f>
        <v>2411.6</v>
      </c>
      <c r="M87" s="42"/>
      <c r="N87" s="2"/>
      <c r="O87" s="1"/>
      <c r="P87" s="11"/>
      <c r="Q87" s="8"/>
      <c r="R87" s="8"/>
      <c r="S87" s="7"/>
      <c r="T87" s="7"/>
      <c r="U87" s="7"/>
      <c r="V87" s="11">
        <f t="shared" ref="V87" si="3">T87*U87</f>
        <v>0</v>
      </c>
    </row>
    <row r="88" spans="1:22" x14ac:dyDescent="0.25">
      <c r="C88" s="10" t="s">
        <v>4</v>
      </c>
      <c r="D88" s="11">
        <f>SUM(D86:D87)</f>
        <v>5620</v>
      </c>
      <c r="E88" s="11">
        <f>SUM(E86:E87)</f>
        <v>281.39999999999998</v>
      </c>
      <c r="F88" s="10"/>
      <c r="G88" s="165">
        <f>SUM(G86:G87)</f>
        <v>39.943403134133973</v>
      </c>
      <c r="I88" s="23">
        <f>SUM(I86:I87)</f>
        <v>0</v>
      </c>
      <c r="L88" s="47">
        <f>SUM(L86:L87)</f>
        <v>6661.58</v>
      </c>
      <c r="N88" s="89">
        <f>SUM(N85:N87)</f>
        <v>14000</v>
      </c>
      <c r="P88" s="23">
        <f>SUM(P86:P87)</f>
        <v>18620</v>
      </c>
      <c r="R88" s="23">
        <f>SUM(R86:R87)</f>
        <v>0</v>
      </c>
      <c r="V88" s="23">
        <f>SUM(V86:V87)</f>
        <v>0</v>
      </c>
    </row>
    <row r="89" spans="1:22" x14ac:dyDescent="0.25">
      <c r="C89" s="4"/>
      <c r="D89" s="3"/>
      <c r="E89" s="3"/>
      <c r="F89" s="3"/>
      <c r="G89" s="4"/>
      <c r="H89" s="4"/>
      <c r="I89" s="4"/>
      <c r="M89" s="49"/>
      <c r="N89" s="4"/>
      <c r="O89" s="4"/>
      <c r="P89" s="4"/>
      <c r="Q89" s="4"/>
      <c r="R89" s="4"/>
      <c r="S89" s="4"/>
      <c r="T89" s="4"/>
      <c r="U89" s="4"/>
      <c r="V89" s="4"/>
    </row>
    <row r="90" spans="1:22" x14ac:dyDescent="0.25">
      <c r="C90" s="4"/>
      <c r="D90" s="3"/>
      <c r="E90" s="3"/>
      <c r="F90" s="3"/>
      <c r="G90" s="4"/>
      <c r="H90" s="4"/>
      <c r="K90" s="162" t="s">
        <v>133</v>
      </c>
      <c r="L90" s="12">
        <f>(T92/G86)*100</f>
        <v>90.000000000000014</v>
      </c>
      <c r="M90" s="49"/>
      <c r="O90" s="4"/>
      <c r="P90" s="4"/>
      <c r="Q90" s="4"/>
      <c r="R90" s="4"/>
      <c r="S90" s="4"/>
    </row>
    <row r="91" spans="1:22" x14ac:dyDescent="0.25">
      <c r="C91" s="4"/>
      <c r="D91" s="3"/>
      <c r="E91" s="3"/>
      <c r="F91" s="3"/>
      <c r="G91" s="4"/>
      <c r="H91" s="4"/>
      <c r="K91" s="159" t="s">
        <v>134</v>
      </c>
      <c r="L91" s="13">
        <f>(S92/(E88)*100)</f>
        <v>93.596304193319128</v>
      </c>
      <c r="M91" s="49"/>
      <c r="R91" s="5" t="s">
        <v>11</v>
      </c>
      <c r="S91" s="5" t="s">
        <v>12</v>
      </c>
      <c r="T91" s="5" t="s">
        <v>0</v>
      </c>
    </row>
    <row r="92" spans="1:22" x14ac:dyDescent="0.25">
      <c r="C92" s="4"/>
      <c r="D92" s="3"/>
      <c r="E92" s="3"/>
      <c r="F92" s="3"/>
      <c r="G92" s="4"/>
      <c r="H92" s="4"/>
      <c r="K92" s="162" t="s">
        <v>135</v>
      </c>
      <c r="L92" s="12">
        <f>(R92/D88)*100</f>
        <v>84.240389988529756</v>
      </c>
      <c r="P92" s="4"/>
      <c r="Q92" s="5" t="s">
        <v>3</v>
      </c>
      <c r="R92" s="9">
        <f>T92*S92</f>
        <v>4734.3099173553728</v>
      </c>
      <c r="S92" s="9">
        <v>263.38</v>
      </c>
      <c r="T92" s="22">
        <f>G86*0.9</f>
        <v>17.97520661157025</v>
      </c>
    </row>
    <row r="93" spans="1:22" ht="17.25" x14ac:dyDescent="0.25">
      <c r="C93" s="4"/>
      <c r="D93" s="3"/>
      <c r="E93" s="3"/>
      <c r="F93" s="3"/>
      <c r="G93" s="4"/>
      <c r="H93" s="4"/>
      <c r="K93" s="159" t="s">
        <v>136</v>
      </c>
      <c r="L93" s="13">
        <f>(D88+I88+L88+P88+R88+V88)/R92</f>
        <v>6.5271561303409342</v>
      </c>
      <c r="O93" s="4"/>
      <c r="P93" s="4"/>
      <c r="S93" s="65"/>
      <c r="T93" s="3"/>
    </row>
    <row r="94" spans="1:22" ht="17.25" x14ac:dyDescent="0.25">
      <c r="C94" s="4"/>
      <c r="D94" s="3"/>
      <c r="E94" s="3"/>
      <c r="F94" s="3"/>
      <c r="G94" s="4"/>
      <c r="H94" s="4"/>
      <c r="I94" s="4"/>
      <c r="K94" s="163" t="s">
        <v>137</v>
      </c>
      <c r="L94" s="15">
        <f>(D88+I88+L88)/R92</f>
        <v>2.59416477045098</v>
      </c>
      <c r="N94" s="163" t="s">
        <v>139</v>
      </c>
      <c r="O94" s="88">
        <f>G86/N88*1000</f>
        <v>1.4266036993309721</v>
      </c>
      <c r="P94" s="4"/>
      <c r="S94" s="4"/>
    </row>
    <row r="95" spans="1:22" ht="17.25" x14ac:dyDescent="0.25">
      <c r="C95" s="4"/>
      <c r="D95" s="3"/>
      <c r="E95" s="3"/>
      <c r="F95" s="3"/>
      <c r="G95" s="4"/>
      <c r="H95" s="4"/>
      <c r="I95" s="4"/>
      <c r="K95" s="164" t="s">
        <v>138</v>
      </c>
      <c r="L95" s="16">
        <f>(P88+V88)/R92</f>
        <v>3.9329913598899533</v>
      </c>
      <c r="M95" s="4"/>
      <c r="N95" s="4"/>
      <c r="O95" s="4"/>
      <c r="P95" s="4"/>
      <c r="U95" s="4"/>
      <c r="V95" s="4"/>
    </row>
    <row r="96" spans="1:22" x14ac:dyDescent="0.25">
      <c r="C96" s="6"/>
      <c r="D96"/>
      <c r="E96" s="3"/>
      <c r="F96" s="3"/>
      <c r="G96" s="4"/>
      <c r="H96" s="4"/>
      <c r="I96" s="4"/>
      <c r="K96" s="4"/>
      <c r="M96" s="4"/>
      <c r="P96" s="4"/>
      <c r="Q96" s="4"/>
      <c r="R96" s="4"/>
      <c r="S96" s="4"/>
      <c r="T96" s="4"/>
      <c r="U96" s="4"/>
      <c r="V96" s="4"/>
    </row>
    <row r="97" spans="1:22" x14ac:dyDescent="0.25">
      <c r="B97" s="4"/>
      <c r="C97" s="6" t="s">
        <v>26</v>
      </c>
      <c r="D97" s="65"/>
      <c r="E97" s="65"/>
      <c r="F97" s="65"/>
    </row>
    <row r="98" spans="1:22" ht="34.5" x14ac:dyDescent="0.25">
      <c r="C98" s="17" t="s">
        <v>14</v>
      </c>
      <c r="D98" s="20" t="s">
        <v>21</v>
      </c>
      <c r="E98" s="20" t="s">
        <v>94</v>
      </c>
      <c r="F98" s="17" t="s">
        <v>13</v>
      </c>
      <c r="G98" s="17" t="s">
        <v>15</v>
      </c>
      <c r="H98" s="18" t="s">
        <v>1</v>
      </c>
      <c r="I98" s="19" t="s">
        <v>25</v>
      </c>
      <c r="J98" s="17" t="s">
        <v>2</v>
      </c>
      <c r="K98" s="20" t="s">
        <v>94</v>
      </c>
      <c r="L98" s="20" t="s">
        <v>22</v>
      </c>
      <c r="M98" s="19" t="s">
        <v>8</v>
      </c>
      <c r="N98" s="19" t="s">
        <v>16</v>
      </c>
      <c r="O98" s="19" t="s">
        <v>17</v>
      </c>
      <c r="P98" s="19" t="s">
        <v>18</v>
      </c>
      <c r="Q98" s="20" t="s">
        <v>10</v>
      </c>
      <c r="R98" s="20" t="s">
        <v>23</v>
      </c>
      <c r="S98" s="19" t="s">
        <v>9</v>
      </c>
      <c r="T98" s="19" t="s">
        <v>19</v>
      </c>
      <c r="U98" s="19" t="s">
        <v>20</v>
      </c>
      <c r="V98" s="19" t="s">
        <v>24</v>
      </c>
    </row>
    <row r="99" spans="1:22" x14ac:dyDescent="0.25">
      <c r="A99" s="41" t="s">
        <v>194</v>
      </c>
      <c r="C99" s="68" t="s">
        <v>83</v>
      </c>
      <c r="D99" s="8">
        <v>11000</v>
      </c>
      <c r="E99" s="8">
        <v>252.14</v>
      </c>
      <c r="F99" s="8">
        <v>1</v>
      </c>
      <c r="G99" s="11">
        <f>D99/E99</f>
        <v>43.626556674863174</v>
      </c>
      <c r="H99" s="7"/>
      <c r="I99" s="7"/>
      <c r="J99" s="8" t="s">
        <v>85</v>
      </c>
      <c r="K99" s="8">
        <v>42.39</v>
      </c>
      <c r="L99" s="46">
        <f>87.28*K99</f>
        <v>3699.7991999999999</v>
      </c>
      <c r="M99" s="42" t="s">
        <v>27</v>
      </c>
      <c r="N99" s="44">
        <v>108381</v>
      </c>
      <c r="O99" s="42">
        <v>0.88300000000000001</v>
      </c>
      <c r="P99" s="11">
        <f>N99*O99</f>
        <v>95700.422999999995</v>
      </c>
      <c r="Q99" s="8"/>
      <c r="R99" s="8"/>
      <c r="S99" s="7"/>
      <c r="T99" s="7"/>
      <c r="U99" s="7"/>
      <c r="V99" s="11">
        <f>T99*U99</f>
        <v>0</v>
      </c>
    </row>
    <row r="100" spans="1:22" x14ac:dyDescent="0.25">
      <c r="C100" s="75" t="s">
        <v>84</v>
      </c>
      <c r="D100" s="8">
        <v>8500</v>
      </c>
      <c r="E100" s="8">
        <v>177.2</v>
      </c>
      <c r="F100" s="8">
        <f>G100/G99</f>
        <v>1.0995228811820232</v>
      </c>
      <c r="G100" s="11">
        <f>D100/E100</f>
        <v>47.968397291196389</v>
      </c>
      <c r="H100" s="1"/>
      <c r="I100" s="1"/>
      <c r="J100" s="25" t="s">
        <v>81</v>
      </c>
      <c r="K100" s="26">
        <v>120.58</v>
      </c>
      <c r="L100" s="46">
        <f>108.54*K100</f>
        <v>13087.753200000001</v>
      </c>
      <c r="M100" s="42"/>
      <c r="N100" s="45"/>
      <c r="O100" s="1"/>
      <c r="P100" s="11"/>
      <c r="Q100" s="8"/>
      <c r="R100" s="8"/>
      <c r="S100" s="7"/>
      <c r="T100" s="7"/>
      <c r="U100" s="7"/>
      <c r="V100" s="11">
        <f t="shared" ref="V100:V101" si="4">T100*U100</f>
        <v>0</v>
      </c>
    </row>
    <row r="101" spans="1:22" x14ac:dyDescent="0.25">
      <c r="C101" s="8"/>
      <c r="D101" s="8"/>
      <c r="E101" s="8"/>
      <c r="F101" s="8"/>
      <c r="G101" s="10"/>
      <c r="H101" s="1"/>
      <c r="I101" s="1"/>
      <c r="J101" s="25" t="s">
        <v>49</v>
      </c>
      <c r="K101" s="26">
        <v>101.19</v>
      </c>
      <c r="L101" s="46">
        <f>113.64*K101</f>
        <v>11499.231599999999</v>
      </c>
      <c r="M101" s="42"/>
      <c r="N101" s="45"/>
      <c r="O101" s="1"/>
      <c r="P101" s="11"/>
      <c r="Q101" s="8"/>
      <c r="R101" s="8"/>
      <c r="S101" s="7"/>
      <c r="T101" s="7"/>
      <c r="U101" s="7"/>
      <c r="V101" s="11">
        <f t="shared" si="4"/>
        <v>0</v>
      </c>
    </row>
    <row r="102" spans="1:22" x14ac:dyDescent="0.25">
      <c r="C102" s="10" t="s">
        <v>4</v>
      </c>
      <c r="D102" s="11">
        <f>SUM(D99:D100)</f>
        <v>19500</v>
      </c>
      <c r="E102" s="11">
        <f>SUM(E99:E100)</f>
        <v>429.34</v>
      </c>
      <c r="F102" s="10"/>
      <c r="G102" s="165">
        <f>SUM(G99:G100)</f>
        <v>91.594953966059563</v>
      </c>
      <c r="I102" s="23">
        <f>SUM(I99:I100)</f>
        <v>0</v>
      </c>
      <c r="L102" s="47">
        <f>SUM(L99:L101)</f>
        <v>28286.784</v>
      </c>
      <c r="N102" s="89">
        <f>SUM(N99:N101)</f>
        <v>108381</v>
      </c>
      <c r="P102" s="23">
        <f>SUM(P99:P101)</f>
        <v>95700.422999999995</v>
      </c>
      <c r="R102" s="23">
        <f>SUM(R99:R101)</f>
        <v>0</v>
      </c>
      <c r="V102" s="23">
        <f>SUM(V99:V101)</f>
        <v>0</v>
      </c>
    </row>
    <row r="103" spans="1:22" x14ac:dyDescent="0.25">
      <c r="C103" s="4"/>
      <c r="D103" s="3"/>
      <c r="E103" s="3"/>
      <c r="F103" s="3"/>
      <c r="G103" s="4"/>
      <c r="H103" s="4"/>
      <c r="I103" s="4"/>
      <c r="M103" s="4"/>
      <c r="N103" s="4"/>
      <c r="O103" s="4"/>
      <c r="P103" s="4"/>
      <c r="Q103" s="4"/>
      <c r="R103" s="4"/>
      <c r="S103" s="4"/>
      <c r="T103" s="4"/>
      <c r="U103" s="4"/>
      <c r="V103" s="4"/>
    </row>
    <row r="104" spans="1:22" x14ac:dyDescent="0.25">
      <c r="C104" s="4"/>
      <c r="D104" s="3"/>
      <c r="E104" s="3"/>
      <c r="F104" s="3"/>
      <c r="G104" s="4"/>
      <c r="H104" s="4"/>
      <c r="K104" s="162" t="s">
        <v>133</v>
      </c>
      <c r="L104" s="12">
        <f>(T106/G99)*100</f>
        <v>90</v>
      </c>
      <c r="N104" s="49"/>
      <c r="O104" s="4"/>
      <c r="P104" s="4"/>
      <c r="Q104" s="4"/>
      <c r="R104" s="4"/>
      <c r="S104" s="4"/>
    </row>
    <row r="105" spans="1:22" x14ac:dyDescent="0.25">
      <c r="C105" s="4"/>
      <c r="D105" s="3"/>
      <c r="E105" s="3"/>
      <c r="F105" s="3"/>
      <c r="G105" s="4"/>
      <c r="H105" s="4"/>
      <c r="K105" s="159" t="s">
        <v>134</v>
      </c>
      <c r="L105" s="13">
        <f>(S106/(E102)*100)</f>
        <v>95.80518936041365</v>
      </c>
      <c r="R105" s="5" t="s">
        <v>11</v>
      </c>
      <c r="S105" s="5" t="s">
        <v>12</v>
      </c>
      <c r="T105" s="5" t="s">
        <v>0</v>
      </c>
    </row>
    <row r="106" spans="1:22" x14ac:dyDescent="0.25">
      <c r="C106" s="4"/>
      <c r="D106" s="3"/>
      <c r="E106" s="3"/>
      <c r="F106" s="3"/>
      <c r="G106" s="4"/>
      <c r="H106" s="4"/>
      <c r="K106" s="162" t="s">
        <v>135</v>
      </c>
      <c r="L106" s="12">
        <f>(R106/D102)*100</f>
        <v>82.822668724945245</v>
      </c>
      <c r="P106" s="4"/>
      <c r="Q106" s="5" t="s">
        <v>3</v>
      </c>
      <c r="R106" s="9">
        <f>T106*S106</f>
        <v>16150.420401364323</v>
      </c>
      <c r="S106" s="9">
        <v>411.33</v>
      </c>
      <c r="T106" s="48">
        <f>G99*0.9</f>
        <v>39.263901007376859</v>
      </c>
    </row>
    <row r="107" spans="1:22" ht="17.25" x14ac:dyDescent="0.25">
      <c r="C107" s="4"/>
      <c r="D107" s="3"/>
      <c r="E107" s="3"/>
      <c r="F107" s="3"/>
      <c r="G107" s="4"/>
      <c r="H107" s="4"/>
      <c r="K107" s="159" t="s">
        <v>136</v>
      </c>
      <c r="L107" s="13">
        <f>(D102+I102+L102+P102+R102+V102)/R106</f>
        <v>8.8844255093123632</v>
      </c>
      <c r="O107" s="4"/>
      <c r="P107" s="4"/>
      <c r="S107" s="65"/>
      <c r="T107" s="3"/>
    </row>
    <row r="108" spans="1:22" ht="17.25" x14ac:dyDescent="0.25">
      <c r="C108" s="4"/>
      <c r="D108" s="3"/>
      <c r="E108" s="3"/>
      <c r="F108" s="3"/>
      <c r="G108" s="4"/>
      <c r="H108" s="4"/>
      <c r="I108" s="4"/>
      <c r="K108" s="163" t="s">
        <v>137</v>
      </c>
      <c r="L108" s="15">
        <f>(D102+I102+L102)/R106</f>
        <v>2.9588569716713482</v>
      </c>
      <c r="O108" s="4"/>
      <c r="P108" s="4"/>
      <c r="S108" s="4"/>
    </row>
    <row r="109" spans="1:22" ht="17.25" x14ac:dyDescent="0.25">
      <c r="C109" s="4"/>
      <c r="D109" s="3"/>
      <c r="E109" s="3"/>
      <c r="F109" s="3"/>
      <c r="G109" s="4"/>
      <c r="H109" s="4"/>
      <c r="I109" s="4"/>
      <c r="K109" s="164" t="s">
        <v>138</v>
      </c>
      <c r="L109" s="16">
        <f>(P102+V102)/R106</f>
        <v>5.9255685376410145</v>
      </c>
      <c r="M109" s="4"/>
      <c r="N109" s="163" t="s">
        <v>139</v>
      </c>
      <c r="O109" s="88">
        <f>(G99/N102)*1000</f>
        <v>0.4025295639905811</v>
      </c>
      <c r="P109" s="4"/>
      <c r="U109" s="4"/>
      <c r="V109" s="4"/>
    </row>
    <row r="110" spans="1:22" x14ac:dyDescent="0.25">
      <c r="C110" s="6"/>
      <c r="D110"/>
      <c r="E110" s="3"/>
      <c r="F110" s="3"/>
      <c r="G110" s="4"/>
      <c r="H110" s="4"/>
      <c r="I110" s="4"/>
      <c r="K110" s="4"/>
      <c r="M110" s="4"/>
      <c r="N110" s="4"/>
      <c r="O110" s="4"/>
      <c r="P110" s="4"/>
      <c r="Q110" s="4"/>
      <c r="R110" s="4"/>
      <c r="S110" s="4"/>
      <c r="T110" s="4"/>
      <c r="U110" s="4"/>
      <c r="V110" s="4"/>
    </row>
    <row r="111" spans="1:22" x14ac:dyDescent="0.25">
      <c r="C111" s="6"/>
      <c r="D111"/>
      <c r="E111" s="3"/>
      <c r="F111" s="3"/>
      <c r="G111" s="4"/>
      <c r="H111" s="4"/>
      <c r="I111" s="4"/>
      <c r="M111" s="4"/>
      <c r="N111" s="4"/>
      <c r="O111" s="4"/>
      <c r="P111" s="4"/>
      <c r="Q111" s="4"/>
      <c r="R111" s="4"/>
      <c r="S111" s="4"/>
      <c r="T111" s="4"/>
      <c r="U111" s="4"/>
      <c r="V111" s="4"/>
    </row>
    <row r="112" spans="1:22" s="29" customFormat="1" ht="14.25" customHeight="1" x14ac:dyDescent="0.25">
      <c r="A112" s="28" t="s">
        <v>105</v>
      </c>
      <c r="D112" s="30"/>
      <c r="E112" s="30"/>
      <c r="F112" s="30"/>
    </row>
    <row r="113" spans="1:22" x14ac:dyDescent="0.25">
      <c r="B113" s="4"/>
      <c r="C113" s="6" t="s">
        <v>26</v>
      </c>
      <c r="D113" s="65"/>
      <c r="E113" s="65"/>
      <c r="F113" s="65"/>
    </row>
    <row r="114" spans="1:22" ht="34.5" x14ac:dyDescent="0.25">
      <c r="C114" s="17" t="s">
        <v>14</v>
      </c>
      <c r="D114" s="20" t="s">
        <v>21</v>
      </c>
      <c r="E114" s="20" t="s">
        <v>94</v>
      </c>
      <c r="F114" s="17" t="s">
        <v>13</v>
      </c>
      <c r="G114" s="17" t="s">
        <v>15</v>
      </c>
      <c r="H114" s="18" t="s">
        <v>1</v>
      </c>
      <c r="I114" s="19" t="s">
        <v>25</v>
      </c>
      <c r="J114" s="17" t="s">
        <v>2</v>
      </c>
      <c r="K114" s="20" t="s">
        <v>94</v>
      </c>
      <c r="L114" s="20" t="s">
        <v>22</v>
      </c>
      <c r="M114" s="19" t="s">
        <v>8</v>
      </c>
      <c r="N114" s="19" t="s">
        <v>16</v>
      </c>
      <c r="O114" s="19" t="s">
        <v>17</v>
      </c>
      <c r="P114" s="19" t="s">
        <v>18</v>
      </c>
      <c r="Q114" s="20" t="s">
        <v>10</v>
      </c>
      <c r="R114" s="20" t="s">
        <v>23</v>
      </c>
      <c r="S114" s="19" t="s">
        <v>9</v>
      </c>
      <c r="T114" s="19" t="s">
        <v>19</v>
      </c>
      <c r="U114" s="19" t="s">
        <v>20</v>
      </c>
      <c r="V114" s="19" t="s">
        <v>24</v>
      </c>
    </row>
    <row r="115" spans="1:22" x14ac:dyDescent="0.25">
      <c r="A115" s="41" t="s">
        <v>193</v>
      </c>
      <c r="C115" s="68" t="s">
        <v>119</v>
      </c>
      <c r="D115" s="8">
        <v>2320</v>
      </c>
      <c r="E115" s="8">
        <v>116.16</v>
      </c>
      <c r="F115" s="8">
        <v>1</v>
      </c>
      <c r="G115" s="11">
        <f>D115/E115</f>
        <v>19.97245179063361</v>
      </c>
      <c r="H115" s="7"/>
      <c r="I115" s="7"/>
      <c r="J115" s="8" t="s">
        <v>49</v>
      </c>
      <c r="K115" s="8">
        <v>101.19</v>
      </c>
      <c r="L115" s="46">
        <f>42*K115</f>
        <v>4249.9799999999996</v>
      </c>
      <c r="M115" s="42" t="s">
        <v>47</v>
      </c>
      <c r="N115" s="45">
        <v>49900</v>
      </c>
      <c r="O115" s="1">
        <v>1.33</v>
      </c>
      <c r="P115" s="11">
        <f>N115*O115</f>
        <v>66367</v>
      </c>
      <c r="Q115" s="8"/>
      <c r="R115" s="8"/>
      <c r="S115" s="7"/>
      <c r="T115" s="7"/>
      <c r="U115" s="7"/>
      <c r="V115" s="11">
        <f>T115*U115</f>
        <v>0</v>
      </c>
    </row>
    <row r="116" spans="1:22" x14ac:dyDescent="0.25">
      <c r="C116" s="8" t="s">
        <v>82</v>
      </c>
      <c r="D116" s="8">
        <v>3300</v>
      </c>
      <c r="E116" s="8">
        <v>165.24</v>
      </c>
      <c r="F116" s="8">
        <f>G116/G115</f>
        <v>0.99992487416422504</v>
      </c>
      <c r="G116" s="11">
        <f>D116/E116</f>
        <v>19.970951343500364</v>
      </c>
      <c r="H116" s="1"/>
      <c r="I116" s="1"/>
      <c r="J116" s="25" t="s">
        <v>81</v>
      </c>
      <c r="K116" s="26">
        <v>120.58</v>
      </c>
      <c r="L116" s="46">
        <f>20*K116</f>
        <v>2411.6</v>
      </c>
      <c r="M116" s="42"/>
      <c r="N116" s="2"/>
      <c r="O116" s="1"/>
      <c r="P116" s="11"/>
      <c r="Q116" s="8"/>
      <c r="R116" s="8"/>
      <c r="S116" s="7"/>
      <c r="T116" s="7"/>
      <c r="U116" s="7"/>
      <c r="V116" s="11">
        <f t="shared" ref="V116" si="5">T116*U116</f>
        <v>0</v>
      </c>
    </row>
    <row r="117" spans="1:22" x14ac:dyDescent="0.25">
      <c r="C117" s="10" t="s">
        <v>4</v>
      </c>
      <c r="D117" s="11">
        <f>SUM(D115:D116)</f>
        <v>5620</v>
      </c>
      <c r="E117" s="11">
        <f>SUM(E115:E116)</f>
        <v>281.39999999999998</v>
      </c>
      <c r="F117" s="10"/>
      <c r="G117" s="165">
        <f>SUM(G115:G116)</f>
        <v>39.943403134133973</v>
      </c>
      <c r="I117" s="23">
        <f>SUM(I115:I116)</f>
        <v>0</v>
      </c>
      <c r="L117" s="47">
        <f>SUM(L115:L116)</f>
        <v>6661.58</v>
      </c>
      <c r="N117" s="89">
        <f>SUM(N114:N116)</f>
        <v>49900</v>
      </c>
      <c r="P117" s="23">
        <f>SUM(P115:P116)</f>
        <v>66367</v>
      </c>
      <c r="R117" s="23">
        <f>SUM(R115:R116)</f>
        <v>0</v>
      </c>
      <c r="V117" s="23">
        <f>SUM(V115:V116)</f>
        <v>0</v>
      </c>
    </row>
    <row r="118" spans="1:22" x14ac:dyDescent="0.25">
      <c r="C118" s="4"/>
      <c r="D118" s="3"/>
      <c r="E118" s="3"/>
      <c r="F118" s="3"/>
      <c r="G118" s="4"/>
      <c r="H118" s="4"/>
      <c r="I118" s="4"/>
      <c r="M118" s="49"/>
      <c r="N118" s="4"/>
      <c r="O118" s="4"/>
      <c r="P118" s="4"/>
      <c r="Q118" s="4"/>
      <c r="R118" s="4"/>
      <c r="S118" s="4"/>
      <c r="T118" s="4"/>
      <c r="U118" s="4"/>
      <c r="V118" s="4"/>
    </row>
    <row r="119" spans="1:22" x14ac:dyDescent="0.25">
      <c r="C119" s="4"/>
      <c r="D119" s="3"/>
      <c r="E119" s="3"/>
      <c r="F119" s="3"/>
      <c r="G119" s="4"/>
      <c r="H119" s="4"/>
      <c r="K119" s="162" t="s">
        <v>133</v>
      </c>
      <c r="L119" s="12">
        <f>(T121/G115)*100</f>
        <v>90.000000000000014</v>
      </c>
      <c r="M119" s="49"/>
      <c r="O119" s="4"/>
      <c r="P119" s="4"/>
      <c r="Q119" s="4"/>
      <c r="R119" s="4"/>
      <c r="S119" s="4"/>
    </row>
    <row r="120" spans="1:22" x14ac:dyDescent="0.25">
      <c r="C120" s="4"/>
      <c r="D120" s="3"/>
      <c r="E120" s="3"/>
      <c r="F120" s="3"/>
      <c r="G120" s="4"/>
      <c r="H120" s="4"/>
      <c r="K120" s="159" t="s">
        <v>134</v>
      </c>
      <c r="L120" s="13">
        <f>(S121/(E117)*100)</f>
        <v>93.596304193319128</v>
      </c>
      <c r="M120" s="49"/>
      <c r="R120" s="5" t="s">
        <v>11</v>
      </c>
      <c r="S120" s="5" t="s">
        <v>12</v>
      </c>
      <c r="T120" s="5" t="s">
        <v>0</v>
      </c>
    </row>
    <row r="121" spans="1:22" x14ac:dyDescent="0.25">
      <c r="C121" s="4"/>
      <c r="D121" s="3"/>
      <c r="E121" s="3"/>
      <c r="F121" s="3"/>
      <c r="G121" s="4"/>
      <c r="H121" s="4"/>
      <c r="K121" s="162" t="s">
        <v>135</v>
      </c>
      <c r="L121" s="12">
        <f>(R121/D117)*100</f>
        <v>84.240389988529756</v>
      </c>
      <c r="P121" s="4"/>
      <c r="Q121" s="5" t="s">
        <v>3</v>
      </c>
      <c r="R121" s="9">
        <f>T121*S121</f>
        <v>4734.3099173553728</v>
      </c>
      <c r="S121" s="9">
        <v>263.38</v>
      </c>
      <c r="T121" s="22">
        <f>G115*0.9</f>
        <v>17.97520661157025</v>
      </c>
    </row>
    <row r="122" spans="1:22" ht="17.25" x14ac:dyDescent="0.25">
      <c r="C122" s="4"/>
      <c r="D122" s="3"/>
      <c r="E122" s="3"/>
      <c r="F122" s="3"/>
      <c r="G122" s="4"/>
      <c r="H122" s="4"/>
      <c r="K122" s="159" t="s">
        <v>136</v>
      </c>
      <c r="L122" s="13">
        <f>(D117+I117+L117+P117+R117+V117)/R121</f>
        <v>16.612469688915887</v>
      </c>
      <c r="O122" s="4"/>
      <c r="P122" s="4"/>
      <c r="S122" s="65"/>
      <c r="T122" s="3"/>
    </row>
    <row r="123" spans="1:22" ht="17.25" x14ac:dyDescent="0.25">
      <c r="C123" s="4"/>
      <c r="D123" s="3"/>
      <c r="E123" s="3"/>
      <c r="F123" s="3"/>
      <c r="G123" s="4"/>
      <c r="H123" s="4"/>
      <c r="I123" s="4"/>
      <c r="K123" s="163" t="s">
        <v>137</v>
      </c>
      <c r="L123" s="15">
        <f>(D117+I117+L117)/R121</f>
        <v>2.59416477045098</v>
      </c>
      <c r="N123" s="163" t="s">
        <v>139</v>
      </c>
      <c r="O123" s="88">
        <f>G115/N117*1000</f>
        <v>0.40024953488243703</v>
      </c>
      <c r="P123" s="4"/>
      <c r="S123" s="4"/>
    </row>
    <row r="124" spans="1:22" ht="17.25" x14ac:dyDescent="0.25">
      <c r="C124" s="4"/>
      <c r="D124" s="3"/>
      <c r="E124" s="3"/>
      <c r="F124" s="3"/>
      <c r="G124" s="4"/>
      <c r="H124" s="4"/>
      <c r="I124" s="4"/>
      <c r="K124" s="164" t="s">
        <v>138</v>
      </c>
      <c r="L124" s="16">
        <f>(P117+V117)/R121</f>
        <v>14.018304918464905</v>
      </c>
      <c r="M124" s="4"/>
      <c r="N124" s="4"/>
      <c r="O124" s="4"/>
      <c r="P124" s="4"/>
      <c r="U124" s="4"/>
      <c r="V124" s="4"/>
    </row>
    <row r="125" spans="1:22" x14ac:dyDescent="0.25">
      <c r="C125" s="6"/>
      <c r="D125"/>
      <c r="E125" s="3"/>
      <c r="F125" s="3"/>
      <c r="G125" s="4"/>
      <c r="H125" s="4"/>
      <c r="I125" s="4"/>
      <c r="K125" s="4"/>
      <c r="M125" s="4"/>
      <c r="P125" s="4"/>
      <c r="Q125" s="4"/>
      <c r="R125" s="4"/>
      <c r="S125" s="4"/>
      <c r="T125" s="4"/>
      <c r="U125" s="4"/>
      <c r="V125" s="4"/>
    </row>
    <row r="126" spans="1:22" x14ac:dyDescent="0.25">
      <c r="B126" s="4"/>
      <c r="C126" s="6" t="s">
        <v>26</v>
      </c>
      <c r="D126" s="65"/>
      <c r="E126" s="65"/>
      <c r="F126" s="65"/>
    </row>
    <row r="127" spans="1:22" ht="34.5" x14ac:dyDescent="0.25">
      <c r="C127" s="17" t="s">
        <v>14</v>
      </c>
      <c r="D127" s="20" t="s">
        <v>21</v>
      </c>
      <c r="E127" s="20" t="s">
        <v>94</v>
      </c>
      <c r="F127" s="17" t="s">
        <v>13</v>
      </c>
      <c r="G127" s="17" t="s">
        <v>15</v>
      </c>
      <c r="H127" s="18" t="s">
        <v>1</v>
      </c>
      <c r="I127" s="19" t="s">
        <v>25</v>
      </c>
      <c r="J127" s="17" t="s">
        <v>2</v>
      </c>
      <c r="K127" s="20" t="s">
        <v>94</v>
      </c>
      <c r="L127" s="20" t="s">
        <v>22</v>
      </c>
      <c r="M127" s="19" t="s">
        <v>8</v>
      </c>
      <c r="N127" s="19" t="s">
        <v>16</v>
      </c>
      <c r="O127" s="19" t="s">
        <v>17</v>
      </c>
      <c r="P127" s="19" t="s">
        <v>18</v>
      </c>
      <c r="Q127" s="20" t="s">
        <v>10</v>
      </c>
      <c r="R127" s="20" t="s">
        <v>23</v>
      </c>
      <c r="S127" s="19" t="s">
        <v>9</v>
      </c>
      <c r="T127" s="19" t="s">
        <v>19</v>
      </c>
      <c r="U127" s="19" t="s">
        <v>20</v>
      </c>
      <c r="V127" s="19" t="s">
        <v>24</v>
      </c>
    </row>
    <row r="128" spans="1:22" x14ac:dyDescent="0.25">
      <c r="A128" s="41" t="s">
        <v>194</v>
      </c>
      <c r="C128" s="68" t="s">
        <v>83</v>
      </c>
      <c r="D128" s="8">
        <v>11000</v>
      </c>
      <c r="E128" s="8">
        <v>252.14</v>
      </c>
      <c r="F128" s="8">
        <v>1</v>
      </c>
      <c r="G128" s="11">
        <f>D128/E128</f>
        <v>43.626556674863174</v>
      </c>
      <c r="H128" s="7"/>
      <c r="I128" s="7"/>
      <c r="J128" s="8" t="s">
        <v>85</v>
      </c>
      <c r="K128" s="8">
        <v>42.39</v>
      </c>
      <c r="L128" s="46">
        <f>87.28*K128</f>
        <v>3699.7991999999999</v>
      </c>
      <c r="M128" s="42" t="s">
        <v>27</v>
      </c>
      <c r="N128" s="44">
        <v>109000</v>
      </c>
      <c r="O128" s="42">
        <v>0.88300000000000001</v>
      </c>
      <c r="P128" s="11">
        <f>N128*O128</f>
        <v>96247</v>
      </c>
      <c r="Q128" s="8"/>
      <c r="R128" s="8"/>
      <c r="S128" s="7"/>
      <c r="T128" s="7"/>
      <c r="U128" s="7"/>
      <c r="V128" s="11">
        <f>T128*U128</f>
        <v>0</v>
      </c>
    </row>
    <row r="129" spans="1:22" x14ac:dyDescent="0.25">
      <c r="C129" s="75" t="s">
        <v>84</v>
      </c>
      <c r="D129" s="8">
        <v>8500</v>
      </c>
      <c r="E129" s="8">
        <v>177.2</v>
      </c>
      <c r="F129" s="8">
        <f>G129/G128</f>
        <v>1.0995228811820232</v>
      </c>
      <c r="G129" s="11">
        <f>D129/E129</f>
        <v>47.968397291196389</v>
      </c>
      <c r="H129" s="1"/>
      <c r="I129" s="1"/>
      <c r="J129" s="25" t="s">
        <v>81</v>
      </c>
      <c r="K129" s="26">
        <v>120.58</v>
      </c>
      <c r="L129" s="46">
        <f>108.54*K129</f>
        <v>13087.753200000001</v>
      </c>
      <c r="M129" s="42"/>
      <c r="N129" s="45"/>
      <c r="O129" s="1"/>
      <c r="P129" s="11"/>
      <c r="Q129" s="8"/>
      <c r="R129" s="8"/>
      <c r="S129" s="7"/>
      <c r="T129" s="7"/>
      <c r="U129" s="7"/>
      <c r="V129" s="11">
        <f t="shared" ref="V129:V130" si="6">T129*U129</f>
        <v>0</v>
      </c>
    </row>
    <row r="130" spans="1:22" x14ac:dyDescent="0.25">
      <c r="C130" s="8"/>
      <c r="D130" s="8"/>
      <c r="E130" s="8"/>
      <c r="F130" s="8"/>
      <c r="G130" s="10"/>
      <c r="H130" s="1"/>
      <c r="I130" s="1"/>
      <c r="J130" s="25" t="s">
        <v>49</v>
      </c>
      <c r="K130" s="26">
        <v>101.19</v>
      </c>
      <c r="L130" s="46">
        <f>113.64*K130</f>
        <v>11499.231599999999</v>
      </c>
      <c r="M130" s="42"/>
      <c r="N130" s="45"/>
      <c r="O130" s="1"/>
      <c r="P130" s="11"/>
      <c r="Q130" s="8"/>
      <c r="R130" s="8"/>
      <c r="S130" s="7"/>
      <c r="T130" s="7"/>
      <c r="U130" s="7"/>
      <c r="V130" s="11">
        <f t="shared" si="6"/>
        <v>0</v>
      </c>
    </row>
    <row r="131" spans="1:22" x14ac:dyDescent="0.25">
      <c r="C131" s="10" t="s">
        <v>4</v>
      </c>
      <c r="D131" s="11">
        <f>SUM(D128:D129)</f>
        <v>19500</v>
      </c>
      <c r="E131" s="11">
        <f>SUM(E128:E129)</f>
        <v>429.34</v>
      </c>
      <c r="F131" s="10"/>
      <c r="G131" s="165">
        <f>SUM(G128:G129)</f>
        <v>91.594953966059563</v>
      </c>
      <c r="I131" s="23">
        <f>SUM(I128:I129)</f>
        <v>0</v>
      </c>
      <c r="L131" s="47">
        <f>SUM(L128:L130)</f>
        <v>28286.784</v>
      </c>
      <c r="N131" s="89">
        <f>SUM(N128:N130)</f>
        <v>109000</v>
      </c>
      <c r="P131" s="23">
        <f>SUM(P128:P130)</f>
        <v>96247</v>
      </c>
      <c r="R131" s="23">
        <f>SUM(R128:R130)</f>
        <v>0</v>
      </c>
      <c r="V131" s="23">
        <f>SUM(V128:V130)</f>
        <v>0</v>
      </c>
    </row>
    <row r="132" spans="1:22" x14ac:dyDescent="0.25">
      <c r="C132" s="4"/>
      <c r="D132" s="3"/>
      <c r="E132" s="3"/>
      <c r="F132" s="3"/>
      <c r="G132" s="4"/>
      <c r="H132" s="4"/>
      <c r="I132" s="4"/>
      <c r="M132" s="4"/>
      <c r="N132" s="4"/>
      <c r="O132" s="4"/>
      <c r="P132" s="4"/>
      <c r="Q132" s="4"/>
      <c r="R132" s="4"/>
      <c r="S132" s="4"/>
      <c r="T132" s="4"/>
      <c r="U132" s="4"/>
      <c r="V132" s="4"/>
    </row>
    <row r="133" spans="1:22" x14ac:dyDescent="0.25">
      <c r="C133" s="4"/>
      <c r="D133" s="3"/>
      <c r="E133" s="3"/>
      <c r="F133" s="3"/>
      <c r="G133" s="4"/>
      <c r="H133" s="4"/>
      <c r="K133" s="162" t="s">
        <v>133</v>
      </c>
      <c r="L133" s="12">
        <f>(T135/G128)*100</f>
        <v>90</v>
      </c>
      <c r="N133" s="49"/>
      <c r="O133" s="4"/>
      <c r="P133" s="4"/>
      <c r="Q133" s="4"/>
      <c r="R133" s="4"/>
      <c r="S133" s="4"/>
    </row>
    <row r="134" spans="1:22" x14ac:dyDescent="0.25">
      <c r="C134" s="4"/>
      <c r="D134" s="3"/>
      <c r="E134" s="3"/>
      <c r="F134" s="3"/>
      <c r="G134" s="4"/>
      <c r="H134" s="4"/>
      <c r="K134" s="159" t="s">
        <v>134</v>
      </c>
      <c r="L134" s="13">
        <f>(S135/(E131)*100)</f>
        <v>95.80518936041365</v>
      </c>
      <c r="R134" s="5" t="s">
        <v>11</v>
      </c>
      <c r="S134" s="5" t="s">
        <v>12</v>
      </c>
      <c r="T134" s="5" t="s">
        <v>0</v>
      </c>
    </row>
    <row r="135" spans="1:22" x14ac:dyDescent="0.25">
      <c r="C135" s="4"/>
      <c r="D135" s="3"/>
      <c r="E135" s="3"/>
      <c r="F135" s="3"/>
      <c r="G135" s="4"/>
      <c r="H135" s="4"/>
      <c r="K135" s="162" t="s">
        <v>135</v>
      </c>
      <c r="L135" s="12">
        <f>(R135/D131)*100</f>
        <v>82.822668724945245</v>
      </c>
      <c r="P135" s="4"/>
      <c r="Q135" s="5" t="s">
        <v>3</v>
      </c>
      <c r="R135" s="9">
        <f>T135*S135</f>
        <v>16150.420401364323</v>
      </c>
      <c r="S135" s="9">
        <v>411.33</v>
      </c>
      <c r="T135" s="48">
        <f>G128*0.9</f>
        <v>39.263901007376859</v>
      </c>
    </row>
    <row r="136" spans="1:22" ht="17.25" x14ac:dyDescent="0.25">
      <c r="C136" s="4"/>
      <c r="D136" s="3"/>
      <c r="E136" s="3"/>
      <c r="F136" s="3"/>
      <c r="G136" s="4"/>
      <c r="H136" s="4"/>
      <c r="K136" s="159" t="s">
        <v>136</v>
      </c>
      <c r="L136" s="13">
        <f>(D131+I131+L131+P131+R131+V131)/R135</f>
        <v>8.9182684054362191</v>
      </c>
      <c r="O136" s="4"/>
      <c r="P136" s="4"/>
      <c r="S136" s="65"/>
      <c r="T136" s="3"/>
    </row>
    <row r="137" spans="1:22" ht="17.25" x14ac:dyDescent="0.25">
      <c r="C137" s="4"/>
      <c r="D137" s="3"/>
      <c r="E137" s="3"/>
      <c r="F137" s="3"/>
      <c r="G137" s="4"/>
      <c r="H137" s="4"/>
      <c r="I137" s="4"/>
      <c r="K137" s="163" t="s">
        <v>137</v>
      </c>
      <c r="L137" s="15">
        <f>(D131+I131+L131)/R135</f>
        <v>2.9588569716713482</v>
      </c>
      <c r="O137" s="74"/>
      <c r="P137" s="4"/>
      <c r="S137" s="4"/>
    </row>
    <row r="138" spans="1:22" ht="17.25" x14ac:dyDescent="0.25">
      <c r="C138" s="4"/>
      <c r="D138" s="3"/>
      <c r="E138" s="3"/>
      <c r="F138" s="3"/>
      <c r="G138" s="4"/>
      <c r="H138" s="4"/>
      <c r="I138" s="4"/>
      <c r="K138" s="164" t="s">
        <v>138</v>
      </c>
      <c r="L138" s="16">
        <f>(P131+V131)/R135</f>
        <v>5.9594114337648723</v>
      </c>
      <c r="M138" s="4"/>
      <c r="N138" s="163" t="s">
        <v>139</v>
      </c>
      <c r="O138" s="88">
        <f>(G128/N131)*1000</f>
        <v>0.40024363921892819</v>
      </c>
      <c r="P138" s="4"/>
      <c r="U138" s="4"/>
      <c r="V138" s="4"/>
    </row>
    <row r="139" spans="1:22" x14ac:dyDescent="0.25">
      <c r="C139" s="6"/>
      <c r="D139"/>
      <c r="E139" s="3"/>
      <c r="F139" s="3"/>
      <c r="G139" s="4"/>
      <c r="H139" s="4"/>
      <c r="I139" s="4"/>
      <c r="K139" s="4"/>
      <c r="M139" s="4"/>
      <c r="N139" s="4"/>
      <c r="O139" s="4"/>
      <c r="P139" s="4"/>
      <c r="Q139" s="4"/>
      <c r="R139" s="4"/>
      <c r="S139" s="4"/>
      <c r="T139" s="4"/>
      <c r="U139" s="4"/>
      <c r="V139" s="4"/>
    </row>
    <row r="140" spans="1:22" x14ac:dyDescent="0.25">
      <c r="C140" s="6"/>
      <c r="D140"/>
      <c r="E140" s="3"/>
      <c r="F140" s="3"/>
      <c r="G140" s="4"/>
      <c r="H140" s="4"/>
      <c r="I140" s="4"/>
      <c r="M140" s="4"/>
      <c r="N140" s="4"/>
      <c r="O140" s="4"/>
      <c r="P140" s="4"/>
      <c r="Q140" s="4"/>
      <c r="R140" s="4"/>
      <c r="S140" s="4"/>
      <c r="T140" s="4"/>
      <c r="U140" s="4"/>
      <c r="V140" s="4"/>
    </row>
    <row r="141" spans="1:22" s="29" customFormat="1" x14ac:dyDescent="0.25">
      <c r="A141" s="28" t="s">
        <v>106</v>
      </c>
      <c r="D141" s="30"/>
      <c r="E141" s="30"/>
      <c r="F141" s="30"/>
    </row>
    <row r="142" spans="1:22" x14ac:dyDescent="0.25">
      <c r="B142" s="4"/>
      <c r="C142" s="6" t="s">
        <v>26</v>
      </c>
      <c r="D142" s="81"/>
      <c r="E142" s="81"/>
      <c r="F142" s="81"/>
    </row>
    <row r="143" spans="1:22" ht="34.5" x14ac:dyDescent="0.25">
      <c r="C143" s="17" t="s">
        <v>14</v>
      </c>
      <c r="D143" s="20" t="s">
        <v>21</v>
      </c>
      <c r="E143" s="20" t="s">
        <v>94</v>
      </c>
      <c r="F143" s="17" t="s">
        <v>13</v>
      </c>
      <c r="G143" s="17" t="s">
        <v>15</v>
      </c>
      <c r="H143" s="18" t="s">
        <v>1</v>
      </c>
      <c r="I143" s="19" t="s">
        <v>25</v>
      </c>
      <c r="J143" s="17" t="s">
        <v>2</v>
      </c>
      <c r="K143" s="20" t="s">
        <v>94</v>
      </c>
      <c r="L143" s="20" t="s">
        <v>22</v>
      </c>
      <c r="M143" s="19" t="s">
        <v>8</v>
      </c>
      <c r="N143" s="19" t="s">
        <v>16</v>
      </c>
      <c r="O143" s="19" t="s">
        <v>17</v>
      </c>
      <c r="P143" s="19" t="s">
        <v>18</v>
      </c>
      <c r="Q143" s="20" t="s">
        <v>10</v>
      </c>
      <c r="R143" s="20" t="s">
        <v>23</v>
      </c>
      <c r="S143" s="19" t="s">
        <v>9</v>
      </c>
      <c r="T143" s="19" t="s">
        <v>19</v>
      </c>
      <c r="U143" s="19" t="s">
        <v>20</v>
      </c>
      <c r="V143" s="19" t="s">
        <v>24</v>
      </c>
    </row>
    <row r="144" spans="1:22" x14ac:dyDescent="0.25">
      <c r="A144" s="41" t="s">
        <v>193</v>
      </c>
      <c r="C144" s="68" t="s">
        <v>119</v>
      </c>
      <c r="D144" s="8">
        <v>2320</v>
      </c>
      <c r="E144" s="8">
        <v>116.16</v>
      </c>
      <c r="F144" s="8">
        <v>1</v>
      </c>
      <c r="G144" s="11">
        <f>D144/E144</f>
        <v>19.97245179063361</v>
      </c>
      <c r="H144" s="7"/>
      <c r="I144" s="7"/>
      <c r="J144" s="8" t="s">
        <v>49</v>
      </c>
      <c r="K144" s="8">
        <v>101.19</v>
      </c>
      <c r="L144" s="46">
        <f>42*K144</f>
        <v>4249.9799999999996</v>
      </c>
      <c r="M144" s="42" t="s">
        <v>47</v>
      </c>
      <c r="N144" s="45">
        <v>49900</v>
      </c>
      <c r="O144" s="1">
        <v>1.33</v>
      </c>
      <c r="P144" s="11">
        <f>N144*O144</f>
        <v>66367</v>
      </c>
      <c r="Q144" s="8"/>
      <c r="R144" s="8"/>
      <c r="S144" s="7"/>
      <c r="T144" s="7"/>
      <c r="U144" s="7"/>
      <c r="V144" s="11">
        <f>T144*U144</f>
        <v>0</v>
      </c>
    </row>
    <row r="145" spans="1:22" x14ac:dyDescent="0.25">
      <c r="C145" s="8" t="s">
        <v>82</v>
      </c>
      <c r="D145" s="8">
        <v>3300</v>
      </c>
      <c r="E145" s="8">
        <v>165.24</v>
      </c>
      <c r="F145" s="8">
        <f>G145/G144</f>
        <v>0.99992487416422504</v>
      </c>
      <c r="G145" s="11">
        <f>D145/E145</f>
        <v>19.970951343500364</v>
      </c>
      <c r="H145" s="1"/>
      <c r="I145" s="1"/>
      <c r="J145" s="25" t="s">
        <v>81</v>
      </c>
      <c r="K145" s="26">
        <v>120.58</v>
      </c>
      <c r="L145" s="46">
        <f>20*K145</f>
        <v>2411.6</v>
      </c>
      <c r="M145" s="42"/>
      <c r="N145" s="2"/>
      <c r="O145" s="1"/>
      <c r="P145" s="11"/>
      <c r="Q145" s="8"/>
      <c r="R145" s="8"/>
      <c r="S145" s="7"/>
      <c r="T145" s="7"/>
      <c r="U145" s="7"/>
      <c r="V145" s="11">
        <f t="shared" ref="V145" si="7">T145*U145</f>
        <v>0</v>
      </c>
    </row>
    <row r="146" spans="1:22" x14ac:dyDescent="0.25">
      <c r="C146" s="10" t="s">
        <v>4</v>
      </c>
      <c r="D146" s="11">
        <f>SUM(D144:D145)</f>
        <v>5620</v>
      </c>
      <c r="E146" s="11">
        <f>SUM(E144:E145)</f>
        <v>281.39999999999998</v>
      </c>
      <c r="F146" s="10"/>
      <c r="G146" s="165">
        <f>SUM(G144:G145)</f>
        <v>39.943403134133973</v>
      </c>
      <c r="I146" s="23">
        <f>SUM(I144:I145)</f>
        <v>0</v>
      </c>
      <c r="L146" s="47">
        <f>SUM(L144:L145)</f>
        <v>6661.58</v>
      </c>
      <c r="N146" s="89">
        <f>SUM(N143:N145)</f>
        <v>49900</v>
      </c>
      <c r="P146" s="23">
        <f>SUM(P144:P145)</f>
        <v>66367</v>
      </c>
      <c r="R146" s="23">
        <f>SUM(R144:R145)</f>
        <v>0</v>
      </c>
      <c r="V146" s="23">
        <f>SUM(V144:V145)</f>
        <v>0</v>
      </c>
    </row>
    <row r="147" spans="1:22" x14ac:dyDescent="0.25">
      <c r="C147" s="4"/>
      <c r="D147" s="3"/>
      <c r="E147" s="3"/>
      <c r="F147" s="3"/>
      <c r="G147" s="4"/>
      <c r="H147" s="4"/>
      <c r="I147" s="4"/>
      <c r="M147" s="49"/>
      <c r="N147" s="4"/>
      <c r="O147" s="4"/>
      <c r="P147" s="4"/>
      <c r="Q147" s="4"/>
      <c r="R147" s="4"/>
      <c r="S147" s="4"/>
      <c r="T147" s="4"/>
      <c r="U147" s="4"/>
      <c r="V147" s="4"/>
    </row>
    <row r="148" spans="1:22" x14ac:dyDescent="0.25">
      <c r="C148" s="4"/>
      <c r="D148" s="3"/>
      <c r="E148" s="3"/>
      <c r="F148" s="3"/>
      <c r="G148" s="4"/>
      <c r="H148" s="4"/>
      <c r="K148" s="162" t="s">
        <v>133</v>
      </c>
      <c r="L148" s="12">
        <f>(T150/G144)*100</f>
        <v>50</v>
      </c>
      <c r="M148" s="49"/>
      <c r="O148" s="4"/>
      <c r="P148" s="4"/>
      <c r="Q148" s="4"/>
      <c r="R148" s="4"/>
      <c r="S148" s="4"/>
    </row>
    <row r="149" spans="1:22" x14ac:dyDescent="0.25">
      <c r="C149" s="4"/>
      <c r="D149" s="3"/>
      <c r="E149" s="3"/>
      <c r="F149" s="3"/>
      <c r="G149" s="4"/>
      <c r="H149" s="4"/>
      <c r="K149" s="159" t="s">
        <v>134</v>
      </c>
      <c r="L149" s="13">
        <f>(S150/(E146)*100)</f>
        <v>93.596304193319128</v>
      </c>
      <c r="M149" s="49"/>
      <c r="R149" s="5" t="s">
        <v>11</v>
      </c>
      <c r="S149" s="5" t="s">
        <v>12</v>
      </c>
      <c r="T149" s="5" t="s">
        <v>0</v>
      </c>
    </row>
    <row r="150" spans="1:22" x14ac:dyDescent="0.25">
      <c r="C150" s="4"/>
      <c r="D150" s="3"/>
      <c r="E150" s="3"/>
      <c r="F150" s="3"/>
      <c r="G150" s="4"/>
      <c r="H150" s="4"/>
      <c r="K150" s="162" t="s">
        <v>135</v>
      </c>
      <c r="L150" s="12">
        <f>(R150/D146)*100</f>
        <v>46.800216660294311</v>
      </c>
      <c r="P150" s="4"/>
      <c r="Q150" s="5" t="s">
        <v>3</v>
      </c>
      <c r="R150" s="9">
        <f>T150*S150</f>
        <v>2630.1721763085402</v>
      </c>
      <c r="S150" s="9">
        <v>263.38</v>
      </c>
      <c r="T150" s="22">
        <f>G144*0.5</f>
        <v>9.9862258953168048</v>
      </c>
    </row>
    <row r="151" spans="1:22" ht="17.25" x14ac:dyDescent="0.25">
      <c r="C151" s="4"/>
      <c r="D151" s="3"/>
      <c r="E151" s="3"/>
      <c r="F151" s="3"/>
      <c r="G151" s="4"/>
      <c r="H151" s="4"/>
      <c r="K151" s="159" t="s">
        <v>136</v>
      </c>
      <c r="L151" s="13">
        <f>(D146+I146+L146+P146+R146+V146)/R150</f>
        <v>29.902445440048595</v>
      </c>
      <c r="O151" s="4"/>
      <c r="P151" s="4"/>
      <c r="S151" s="81"/>
      <c r="T151" s="3"/>
    </row>
    <row r="152" spans="1:22" ht="17.25" x14ac:dyDescent="0.25">
      <c r="C152" s="4"/>
      <c r="D152" s="3"/>
      <c r="E152" s="3"/>
      <c r="F152" s="3"/>
      <c r="G152" s="4"/>
      <c r="H152" s="4"/>
      <c r="I152" s="4"/>
      <c r="K152" s="163" t="s">
        <v>137</v>
      </c>
      <c r="L152" s="15">
        <f>(D146+I146+L146)/R150</f>
        <v>4.669496586811765</v>
      </c>
      <c r="N152" s="163" t="s">
        <v>139</v>
      </c>
      <c r="O152" s="88">
        <f>G144/N146*1000</f>
        <v>0.40024953488243703</v>
      </c>
      <c r="P152" s="4"/>
      <c r="S152" s="4"/>
    </row>
    <row r="153" spans="1:22" ht="17.25" x14ac:dyDescent="0.25">
      <c r="C153" s="4"/>
      <c r="D153" s="3"/>
      <c r="E153" s="3"/>
      <c r="F153" s="3"/>
      <c r="G153" s="4"/>
      <c r="H153" s="4"/>
      <c r="I153" s="4"/>
      <c r="K153" s="164" t="s">
        <v>138</v>
      </c>
      <c r="L153" s="16">
        <f>(P146+V146)/R150</f>
        <v>25.232948853236831</v>
      </c>
      <c r="M153" s="4"/>
      <c r="N153" s="4"/>
      <c r="O153" s="4"/>
      <c r="P153" s="4"/>
      <c r="U153" s="4"/>
      <c r="V153" s="4"/>
    </row>
    <row r="154" spans="1:22" x14ac:dyDescent="0.25">
      <c r="C154" s="6"/>
      <c r="D154"/>
      <c r="E154" s="3"/>
      <c r="F154" s="3"/>
      <c r="G154" s="4"/>
      <c r="H154" s="4"/>
      <c r="I154" s="4"/>
      <c r="K154" s="4"/>
      <c r="M154" s="4"/>
      <c r="P154" s="4"/>
      <c r="Q154" s="4"/>
      <c r="R154" s="4"/>
      <c r="S154" s="4"/>
      <c r="T154" s="4"/>
      <c r="U154" s="4"/>
      <c r="V154" s="4"/>
    </row>
    <row r="155" spans="1:22" x14ac:dyDescent="0.25">
      <c r="B155" s="4"/>
      <c r="C155" s="6" t="s">
        <v>26</v>
      </c>
      <c r="D155" s="81"/>
      <c r="E155" s="81"/>
      <c r="F155" s="81"/>
    </row>
    <row r="156" spans="1:22" ht="34.5" x14ac:dyDescent="0.25">
      <c r="C156" s="17" t="s">
        <v>14</v>
      </c>
      <c r="D156" s="20" t="s">
        <v>21</v>
      </c>
      <c r="E156" s="20" t="s">
        <v>94</v>
      </c>
      <c r="F156" s="17" t="s">
        <v>13</v>
      </c>
      <c r="G156" s="17" t="s">
        <v>15</v>
      </c>
      <c r="H156" s="18" t="s">
        <v>1</v>
      </c>
      <c r="I156" s="19" t="s">
        <v>25</v>
      </c>
      <c r="J156" s="17" t="s">
        <v>2</v>
      </c>
      <c r="K156" s="20" t="s">
        <v>94</v>
      </c>
      <c r="L156" s="20" t="s">
        <v>22</v>
      </c>
      <c r="M156" s="19" t="s">
        <v>8</v>
      </c>
      <c r="N156" s="19" t="s">
        <v>16</v>
      </c>
      <c r="O156" s="19" t="s">
        <v>17</v>
      </c>
      <c r="P156" s="19" t="s">
        <v>18</v>
      </c>
      <c r="Q156" s="20" t="s">
        <v>10</v>
      </c>
      <c r="R156" s="20" t="s">
        <v>23</v>
      </c>
      <c r="S156" s="19" t="s">
        <v>9</v>
      </c>
      <c r="T156" s="19" t="s">
        <v>19</v>
      </c>
      <c r="U156" s="19" t="s">
        <v>20</v>
      </c>
      <c r="V156" s="19" t="s">
        <v>24</v>
      </c>
    </row>
    <row r="157" spans="1:22" x14ac:dyDescent="0.25">
      <c r="A157" s="41" t="s">
        <v>194</v>
      </c>
      <c r="C157" s="68" t="s">
        <v>83</v>
      </c>
      <c r="D157" s="8">
        <v>11000</v>
      </c>
      <c r="E157" s="8">
        <v>252.14</v>
      </c>
      <c r="F157" s="8">
        <v>1</v>
      </c>
      <c r="G157" s="11">
        <f>D157/E157</f>
        <v>43.626556674863174</v>
      </c>
      <c r="H157" s="7"/>
      <c r="I157" s="7"/>
      <c r="J157" s="8" t="s">
        <v>85</v>
      </c>
      <c r="K157" s="8">
        <v>42.39</v>
      </c>
      <c r="L157" s="46">
        <f>87.28*K157</f>
        <v>3699.7991999999999</v>
      </c>
      <c r="M157" s="42" t="s">
        <v>27</v>
      </c>
      <c r="N157" s="44">
        <v>109000</v>
      </c>
      <c r="O157" s="42">
        <v>0.88300000000000001</v>
      </c>
      <c r="P157" s="11">
        <f>N157*O157</f>
        <v>96247</v>
      </c>
      <c r="Q157" s="8"/>
      <c r="R157" s="8"/>
      <c r="S157" s="7"/>
      <c r="T157" s="7"/>
      <c r="U157" s="7"/>
      <c r="V157" s="11">
        <f>T157*U157</f>
        <v>0</v>
      </c>
    </row>
    <row r="158" spans="1:22" x14ac:dyDescent="0.25">
      <c r="C158" s="75" t="s">
        <v>84</v>
      </c>
      <c r="D158" s="8">
        <v>8500</v>
      </c>
      <c r="E158" s="8">
        <v>177.2</v>
      </c>
      <c r="F158" s="8">
        <f>G158/G157</f>
        <v>1.0995228811820232</v>
      </c>
      <c r="G158" s="11">
        <f>D158/E158</f>
        <v>47.968397291196389</v>
      </c>
      <c r="H158" s="1"/>
      <c r="I158" s="1"/>
      <c r="J158" s="25" t="s">
        <v>81</v>
      </c>
      <c r="K158" s="26">
        <v>120.58</v>
      </c>
      <c r="L158" s="46">
        <f>108.54*K158</f>
        <v>13087.753200000001</v>
      </c>
      <c r="M158" s="42"/>
      <c r="N158" s="45"/>
      <c r="O158" s="1"/>
      <c r="P158" s="11"/>
      <c r="Q158" s="8"/>
      <c r="R158" s="8"/>
      <c r="S158" s="7"/>
      <c r="T158" s="7"/>
      <c r="U158" s="7"/>
      <c r="V158" s="11">
        <f t="shared" ref="V158:V159" si="8">T158*U158</f>
        <v>0</v>
      </c>
    </row>
    <row r="159" spans="1:22" x14ac:dyDescent="0.25">
      <c r="C159" s="8"/>
      <c r="D159" s="8"/>
      <c r="E159" s="8"/>
      <c r="F159" s="8"/>
      <c r="G159" s="10"/>
      <c r="H159" s="1"/>
      <c r="I159" s="1"/>
      <c r="J159" s="25" t="s">
        <v>49</v>
      </c>
      <c r="K159" s="26">
        <v>101.19</v>
      </c>
      <c r="L159" s="46">
        <f>113.64*K159</f>
        <v>11499.231599999999</v>
      </c>
      <c r="M159" s="42"/>
      <c r="N159" s="45"/>
      <c r="O159" s="1"/>
      <c r="P159" s="11"/>
      <c r="Q159" s="8"/>
      <c r="R159" s="8"/>
      <c r="S159" s="7"/>
      <c r="T159" s="7"/>
      <c r="U159" s="7"/>
      <c r="V159" s="11">
        <f t="shared" si="8"/>
        <v>0</v>
      </c>
    </row>
    <row r="160" spans="1:22" x14ac:dyDescent="0.25">
      <c r="C160" s="10" t="s">
        <v>4</v>
      </c>
      <c r="D160" s="11">
        <f>SUM(D157:D158)</f>
        <v>19500</v>
      </c>
      <c r="E160" s="11">
        <f>SUM(E157:E158)</f>
        <v>429.34</v>
      </c>
      <c r="F160" s="10"/>
      <c r="G160" s="165">
        <f>SUM(G157:G158)</f>
        <v>91.594953966059563</v>
      </c>
      <c r="I160" s="23">
        <f>SUM(I157:I158)</f>
        <v>0</v>
      </c>
      <c r="L160" s="47">
        <f>SUM(L157:L159)</f>
        <v>28286.784</v>
      </c>
      <c r="N160" s="89">
        <f>SUM(N157:N159)</f>
        <v>109000</v>
      </c>
      <c r="P160" s="23">
        <f>SUM(P157:P159)</f>
        <v>96247</v>
      </c>
      <c r="R160" s="23">
        <f>SUM(R157:R159)</f>
        <v>0</v>
      </c>
      <c r="V160" s="23">
        <f>SUM(V157:V159)</f>
        <v>0</v>
      </c>
    </row>
    <row r="161" spans="1:22" x14ac:dyDescent="0.25">
      <c r="C161" s="4"/>
      <c r="D161" s="3"/>
      <c r="E161" s="3"/>
      <c r="F161" s="3"/>
      <c r="G161" s="4"/>
      <c r="H161" s="4"/>
      <c r="I161" s="4"/>
      <c r="M161" s="4"/>
      <c r="N161" s="4"/>
      <c r="O161" s="4"/>
      <c r="P161" s="4"/>
      <c r="Q161" s="4"/>
      <c r="R161" s="4"/>
      <c r="S161" s="4"/>
      <c r="T161" s="4"/>
      <c r="U161" s="4"/>
      <c r="V161" s="4"/>
    </row>
    <row r="162" spans="1:22" x14ac:dyDescent="0.25">
      <c r="C162" s="4"/>
      <c r="D162" s="3"/>
      <c r="E162" s="3"/>
      <c r="F162" s="3"/>
      <c r="G162" s="4"/>
      <c r="H162" s="4"/>
      <c r="K162" s="162" t="s">
        <v>133</v>
      </c>
      <c r="L162" s="12">
        <f>(T164/G157)*100</f>
        <v>50</v>
      </c>
      <c r="N162" s="49"/>
      <c r="O162" s="4"/>
      <c r="P162" s="4"/>
      <c r="Q162" s="4"/>
      <c r="R162" s="4"/>
      <c r="S162" s="4"/>
    </row>
    <row r="163" spans="1:22" x14ac:dyDescent="0.25">
      <c r="C163" s="4"/>
      <c r="D163" s="3"/>
      <c r="E163" s="3"/>
      <c r="F163" s="3"/>
      <c r="G163" s="4"/>
      <c r="H163" s="4"/>
      <c r="K163" s="159" t="s">
        <v>134</v>
      </c>
      <c r="L163" s="13">
        <f>(S164/(E160)*100)</f>
        <v>95.80518936041365</v>
      </c>
      <c r="R163" s="5" t="s">
        <v>11</v>
      </c>
      <c r="S163" s="5" t="s">
        <v>12</v>
      </c>
      <c r="T163" s="5" t="s">
        <v>0</v>
      </c>
    </row>
    <row r="164" spans="1:22" x14ac:dyDescent="0.25">
      <c r="C164" s="4"/>
      <c r="D164" s="3"/>
      <c r="E164" s="3"/>
      <c r="F164" s="3"/>
      <c r="G164" s="4"/>
      <c r="H164" s="4"/>
      <c r="K164" s="162" t="s">
        <v>135</v>
      </c>
      <c r="L164" s="12">
        <f>(R164/D160)*100</f>
        <v>46.012593736080689</v>
      </c>
      <c r="P164" s="4"/>
      <c r="Q164" s="5" t="s">
        <v>3</v>
      </c>
      <c r="R164" s="9">
        <f>T164*S164</f>
        <v>8972.4557785357338</v>
      </c>
      <c r="S164" s="9">
        <v>411.33</v>
      </c>
      <c r="T164" s="48">
        <f>G157*0.5</f>
        <v>21.813278337431587</v>
      </c>
    </row>
    <row r="165" spans="1:22" ht="17.25" x14ac:dyDescent="0.25">
      <c r="C165" s="4"/>
      <c r="D165" s="3"/>
      <c r="E165" s="3"/>
      <c r="F165" s="3"/>
      <c r="G165" s="4"/>
      <c r="H165" s="4"/>
      <c r="K165" s="159" t="s">
        <v>136</v>
      </c>
      <c r="L165" s="13">
        <f>(D160+I160+L160+P160+R160+V160)/R164</f>
        <v>16.052883129785197</v>
      </c>
      <c r="O165" s="4"/>
      <c r="P165" s="4"/>
      <c r="S165" s="81"/>
      <c r="T165" s="3"/>
    </row>
    <row r="166" spans="1:22" ht="17.25" x14ac:dyDescent="0.25">
      <c r="C166" s="4"/>
      <c r="D166" s="3"/>
      <c r="E166" s="3"/>
      <c r="F166" s="3"/>
      <c r="G166" s="4"/>
      <c r="H166" s="4"/>
      <c r="I166" s="4"/>
      <c r="K166" s="163" t="s">
        <v>137</v>
      </c>
      <c r="L166" s="15">
        <f>(D160+I160+L160)/R164</f>
        <v>5.3259425490084276</v>
      </c>
      <c r="O166" s="4"/>
      <c r="P166" s="4"/>
      <c r="S166" s="4"/>
    </row>
    <row r="167" spans="1:22" ht="17.25" x14ac:dyDescent="0.25">
      <c r="C167" s="4"/>
      <c r="D167" s="3"/>
      <c r="E167" s="3"/>
      <c r="F167" s="3"/>
      <c r="G167" s="4"/>
      <c r="H167" s="4"/>
      <c r="I167" s="4"/>
      <c r="K167" s="164" t="s">
        <v>138</v>
      </c>
      <c r="L167" s="16">
        <f>(P160+V160)/R164</f>
        <v>10.726940580776771</v>
      </c>
      <c r="M167" s="4"/>
      <c r="N167" s="163" t="s">
        <v>139</v>
      </c>
      <c r="O167" s="88">
        <f>(G157/N160)*1000</f>
        <v>0.40024363921892819</v>
      </c>
      <c r="P167" s="4"/>
      <c r="U167" s="4"/>
      <c r="V167" s="4"/>
    </row>
    <row r="168" spans="1:22" x14ac:dyDescent="0.25">
      <c r="C168" s="6"/>
      <c r="D168"/>
      <c r="E168" s="3"/>
      <c r="F168" s="3"/>
      <c r="G168" s="4"/>
      <c r="H168" s="4"/>
      <c r="I168" s="4"/>
      <c r="K168" s="4"/>
      <c r="M168" s="4"/>
      <c r="N168" s="4"/>
      <c r="O168" s="4"/>
      <c r="P168" s="4"/>
      <c r="Q168" s="4"/>
      <c r="R168" s="4"/>
      <c r="S168" s="4"/>
      <c r="T168" s="4"/>
      <c r="U168" s="4"/>
      <c r="V168" s="4"/>
    </row>
    <row r="169" spans="1:22" s="168" customFormat="1" x14ac:dyDescent="0.25">
      <c r="A169" s="167" t="s">
        <v>140</v>
      </c>
      <c r="C169" s="169"/>
      <c r="D169" s="169"/>
      <c r="E169" s="169"/>
    </row>
    <row r="170" spans="1:22" x14ac:dyDescent="0.25">
      <c r="D170" s="78"/>
      <c r="E170" s="78"/>
      <c r="F170" s="78"/>
      <c r="G170" s="35"/>
      <c r="H170" s="35"/>
      <c r="I170" s="35"/>
      <c r="J170" s="35"/>
      <c r="K170" s="35"/>
    </row>
    <row r="171" spans="1:22" x14ac:dyDescent="0.25">
      <c r="D171" s="131" t="s">
        <v>123</v>
      </c>
      <c r="E171" s="78"/>
      <c r="F171" s="78"/>
      <c r="G171" s="35"/>
      <c r="H171" s="35"/>
      <c r="I171" s="35"/>
      <c r="J171" s="35"/>
      <c r="K171" s="35"/>
    </row>
    <row r="172" spans="1:22" ht="15.95" customHeight="1" x14ac:dyDescent="0.25">
      <c r="D172" s="112" t="s">
        <v>29</v>
      </c>
      <c r="E172" s="112" t="s">
        <v>30</v>
      </c>
      <c r="F172" s="111" t="s">
        <v>6</v>
      </c>
      <c r="G172" s="112" t="s">
        <v>7</v>
      </c>
      <c r="H172" s="112" t="s">
        <v>32</v>
      </c>
      <c r="I172" s="112" t="s">
        <v>34</v>
      </c>
      <c r="J172" s="112" t="s">
        <v>35</v>
      </c>
      <c r="K172" s="112" t="s">
        <v>5</v>
      </c>
      <c r="L172" s="54"/>
      <c r="M172" s="54"/>
      <c r="N172" s="54"/>
      <c r="O172" s="54"/>
      <c r="P172" s="54"/>
      <c r="Q172" s="54"/>
      <c r="R172" s="54"/>
      <c r="S172" s="54"/>
      <c r="T172" s="54"/>
      <c r="U172" s="54"/>
    </row>
    <row r="173" spans="1:22" x14ac:dyDescent="0.25">
      <c r="D173" s="114"/>
      <c r="E173" s="114"/>
      <c r="F173" s="113" t="s">
        <v>31</v>
      </c>
      <c r="G173" s="114" t="s">
        <v>31</v>
      </c>
      <c r="H173" s="114" t="s">
        <v>33</v>
      </c>
      <c r="I173" s="114" t="s">
        <v>33</v>
      </c>
      <c r="J173" s="114" t="s">
        <v>33</v>
      </c>
      <c r="K173" s="114" t="s">
        <v>31</v>
      </c>
      <c r="L173" s="54"/>
      <c r="M173" s="54"/>
      <c r="N173" s="54"/>
      <c r="O173" s="54"/>
      <c r="P173" s="54"/>
      <c r="Q173" s="54"/>
      <c r="R173" s="54"/>
      <c r="S173" s="54"/>
      <c r="T173" s="54"/>
      <c r="U173" s="54"/>
    </row>
    <row r="174" spans="1:22" ht="18" customHeight="1" x14ac:dyDescent="0.25">
      <c r="D174" s="127" t="str">
        <f>A1</f>
        <v xml:space="preserve">Literature data reported </v>
      </c>
      <c r="E174" s="127"/>
      <c r="F174" s="127"/>
      <c r="G174" s="127"/>
      <c r="H174" s="127"/>
      <c r="I174" s="127"/>
      <c r="J174" s="127"/>
      <c r="K174" s="128"/>
      <c r="L174" s="54"/>
      <c r="M174" s="54"/>
      <c r="N174" s="41" t="s">
        <v>193</v>
      </c>
      <c r="O174" s="124" t="s">
        <v>79</v>
      </c>
      <c r="P174" s="124"/>
      <c r="Q174" s="62"/>
      <c r="R174" s="54"/>
      <c r="S174" s="54"/>
      <c r="T174" s="54"/>
      <c r="U174" s="54"/>
    </row>
    <row r="175" spans="1:22" ht="15" customHeight="1" x14ac:dyDescent="0.25">
      <c r="D175" s="90"/>
      <c r="E175" s="108" t="s">
        <v>195</v>
      </c>
      <c r="F175" s="91">
        <f>L20</f>
        <v>93.596304193319128</v>
      </c>
      <c r="G175" s="91">
        <f>L21</f>
        <v>93.600433320588621</v>
      </c>
      <c r="H175" s="92">
        <f>L22</f>
        <v>5.8744405173068408</v>
      </c>
      <c r="I175" s="92">
        <f>L23</f>
        <v>2.3347482934058825</v>
      </c>
      <c r="J175" s="92">
        <f>L24</f>
        <v>3.5396922239009583</v>
      </c>
      <c r="K175" s="60">
        <f>L19</f>
        <v>100</v>
      </c>
      <c r="L175" s="54"/>
      <c r="N175" s="192"/>
      <c r="O175" s="192"/>
      <c r="P175" s="192"/>
      <c r="Q175" s="192"/>
      <c r="R175" s="192"/>
      <c r="S175" s="192"/>
      <c r="T175" s="192"/>
      <c r="U175" s="192"/>
      <c r="V175" s="192"/>
    </row>
    <row r="176" spans="1:22" ht="15.95" customHeight="1" x14ac:dyDescent="0.25">
      <c r="D176" s="115"/>
      <c r="E176" s="114" t="s">
        <v>196</v>
      </c>
      <c r="F176" s="116">
        <f>L46</f>
        <v>95.80518936041365</v>
      </c>
      <c r="G176" s="116">
        <f>L47</f>
        <v>85.538461538461547</v>
      </c>
      <c r="H176" s="117">
        <f>L48</f>
        <v>8.6023505395683451</v>
      </c>
      <c r="I176" s="117">
        <f>L49</f>
        <v>2.864915107913669</v>
      </c>
      <c r="J176" s="117">
        <f>L50</f>
        <v>5.7374354316546761</v>
      </c>
      <c r="K176" s="118">
        <f>L45</f>
        <v>92.951140756260713</v>
      </c>
      <c r="L176" s="54"/>
      <c r="M176" s="52"/>
      <c r="N176" s="192"/>
      <c r="O176" s="192"/>
      <c r="P176" s="192"/>
      <c r="Q176" s="192"/>
      <c r="R176" s="192"/>
      <c r="S176" s="192"/>
      <c r="T176" s="192"/>
      <c r="U176" s="192"/>
      <c r="V176" s="192"/>
    </row>
    <row r="177" spans="4:22" ht="15" customHeight="1" x14ac:dyDescent="0.25">
      <c r="D177" s="123" t="str">
        <f>A54</f>
        <v>Simulation A: [Acid] = 0.4 M, Literature data yield</v>
      </c>
      <c r="E177" s="123"/>
      <c r="F177" s="123"/>
      <c r="G177" s="123"/>
      <c r="H177" s="123"/>
      <c r="I177" s="123"/>
      <c r="J177" s="123"/>
      <c r="K177" s="129"/>
      <c r="L177" s="54"/>
      <c r="M177" s="52"/>
      <c r="N177" s="192"/>
      <c r="O177" s="192"/>
      <c r="P177" s="192"/>
      <c r="Q177" s="192"/>
      <c r="R177" s="192"/>
      <c r="S177" s="192"/>
      <c r="T177" s="192"/>
      <c r="U177" s="192"/>
      <c r="V177" s="192"/>
    </row>
    <row r="178" spans="4:22" x14ac:dyDescent="0.25">
      <c r="D178" s="102"/>
      <c r="E178" s="102" t="s">
        <v>193</v>
      </c>
      <c r="F178" s="99">
        <f>L62</f>
        <v>93.596304193319128</v>
      </c>
      <c r="G178" s="100">
        <f>L63</f>
        <v>93.600433320588621</v>
      </c>
      <c r="H178" s="101">
        <f>L64</f>
        <v>14.951222720024298</v>
      </c>
      <c r="I178" s="101">
        <f>L65</f>
        <v>2.3347482934058825</v>
      </c>
      <c r="J178" s="101">
        <f>L66</f>
        <v>12.616474426618415</v>
      </c>
      <c r="K178" s="60">
        <f>L61</f>
        <v>100</v>
      </c>
      <c r="L178" s="54"/>
      <c r="N178" s="192"/>
      <c r="O178" s="192"/>
      <c r="P178" s="192"/>
      <c r="Q178" s="192"/>
      <c r="R178" s="192"/>
      <c r="S178" s="192"/>
      <c r="T178" s="192"/>
      <c r="U178" s="192"/>
      <c r="V178" s="192"/>
    </row>
    <row r="179" spans="4:22" x14ac:dyDescent="0.25">
      <c r="D179" s="102"/>
      <c r="E179" s="102" t="s">
        <v>194</v>
      </c>
      <c r="F179" s="99">
        <f>L76</f>
        <v>95.80518936041365</v>
      </c>
      <c r="G179" s="100">
        <f>L77</f>
        <v>85.538461538461547</v>
      </c>
      <c r="H179" s="101">
        <f>L78</f>
        <v>8.6351189448441232</v>
      </c>
      <c r="I179" s="101">
        <f>L79</f>
        <v>2.864915107913669</v>
      </c>
      <c r="J179" s="101">
        <f>L80</f>
        <v>5.770203836930456</v>
      </c>
      <c r="K179" s="60">
        <f>L75</f>
        <v>92.951140756260713</v>
      </c>
      <c r="L179" s="54"/>
      <c r="N179" s="192"/>
      <c r="O179" s="192"/>
      <c r="P179" s="192"/>
      <c r="Q179" s="192"/>
      <c r="R179" s="192"/>
      <c r="S179" s="192"/>
      <c r="T179" s="192"/>
      <c r="U179" s="192"/>
      <c r="V179" s="192"/>
    </row>
    <row r="180" spans="4:22" ht="15" customHeight="1" x14ac:dyDescent="0.25">
      <c r="D180" s="123" t="str">
        <f>A83</f>
        <v>Simulation B: [Acid] = Literature data, 90% Yield</v>
      </c>
      <c r="E180" s="123"/>
      <c r="F180" s="123"/>
      <c r="G180" s="123"/>
      <c r="H180" s="123"/>
      <c r="I180" s="123"/>
      <c r="J180" s="123"/>
      <c r="K180" s="119"/>
      <c r="L180" s="54"/>
      <c r="N180" s="192"/>
      <c r="O180" s="192"/>
      <c r="P180" s="192"/>
      <c r="Q180" s="192"/>
      <c r="R180" s="192"/>
      <c r="S180" s="192"/>
      <c r="T180" s="192"/>
      <c r="U180" s="192"/>
      <c r="V180" s="192"/>
    </row>
    <row r="181" spans="4:22" x14ac:dyDescent="0.25">
      <c r="D181" s="102"/>
      <c r="E181" s="102" t="s">
        <v>193</v>
      </c>
      <c r="F181" s="99">
        <f>L91</f>
        <v>93.596304193319128</v>
      </c>
      <c r="G181" s="100">
        <f>L92</f>
        <v>84.240389988529756</v>
      </c>
      <c r="H181" s="101">
        <f>L93</f>
        <v>6.5271561303409342</v>
      </c>
      <c r="I181" s="101">
        <f>L94</f>
        <v>2.59416477045098</v>
      </c>
      <c r="J181" s="101">
        <f>L95</f>
        <v>3.9329913598899533</v>
      </c>
      <c r="K181" s="60">
        <f>L90</f>
        <v>90.000000000000014</v>
      </c>
      <c r="L181" s="54"/>
      <c r="M181" s="54"/>
      <c r="N181" s="192"/>
      <c r="O181" s="192"/>
      <c r="P181" s="192"/>
      <c r="Q181" s="192"/>
      <c r="R181" s="192"/>
      <c r="S181" s="192"/>
      <c r="T181" s="192"/>
      <c r="U181" s="192"/>
      <c r="V181" s="192"/>
    </row>
    <row r="182" spans="4:22" x14ac:dyDescent="0.25">
      <c r="D182" s="102"/>
      <c r="E182" s="102" t="s">
        <v>194</v>
      </c>
      <c r="F182" s="99">
        <f>L105</f>
        <v>95.80518936041365</v>
      </c>
      <c r="G182" s="100">
        <f>L106</f>
        <v>82.822668724945245</v>
      </c>
      <c r="H182" s="101">
        <f>L107</f>
        <v>8.8844255093123632</v>
      </c>
      <c r="I182" s="101">
        <f>L108</f>
        <v>2.9588569716713482</v>
      </c>
      <c r="J182" s="101">
        <f>L109</f>
        <v>5.9255685376410145</v>
      </c>
      <c r="K182" s="60">
        <f>L104</f>
        <v>90</v>
      </c>
      <c r="L182" s="54"/>
      <c r="M182" s="54"/>
      <c r="N182" s="192"/>
      <c r="O182" s="192"/>
      <c r="P182" s="192"/>
      <c r="Q182" s="192"/>
      <c r="R182" s="192"/>
      <c r="S182" s="192"/>
      <c r="T182" s="192"/>
      <c r="U182" s="192"/>
      <c r="V182" s="192"/>
    </row>
    <row r="183" spans="4:22" ht="15" customHeight="1" x14ac:dyDescent="0.25">
      <c r="D183" s="123" t="str">
        <f>A112</f>
        <v>Simulation C: [Acid] = 0.4 M, 90% Yield</v>
      </c>
      <c r="E183" s="123"/>
      <c r="F183" s="123"/>
      <c r="G183" s="123"/>
      <c r="H183" s="123"/>
      <c r="I183" s="123"/>
      <c r="J183" s="123"/>
      <c r="K183" s="119"/>
      <c r="N183" s="192"/>
      <c r="O183" s="192"/>
      <c r="P183" s="192"/>
      <c r="Q183" s="192"/>
      <c r="R183" s="192"/>
      <c r="S183" s="192"/>
      <c r="T183" s="192"/>
      <c r="U183" s="192"/>
      <c r="V183" s="192"/>
    </row>
    <row r="184" spans="4:22" x14ac:dyDescent="0.25">
      <c r="D184" s="102"/>
      <c r="E184" s="102" t="s">
        <v>193</v>
      </c>
      <c r="F184" s="99">
        <f>L120</f>
        <v>93.596304193319128</v>
      </c>
      <c r="G184" s="100">
        <f>L121</f>
        <v>84.240389988529756</v>
      </c>
      <c r="H184" s="101">
        <f>L122</f>
        <v>16.612469688915887</v>
      </c>
      <c r="I184" s="101">
        <f>L123</f>
        <v>2.59416477045098</v>
      </c>
      <c r="J184" s="101">
        <f>L124</f>
        <v>14.018304918464905</v>
      </c>
      <c r="K184" s="60">
        <f>L119</f>
        <v>90.000000000000014</v>
      </c>
      <c r="N184" s="192"/>
      <c r="O184" s="192"/>
      <c r="P184" s="192"/>
      <c r="Q184" s="192"/>
      <c r="R184" s="192"/>
      <c r="S184" s="192"/>
      <c r="T184" s="192"/>
      <c r="U184" s="192"/>
      <c r="V184" s="192"/>
    </row>
    <row r="185" spans="4:22" x14ac:dyDescent="0.25">
      <c r="D185" s="102"/>
      <c r="E185" s="102" t="s">
        <v>194</v>
      </c>
      <c r="F185" s="99">
        <f>L134</f>
        <v>95.80518936041365</v>
      </c>
      <c r="G185" s="100">
        <f>L135</f>
        <v>82.822668724945245</v>
      </c>
      <c r="H185" s="101">
        <f>L136</f>
        <v>8.9182684054362191</v>
      </c>
      <c r="I185" s="101">
        <f>L137</f>
        <v>2.9588569716713482</v>
      </c>
      <c r="J185" s="101">
        <f>L138</f>
        <v>5.9594114337648723</v>
      </c>
      <c r="K185" s="60">
        <f>L133</f>
        <v>90</v>
      </c>
      <c r="N185" s="192"/>
      <c r="O185" s="192"/>
      <c r="P185" s="192"/>
      <c r="Q185" s="192"/>
      <c r="R185" s="192"/>
      <c r="S185" s="192"/>
      <c r="T185" s="192"/>
      <c r="U185" s="192"/>
      <c r="V185" s="192"/>
    </row>
    <row r="186" spans="4:22" ht="15" customHeight="1" x14ac:dyDescent="0.25">
      <c r="D186" s="123" t="str">
        <f>A141</f>
        <v>Simulation D: [Acid] = 0.4 M, 50% Yield</v>
      </c>
      <c r="E186" s="123"/>
      <c r="F186" s="123"/>
      <c r="G186" s="123"/>
      <c r="H186" s="123"/>
      <c r="I186" s="123"/>
      <c r="J186" s="123"/>
      <c r="K186" s="119"/>
      <c r="N186" s="27"/>
      <c r="O186" s="27"/>
      <c r="P186" s="27"/>
      <c r="Q186" s="27"/>
      <c r="R186" s="27"/>
      <c r="S186" s="27"/>
      <c r="T186" s="27"/>
      <c r="U186" s="27"/>
      <c r="V186" s="27"/>
    </row>
    <row r="187" spans="4:22" x14ac:dyDescent="0.25">
      <c r="D187" s="108"/>
      <c r="E187" s="102" t="s">
        <v>193</v>
      </c>
      <c r="F187" s="79">
        <f>L149</f>
        <v>93.596304193319128</v>
      </c>
      <c r="G187" s="60">
        <f>L150</f>
        <v>46.800216660294311</v>
      </c>
      <c r="H187" s="37">
        <f>L151</f>
        <v>29.902445440048595</v>
      </c>
      <c r="I187" s="37">
        <f>L152</f>
        <v>4.669496586811765</v>
      </c>
      <c r="J187" s="37">
        <f>L153</f>
        <v>25.232948853236831</v>
      </c>
      <c r="K187" s="60">
        <f>L148</f>
        <v>50</v>
      </c>
      <c r="N187" s="110" t="s">
        <v>194</v>
      </c>
      <c r="O187" s="194" t="s">
        <v>80</v>
      </c>
      <c r="P187" s="194"/>
      <c r="Q187" s="194"/>
      <c r="R187" s="27"/>
      <c r="S187" s="27"/>
      <c r="T187" s="27"/>
      <c r="U187" s="27"/>
      <c r="V187" s="27"/>
    </row>
    <row r="188" spans="4:22" x14ac:dyDescent="0.25">
      <c r="D188" s="108"/>
      <c r="E188" s="102" t="s">
        <v>194</v>
      </c>
      <c r="F188" s="79">
        <f>L163</f>
        <v>95.80518936041365</v>
      </c>
      <c r="G188" s="60">
        <f>L164</f>
        <v>46.012593736080689</v>
      </c>
      <c r="H188" s="37">
        <f>L165</f>
        <v>16.052883129785197</v>
      </c>
      <c r="I188" s="37">
        <f>L166</f>
        <v>5.3259425490084276</v>
      </c>
      <c r="J188" s="37">
        <f>L167</f>
        <v>10.726940580776771</v>
      </c>
      <c r="K188" s="60">
        <f>L162</f>
        <v>50</v>
      </c>
      <c r="N188" s="194"/>
      <c r="O188" s="194"/>
      <c r="P188" s="194"/>
      <c r="Q188" s="194"/>
      <c r="R188" s="194"/>
      <c r="S188" s="194"/>
      <c r="T188" s="194"/>
      <c r="U188" s="194"/>
      <c r="V188" s="194"/>
    </row>
    <row r="189" spans="4:22" x14ac:dyDescent="0.25">
      <c r="D189" s="112"/>
      <c r="E189" s="112"/>
      <c r="F189" s="111"/>
      <c r="G189" s="112"/>
      <c r="H189" s="112"/>
      <c r="I189" s="112"/>
      <c r="J189" s="112"/>
      <c r="K189" s="112"/>
      <c r="M189" s="52"/>
      <c r="N189" s="194"/>
      <c r="O189" s="194"/>
      <c r="P189" s="194"/>
      <c r="Q189" s="194"/>
      <c r="R189" s="194"/>
      <c r="S189" s="194"/>
      <c r="T189" s="194"/>
      <c r="U189" s="194"/>
      <c r="V189" s="194"/>
    </row>
    <row r="190" spans="4:22" x14ac:dyDescent="0.25">
      <c r="D190" s="84"/>
      <c r="E190" s="84"/>
      <c r="F190" s="79"/>
      <c r="G190" s="60"/>
      <c r="H190" s="37"/>
      <c r="I190" s="37"/>
      <c r="J190" s="37"/>
      <c r="K190" s="60"/>
      <c r="M190" s="52"/>
      <c r="N190" s="194"/>
      <c r="O190" s="194"/>
      <c r="P190" s="194"/>
      <c r="Q190" s="194"/>
      <c r="R190" s="194"/>
      <c r="S190" s="194"/>
      <c r="T190" s="194"/>
      <c r="U190" s="194"/>
      <c r="V190" s="194"/>
    </row>
    <row r="191" spans="4:22" x14ac:dyDescent="0.25">
      <c r="D191" s="84"/>
      <c r="E191" s="84"/>
      <c r="F191" s="79"/>
      <c r="G191" s="79"/>
      <c r="H191" s="85"/>
      <c r="I191" s="85"/>
      <c r="J191" s="85"/>
      <c r="K191" s="60"/>
      <c r="N191" s="194"/>
      <c r="O191" s="194"/>
      <c r="P191" s="194"/>
      <c r="Q191" s="194"/>
      <c r="R191" s="194"/>
      <c r="S191" s="194"/>
      <c r="T191" s="194"/>
      <c r="U191" s="194"/>
      <c r="V191" s="194"/>
    </row>
    <row r="192" spans="4:22" ht="15" customHeight="1" x14ac:dyDescent="0.25">
      <c r="D192" s="120"/>
      <c r="E192" s="120"/>
      <c r="F192" s="120"/>
      <c r="G192" s="120"/>
      <c r="H192" s="120"/>
      <c r="I192" s="120"/>
      <c r="J192" s="120"/>
      <c r="K192" s="71"/>
      <c r="N192" s="194"/>
      <c r="O192" s="194"/>
      <c r="P192" s="194"/>
      <c r="Q192" s="194"/>
      <c r="R192" s="194"/>
      <c r="S192" s="194"/>
      <c r="T192" s="194"/>
      <c r="U192" s="194"/>
      <c r="V192" s="194"/>
    </row>
    <row r="193" spans="4:22" x14ac:dyDescent="0.25">
      <c r="D193" s="84"/>
      <c r="E193" s="84"/>
      <c r="F193" s="79"/>
      <c r="G193" s="60"/>
      <c r="H193" s="37"/>
      <c r="I193" s="37"/>
      <c r="J193" s="37"/>
      <c r="K193" s="60"/>
      <c r="N193" s="194"/>
      <c r="O193" s="194"/>
      <c r="P193" s="194"/>
      <c r="Q193" s="194"/>
      <c r="R193" s="194"/>
      <c r="S193" s="194"/>
      <c r="T193" s="194"/>
      <c r="U193" s="194"/>
      <c r="V193" s="194"/>
    </row>
    <row r="194" spans="4:22" x14ac:dyDescent="0.25">
      <c r="D194" s="84"/>
      <c r="E194" s="84"/>
      <c r="F194" s="79"/>
      <c r="G194" s="79"/>
      <c r="H194" s="85"/>
      <c r="I194" s="85"/>
      <c r="J194" s="85"/>
      <c r="K194" s="60"/>
      <c r="N194" s="194"/>
      <c r="O194" s="194"/>
      <c r="P194" s="194"/>
      <c r="Q194" s="194"/>
      <c r="R194" s="194"/>
      <c r="S194" s="194"/>
      <c r="T194" s="194"/>
      <c r="U194" s="194"/>
      <c r="V194" s="194"/>
    </row>
    <row r="195" spans="4:22" x14ac:dyDescent="0.25">
      <c r="D195" s="31"/>
      <c r="E195" s="31"/>
      <c r="F195" s="33"/>
      <c r="G195" s="34"/>
      <c r="H195" s="32"/>
      <c r="I195" s="32"/>
      <c r="J195" s="32"/>
      <c r="K195" s="37"/>
      <c r="N195" s="194"/>
      <c r="O195" s="194"/>
      <c r="P195" s="194"/>
      <c r="Q195" s="194"/>
      <c r="R195" s="194"/>
      <c r="S195" s="194"/>
      <c r="T195" s="194"/>
      <c r="U195" s="194"/>
      <c r="V195" s="194"/>
    </row>
    <row r="196" spans="4:22" x14ac:dyDescent="0.25">
      <c r="D196" s="31"/>
      <c r="E196" s="31"/>
      <c r="F196" s="33"/>
      <c r="G196" s="34"/>
      <c r="H196" s="32"/>
      <c r="I196" s="32"/>
      <c r="J196" s="32"/>
      <c r="K196" s="37"/>
      <c r="N196" s="194"/>
      <c r="O196" s="194"/>
      <c r="P196" s="194"/>
      <c r="Q196" s="194"/>
      <c r="R196" s="194"/>
      <c r="S196" s="194"/>
      <c r="T196" s="194"/>
      <c r="U196" s="194"/>
      <c r="V196" s="194"/>
    </row>
    <row r="197" spans="4:22" x14ac:dyDescent="0.25">
      <c r="D197" s="31"/>
      <c r="E197" s="31"/>
      <c r="F197" s="33"/>
      <c r="G197" s="34"/>
      <c r="H197" s="32"/>
      <c r="I197" s="32"/>
      <c r="J197" s="32"/>
      <c r="K197" s="37"/>
      <c r="N197" s="194"/>
      <c r="O197" s="194"/>
      <c r="P197" s="194"/>
      <c r="Q197" s="194"/>
      <c r="R197" s="194"/>
      <c r="S197" s="194"/>
      <c r="T197" s="194"/>
      <c r="U197" s="194"/>
      <c r="V197" s="194"/>
    </row>
    <row r="198" spans="4:22" ht="15" customHeight="1" x14ac:dyDescent="0.25">
      <c r="K198" s="36"/>
      <c r="N198" s="194"/>
      <c r="O198" s="194"/>
      <c r="P198" s="194"/>
      <c r="Q198" s="194"/>
      <c r="R198" s="194"/>
      <c r="S198" s="194"/>
      <c r="T198" s="194"/>
      <c r="U198" s="194"/>
      <c r="V198" s="194"/>
    </row>
    <row r="199" spans="4:22" x14ac:dyDescent="0.25">
      <c r="K199" s="37"/>
      <c r="N199" s="27"/>
      <c r="O199" s="27"/>
      <c r="P199" s="27"/>
      <c r="Q199" s="27"/>
      <c r="R199" s="27"/>
      <c r="S199" s="27"/>
      <c r="T199" s="27"/>
      <c r="U199" s="27"/>
      <c r="V199" s="27"/>
    </row>
    <row r="200" spans="4:22" x14ac:dyDescent="0.25">
      <c r="K200" s="37"/>
    </row>
    <row r="201" spans="4:22" x14ac:dyDescent="0.25">
      <c r="D201" s="31"/>
      <c r="E201" s="31"/>
      <c r="F201" s="33"/>
      <c r="G201" s="34"/>
      <c r="H201" s="32"/>
      <c r="I201" s="32"/>
      <c r="J201" s="32"/>
      <c r="K201" s="37"/>
    </row>
    <row r="202" spans="4:22" x14ac:dyDescent="0.25">
      <c r="D202" s="31"/>
      <c r="E202" s="31"/>
      <c r="F202" s="33"/>
      <c r="G202" s="34"/>
      <c r="H202" s="32"/>
      <c r="I202" s="32"/>
      <c r="J202" s="32"/>
      <c r="K202" s="37"/>
    </row>
    <row r="203" spans="4:22" x14ac:dyDescent="0.25">
      <c r="D203" s="31"/>
      <c r="E203" s="31"/>
      <c r="F203" s="33"/>
      <c r="G203" s="34"/>
      <c r="H203" s="32"/>
      <c r="I203" s="32"/>
      <c r="J203" s="32"/>
      <c r="K203" s="37"/>
    </row>
    <row r="204" spans="4:22" ht="15" customHeight="1" x14ac:dyDescent="0.25">
      <c r="K204" s="36"/>
    </row>
    <row r="205" spans="4:22" x14ac:dyDescent="0.25">
      <c r="K205" s="37"/>
    </row>
    <row r="206" spans="4:22" x14ac:dyDescent="0.25">
      <c r="K206" s="37"/>
    </row>
    <row r="207" spans="4:22" x14ac:dyDescent="0.25">
      <c r="D207" s="31"/>
      <c r="E207" s="31"/>
      <c r="F207" s="33"/>
      <c r="G207" s="34"/>
      <c r="H207" s="32"/>
      <c r="I207" s="32"/>
      <c r="J207" s="32"/>
      <c r="K207" s="37"/>
    </row>
    <row r="208" spans="4:22" x14ac:dyDescent="0.25">
      <c r="D208" s="31"/>
      <c r="E208" s="31"/>
      <c r="F208" s="33"/>
      <c r="G208" s="34"/>
      <c r="H208" s="32"/>
      <c r="I208" s="32"/>
      <c r="J208" s="32"/>
      <c r="K208" s="37"/>
    </row>
    <row r="209" spans="4:11" x14ac:dyDescent="0.25">
      <c r="D209" s="31"/>
      <c r="E209" s="31"/>
      <c r="F209" s="33"/>
      <c r="G209" s="34"/>
      <c r="H209" s="32"/>
      <c r="I209" s="32"/>
      <c r="J209" s="32"/>
      <c r="K209" s="37"/>
    </row>
    <row r="210" spans="4:11" ht="15" customHeight="1" x14ac:dyDescent="0.25">
      <c r="K210" s="36"/>
    </row>
    <row r="211" spans="4:11" x14ac:dyDescent="0.25">
      <c r="K211" s="37"/>
    </row>
    <row r="212" spans="4:11" x14ac:dyDescent="0.25">
      <c r="K212" s="37"/>
    </row>
    <row r="213" spans="4:11" x14ac:dyDescent="0.25">
      <c r="D213" s="31"/>
      <c r="E213" s="31"/>
      <c r="F213" s="33"/>
      <c r="G213" s="34"/>
      <c r="H213" s="32"/>
      <c r="I213" s="32"/>
      <c r="J213" s="32"/>
      <c r="K213" s="37"/>
    </row>
    <row r="214" spans="4:11" x14ac:dyDescent="0.25">
      <c r="D214" s="31"/>
      <c r="E214" s="31"/>
      <c r="F214" s="33"/>
      <c r="G214" s="34"/>
      <c r="H214" s="32"/>
      <c r="I214" s="32"/>
      <c r="J214" s="32"/>
      <c r="K214" s="37"/>
    </row>
    <row r="215" spans="4:11" x14ac:dyDescent="0.25">
      <c r="D215" s="31"/>
      <c r="E215" s="31"/>
      <c r="F215" s="33"/>
      <c r="G215" s="34"/>
      <c r="H215" s="32"/>
      <c r="I215" s="32"/>
      <c r="J215" s="32"/>
      <c r="K215" s="37"/>
    </row>
    <row r="216" spans="4:11" x14ac:dyDescent="0.25">
      <c r="K216" s="35"/>
    </row>
  </sheetData>
  <mergeCells count="7">
    <mergeCell ref="D3:L12"/>
    <mergeCell ref="D27:K37"/>
    <mergeCell ref="N188:V198"/>
    <mergeCell ref="O187:Q187"/>
    <mergeCell ref="N175:V185"/>
    <mergeCell ref="N3:Z12"/>
    <mergeCell ref="N27:Z37"/>
  </mergeCells>
  <pageMargins left="0.7" right="0.7" top="0.75" bottom="0.75" header="0.3" footer="0.3"/>
  <pageSetup paperSize="9" scale="20" fitToHeight="0" orientation="portrait" horizontalDpi="4294967293" r:id="rId1"/>
  <drawing r:id="rId2"/>
  <legacyDrawing r:id="rId3"/>
  <oleObjects>
    <mc:AlternateContent xmlns:mc="http://schemas.openxmlformats.org/markup-compatibility/2006">
      <mc:Choice Requires="x14">
        <oleObject progId="ChemDraw.Document.6.0" shapeId="25601" r:id="rId4">
          <objectPr defaultSize="0" r:id="rId5">
            <anchor moveWithCells="1">
              <from>
                <xdr:col>13</xdr:col>
                <xdr:colOff>228600</xdr:colOff>
                <xdr:row>174</xdr:row>
                <xdr:rowOff>104775</xdr:rowOff>
              </from>
              <to>
                <xdr:col>21</xdr:col>
                <xdr:colOff>381000</xdr:colOff>
                <xdr:row>183</xdr:row>
                <xdr:rowOff>180975</xdr:rowOff>
              </to>
            </anchor>
          </objectPr>
        </oleObject>
      </mc:Choice>
      <mc:Fallback>
        <oleObject progId="ChemDraw.Document.6.0" shapeId="25601" r:id="rId4"/>
      </mc:Fallback>
    </mc:AlternateContent>
    <mc:AlternateContent xmlns:mc="http://schemas.openxmlformats.org/markup-compatibility/2006">
      <mc:Choice Requires="x14">
        <oleObject progId="ChemDraw.Document.6.0" shapeId="25602" r:id="rId6">
          <objectPr defaultSize="0" r:id="rId7">
            <anchor moveWithCells="1">
              <from>
                <xdr:col>13</xdr:col>
                <xdr:colOff>371475</xdr:colOff>
                <xdr:row>187</xdr:row>
                <xdr:rowOff>123825</xdr:rowOff>
              </from>
              <to>
                <xdr:col>21</xdr:col>
                <xdr:colOff>190500</xdr:colOff>
                <xdr:row>197</xdr:row>
                <xdr:rowOff>28575</xdr:rowOff>
              </to>
            </anchor>
          </objectPr>
        </oleObject>
      </mc:Choice>
      <mc:Fallback>
        <oleObject progId="ChemDraw.Document.6.0" shapeId="25602" r:id="rId6"/>
      </mc:Fallback>
    </mc:AlternateContent>
    <mc:AlternateContent xmlns:mc="http://schemas.openxmlformats.org/markup-compatibility/2006">
      <mc:Choice Requires="x14">
        <oleObject progId="ChemDraw.Document.6.0" shapeId="25603" r:id="rId8">
          <objectPr defaultSize="0" r:id="rId9">
            <anchor moveWithCells="1">
              <from>
                <xdr:col>3</xdr:col>
                <xdr:colOff>276225</xdr:colOff>
                <xdr:row>2</xdr:row>
                <xdr:rowOff>47625</xdr:rowOff>
              </from>
              <to>
                <xdr:col>11</xdr:col>
                <xdr:colOff>47625</xdr:colOff>
                <xdr:row>11</xdr:row>
                <xdr:rowOff>133350</xdr:rowOff>
              </to>
            </anchor>
          </objectPr>
        </oleObject>
      </mc:Choice>
      <mc:Fallback>
        <oleObject progId="ChemDraw.Document.6.0" shapeId="25603" r:id="rId8"/>
      </mc:Fallback>
    </mc:AlternateContent>
    <mc:AlternateContent xmlns:mc="http://schemas.openxmlformats.org/markup-compatibility/2006">
      <mc:Choice Requires="x14">
        <oleObject progId="ChemDraw.Document.6.0" shapeId="25604" r:id="rId10">
          <objectPr defaultSize="0" r:id="rId11">
            <anchor moveWithCells="1">
              <from>
                <xdr:col>3</xdr:col>
                <xdr:colOff>266700</xdr:colOff>
                <xdr:row>26</xdr:row>
                <xdr:rowOff>104775</xdr:rowOff>
              </from>
              <to>
                <xdr:col>10</xdr:col>
                <xdr:colOff>904875</xdr:colOff>
                <xdr:row>36</xdr:row>
                <xdr:rowOff>0</xdr:rowOff>
              </to>
            </anchor>
          </objectPr>
        </oleObject>
      </mc:Choice>
      <mc:Fallback>
        <oleObject progId="ChemDraw.Document.6.0" shapeId="25604" r:id="rId10"/>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AK139"/>
  <sheetViews>
    <sheetView zoomScale="70" zoomScaleNormal="70" workbookViewId="0">
      <selection activeCell="E89" sqref="E89"/>
    </sheetView>
  </sheetViews>
  <sheetFormatPr defaultColWidth="8.85546875" defaultRowHeight="15" x14ac:dyDescent="0.25"/>
  <cols>
    <col min="1" max="1" width="13.85546875" customWidth="1"/>
    <col min="2" max="2" width="1.7109375" customWidth="1"/>
    <col min="3" max="3" width="51.85546875" customWidth="1"/>
    <col min="4" max="4" width="12.42578125" style="58" bestFit="1" customWidth="1"/>
    <col min="5" max="5" width="15.85546875" style="58" customWidth="1"/>
    <col min="6" max="6" width="12.85546875" style="58" customWidth="1"/>
    <col min="7" max="7" width="10.7109375" customWidth="1"/>
    <col min="8" max="8" width="11.140625" customWidth="1"/>
    <col min="9" max="9" width="7.42578125" bestFit="1" customWidth="1"/>
    <col min="10" max="10" width="11.42578125" bestFit="1" customWidth="1"/>
    <col min="11" max="11" width="17.140625" customWidth="1"/>
    <col min="12" max="12" width="9.7109375" customWidth="1"/>
    <col min="13" max="13" width="20.85546875" customWidth="1"/>
    <col min="14" max="14" width="15.7109375" bestFit="1" customWidth="1"/>
    <col min="15" max="15" width="13.28515625" customWidth="1"/>
    <col min="16" max="16" width="12.42578125" bestFit="1" customWidth="1"/>
    <col min="17" max="17" width="12.140625" bestFit="1" customWidth="1"/>
    <col min="18" max="18" width="10.140625" customWidth="1"/>
    <col min="19" max="19" width="10.28515625" bestFit="1" customWidth="1"/>
    <col min="20" max="20" width="12.28515625" customWidth="1"/>
    <col min="21" max="21" width="10.28515625" customWidth="1"/>
    <col min="22" max="22" width="12.140625" customWidth="1"/>
  </cols>
  <sheetData>
    <row r="1" spans="1:37" s="29" customFormat="1" ht="14.45" x14ac:dyDescent="0.3">
      <c r="A1" s="28" t="s">
        <v>107</v>
      </c>
      <c r="D1" s="30"/>
      <c r="E1" s="30"/>
      <c r="F1" s="30"/>
    </row>
    <row r="3" spans="1:37" ht="15" customHeight="1" x14ac:dyDescent="0.25">
      <c r="C3" s="50"/>
      <c r="D3" s="103"/>
      <c r="E3" s="103"/>
      <c r="F3" s="103"/>
      <c r="G3" s="103"/>
      <c r="H3" s="103"/>
      <c r="I3" s="103"/>
      <c r="J3" s="103"/>
      <c r="K3" s="103"/>
      <c r="L3" s="103"/>
      <c r="M3" s="103"/>
      <c r="N3" s="190" t="s">
        <v>141</v>
      </c>
      <c r="O3" s="190"/>
      <c r="P3" s="190"/>
      <c r="Q3" s="190"/>
      <c r="R3" s="190"/>
      <c r="S3" s="190"/>
      <c r="T3" s="190"/>
      <c r="U3" s="190"/>
      <c r="V3" s="190"/>
      <c r="W3" s="190"/>
      <c r="X3" s="190"/>
      <c r="Y3" s="190"/>
      <c r="Z3" s="190"/>
      <c r="AA3" s="190"/>
      <c r="AB3" s="190"/>
      <c r="AC3" s="190"/>
      <c r="AD3" s="190"/>
      <c r="AE3" s="190"/>
      <c r="AF3" s="190"/>
      <c r="AG3" s="190"/>
      <c r="AH3" s="190"/>
      <c r="AI3" s="190"/>
      <c r="AJ3" s="190"/>
      <c r="AK3" s="190"/>
    </row>
    <row r="4" spans="1:37" ht="15" customHeight="1" x14ac:dyDescent="0.25">
      <c r="C4" s="52"/>
      <c r="D4" s="103"/>
      <c r="E4" s="103"/>
      <c r="F4" s="103"/>
      <c r="G4" s="103"/>
      <c r="H4" s="103"/>
      <c r="I4" s="103"/>
      <c r="J4" s="103"/>
      <c r="K4" s="103"/>
      <c r="L4" s="103"/>
      <c r="M4" s="103"/>
      <c r="N4" s="190"/>
      <c r="O4" s="190"/>
      <c r="P4" s="190"/>
      <c r="Q4" s="190"/>
      <c r="R4" s="190"/>
      <c r="S4" s="190"/>
      <c r="T4" s="190"/>
      <c r="U4" s="190"/>
      <c r="V4" s="190"/>
      <c r="W4" s="190"/>
      <c r="X4" s="190"/>
      <c r="Y4" s="190"/>
      <c r="Z4" s="190"/>
      <c r="AA4" s="190"/>
      <c r="AB4" s="190"/>
      <c r="AC4" s="190"/>
      <c r="AD4" s="190"/>
      <c r="AE4" s="190"/>
      <c r="AF4" s="190"/>
      <c r="AG4" s="190"/>
      <c r="AH4" s="190"/>
      <c r="AI4" s="190"/>
      <c r="AJ4" s="190"/>
      <c r="AK4" s="190"/>
    </row>
    <row r="5" spans="1:37" x14ac:dyDescent="0.25">
      <c r="D5" s="103"/>
      <c r="E5" s="103"/>
      <c r="F5" s="103"/>
      <c r="G5" s="103"/>
      <c r="H5" s="103"/>
      <c r="I5" s="103"/>
      <c r="J5" s="103"/>
      <c r="K5" s="103"/>
      <c r="L5" s="103"/>
      <c r="M5" s="103"/>
      <c r="N5" s="190"/>
      <c r="O5" s="190"/>
      <c r="P5" s="190"/>
      <c r="Q5" s="190"/>
      <c r="R5" s="190"/>
      <c r="S5" s="190"/>
      <c r="T5" s="190"/>
      <c r="U5" s="190"/>
      <c r="V5" s="190"/>
      <c r="W5" s="190"/>
      <c r="X5" s="190"/>
      <c r="Y5" s="190"/>
      <c r="Z5" s="190"/>
      <c r="AA5" s="190"/>
      <c r="AB5" s="190"/>
      <c r="AC5" s="190"/>
      <c r="AD5" s="190"/>
      <c r="AE5" s="190"/>
      <c r="AF5" s="190"/>
      <c r="AG5" s="190"/>
      <c r="AH5" s="190"/>
      <c r="AI5" s="190"/>
      <c r="AJ5" s="190"/>
      <c r="AK5" s="190"/>
    </row>
    <row r="6" spans="1:37" x14ac:dyDescent="0.25">
      <c r="C6" s="41" t="s">
        <v>197</v>
      </c>
      <c r="D6" s="103"/>
      <c r="E6" s="103"/>
      <c r="F6" s="103"/>
      <c r="G6" s="103"/>
      <c r="H6" s="103"/>
      <c r="I6" s="103"/>
      <c r="J6" s="103"/>
      <c r="K6" s="103"/>
      <c r="L6" s="103"/>
      <c r="M6" s="103"/>
      <c r="N6" s="190"/>
      <c r="O6" s="190"/>
      <c r="P6" s="190"/>
      <c r="Q6" s="190"/>
      <c r="R6" s="190"/>
      <c r="S6" s="190"/>
      <c r="T6" s="190"/>
      <c r="U6" s="190"/>
      <c r="V6" s="190"/>
      <c r="W6" s="190"/>
      <c r="X6" s="190"/>
      <c r="Y6" s="190"/>
      <c r="Z6" s="190"/>
      <c r="AA6" s="190"/>
      <c r="AB6" s="190"/>
      <c r="AC6" s="190"/>
      <c r="AD6" s="190"/>
      <c r="AE6" s="190"/>
      <c r="AF6" s="190"/>
      <c r="AG6" s="190"/>
      <c r="AH6" s="190"/>
      <c r="AI6" s="190"/>
      <c r="AJ6" s="190"/>
      <c r="AK6" s="190"/>
    </row>
    <row r="7" spans="1:37" x14ac:dyDescent="0.25">
      <c r="C7" s="41" t="s">
        <v>86</v>
      </c>
      <c r="D7" s="103"/>
      <c r="E7" s="103"/>
      <c r="F7" s="103"/>
      <c r="G7" s="103"/>
      <c r="H7" s="103"/>
      <c r="I7" s="103"/>
      <c r="J7" s="103"/>
      <c r="K7" s="103"/>
      <c r="L7" s="103"/>
      <c r="M7" s="103"/>
      <c r="N7" s="190"/>
      <c r="O7" s="190"/>
      <c r="P7" s="190"/>
      <c r="Q7" s="190"/>
      <c r="R7" s="190"/>
      <c r="S7" s="190"/>
      <c r="T7" s="190"/>
      <c r="U7" s="190"/>
      <c r="V7" s="190"/>
      <c r="W7" s="190"/>
      <c r="X7" s="190"/>
      <c r="Y7" s="190"/>
      <c r="Z7" s="190"/>
      <c r="AA7" s="190"/>
      <c r="AB7" s="190"/>
      <c r="AC7" s="190"/>
      <c r="AD7" s="190"/>
      <c r="AE7" s="190"/>
      <c r="AF7" s="190"/>
      <c r="AG7" s="190"/>
      <c r="AH7" s="190"/>
      <c r="AI7" s="190"/>
      <c r="AJ7" s="190"/>
      <c r="AK7" s="190"/>
    </row>
    <row r="8" spans="1:37" x14ac:dyDescent="0.25">
      <c r="D8" s="103"/>
      <c r="E8" s="103"/>
      <c r="F8" s="103"/>
      <c r="G8" s="103"/>
      <c r="H8" s="103"/>
      <c r="I8" s="103"/>
      <c r="J8" s="103"/>
      <c r="K8" s="103"/>
      <c r="L8" s="103"/>
      <c r="M8" s="103"/>
      <c r="N8" s="190"/>
      <c r="O8" s="190"/>
      <c r="P8" s="190"/>
      <c r="Q8" s="190"/>
      <c r="R8" s="190"/>
      <c r="S8" s="190"/>
      <c r="T8" s="190"/>
      <c r="U8" s="190"/>
      <c r="V8" s="190"/>
      <c r="W8" s="190"/>
      <c r="X8" s="190"/>
      <c r="Y8" s="190"/>
      <c r="Z8" s="190"/>
      <c r="AA8" s="190"/>
      <c r="AB8" s="190"/>
      <c r="AC8" s="190"/>
      <c r="AD8" s="190"/>
      <c r="AE8" s="190"/>
      <c r="AF8" s="190"/>
      <c r="AG8" s="190"/>
      <c r="AH8" s="190"/>
      <c r="AI8" s="190"/>
      <c r="AJ8" s="190"/>
      <c r="AK8" s="190"/>
    </row>
    <row r="9" spans="1:37" s="158" customFormat="1" x14ac:dyDescent="0.25">
      <c r="D9" s="103"/>
      <c r="E9" s="103"/>
      <c r="F9" s="103"/>
      <c r="G9" s="103"/>
      <c r="H9" s="103"/>
      <c r="I9" s="103"/>
      <c r="J9" s="103"/>
      <c r="K9" s="103"/>
      <c r="L9" s="103"/>
      <c r="M9" s="103"/>
      <c r="N9" s="190"/>
      <c r="O9" s="190"/>
      <c r="P9" s="190"/>
      <c r="Q9" s="190"/>
      <c r="R9" s="190"/>
      <c r="S9" s="190"/>
      <c r="T9" s="190"/>
      <c r="U9" s="190"/>
      <c r="V9" s="190"/>
      <c r="W9" s="190"/>
      <c r="X9" s="190"/>
      <c r="Y9" s="190"/>
      <c r="Z9" s="190"/>
      <c r="AA9" s="190"/>
      <c r="AB9" s="190"/>
      <c r="AC9" s="190"/>
      <c r="AD9" s="190"/>
      <c r="AE9" s="190"/>
      <c r="AF9" s="190"/>
      <c r="AG9" s="190"/>
      <c r="AH9" s="190"/>
      <c r="AI9" s="190"/>
      <c r="AJ9" s="190"/>
      <c r="AK9" s="190"/>
    </row>
    <row r="10" spans="1:37" x14ac:dyDescent="0.25">
      <c r="D10" s="103"/>
      <c r="E10" s="103"/>
      <c r="F10" s="103"/>
      <c r="G10" s="103"/>
      <c r="H10" s="103"/>
      <c r="I10" s="103"/>
      <c r="J10" s="103"/>
      <c r="K10" s="103"/>
      <c r="L10" s="103"/>
      <c r="M10" s="103"/>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row>
    <row r="11" spans="1:37" s="158" customFormat="1" x14ac:dyDescent="0.25">
      <c r="D11" s="103"/>
      <c r="E11" s="103"/>
      <c r="F11" s="103"/>
      <c r="G11" s="103"/>
      <c r="H11" s="103"/>
      <c r="I11" s="103"/>
      <c r="J11" s="103"/>
      <c r="K11" s="103"/>
      <c r="L11" s="103"/>
      <c r="M11" s="103"/>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row>
    <row r="12" spans="1:37" x14ac:dyDescent="0.25">
      <c r="D12" s="103"/>
      <c r="E12" s="103"/>
      <c r="F12" s="103"/>
      <c r="G12" s="103"/>
      <c r="H12" s="103"/>
      <c r="I12" s="103"/>
      <c r="J12" s="103"/>
      <c r="K12" s="103"/>
      <c r="L12" s="103"/>
      <c r="M12" s="103"/>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row>
    <row r="13" spans="1:37" x14ac:dyDescent="0.25">
      <c r="D13" s="103"/>
      <c r="E13" s="103"/>
      <c r="F13" s="103"/>
      <c r="G13" s="103"/>
      <c r="H13" s="103"/>
      <c r="I13" s="103"/>
      <c r="J13" s="103"/>
      <c r="K13" s="103"/>
      <c r="L13" s="103"/>
      <c r="M13" s="103"/>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row>
    <row r="14" spans="1:37" x14ac:dyDescent="0.25">
      <c r="D14" s="65"/>
      <c r="E14" s="64">
        <v>20</v>
      </c>
      <c r="G14" s="66"/>
      <c r="L14" s="6"/>
      <c r="M14" s="65"/>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row>
    <row r="15" spans="1:37" ht="14.45" x14ac:dyDescent="0.3">
      <c r="C15" s="6" t="s">
        <v>26</v>
      </c>
    </row>
    <row r="16" spans="1:37" ht="32.450000000000003" x14ac:dyDescent="0.3">
      <c r="C16" s="17" t="s">
        <v>14</v>
      </c>
      <c r="D16" s="20" t="s">
        <v>21</v>
      </c>
      <c r="E16" s="20" t="s">
        <v>94</v>
      </c>
      <c r="F16" s="17" t="s">
        <v>13</v>
      </c>
      <c r="G16" s="17" t="s">
        <v>15</v>
      </c>
      <c r="H16" s="18" t="s">
        <v>1</v>
      </c>
      <c r="I16" s="19" t="s">
        <v>25</v>
      </c>
      <c r="J16" s="17" t="s">
        <v>2</v>
      </c>
      <c r="K16" s="20" t="s">
        <v>94</v>
      </c>
      <c r="L16" s="20" t="s">
        <v>22</v>
      </c>
      <c r="M16" s="19" t="s">
        <v>8</v>
      </c>
      <c r="N16" s="19" t="s">
        <v>16</v>
      </c>
      <c r="O16" s="19" t="s">
        <v>17</v>
      </c>
      <c r="P16" s="19" t="s">
        <v>18</v>
      </c>
      <c r="Q16" s="20" t="s">
        <v>10</v>
      </c>
      <c r="R16" s="20" t="s">
        <v>23</v>
      </c>
      <c r="S16" s="19" t="s">
        <v>9</v>
      </c>
      <c r="T16" s="19" t="s">
        <v>19</v>
      </c>
      <c r="U16" s="19" t="s">
        <v>20</v>
      </c>
      <c r="V16" s="19" t="s">
        <v>24</v>
      </c>
    </row>
    <row r="17" spans="1:22" ht="14.45" x14ac:dyDescent="0.3">
      <c r="A17" s="41" t="s">
        <v>197</v>
      </c>
      <c r="C17" s="68" t="s">
        <v>119</v>
      </c>
      <c r="D17" s="56">
        <v>15700</v>
      </c>
      <c r="E17" s="8">
        <v>774.73</v>
      </c>
      <c r="F17" s="8">
        <v>1</v>
      </c>
      <c r="G17" s="11">
        <f>D17/E17</f>
        <v>20.265124624062576</v>
      </c>
      <c r="H17" s="7"/>
      <c r="I17" s="7"/>
      <c r="J17" s="8" t="s">
        <v>76</v>
      </c>
      <c r="K17" s="8">
        <v>101.15</v>
      </c>
      <c r="L17" s="46">
        <f>45.6*K17</f>
        <v>4612.4400000000005</v>
      </c>
      <c r="M17" s="42" t="s">
        <v>27</v>
      </c>
      <c r="N17" s="45">
        <v>110000</v>
      </c>
      <c r="O17" s="1">
        <v>0.88300000000000001</v>
      </c>
      <c r="P17" s="11">
        <f>N17*O17</f>
        <v>97130</v>
      </c>
      <c r="Q17" s="8"/>
      <c r="R17" s="8"/>
      <c r="S17" s="7"/>
      <c r="T17" s="7"/>
      <c r="U17" s="7"/>
      <c r="V17" s="11">
        <f>T17*U17</f>
        <v>0</v>
      </c>
    </row>
    <row r="18" spans="1:22" ht="14.45" x14ac:dyDescent="0.3">
      <c r="C18" s="69" t="s">
        <v>124</v>
      </c>
      <c r="D18" s="8">
        <v>7120</v>
      </c>
      <c r="E18" s="8">
        <v>313.37</v>
      </c>
      <c r="F18" s="8">
        <f>G18/G17</f>
        <v>1.1211747209145535</v>
      </c>
      <c r="G18" s="11">
        <f>D18/E18</f>
        <v>22.720745444682006</v>
      </c>
      <c r="H18" s="1"/>
      <c r="I18" s="1"/>
      <c r="J18" s="25" t="s">
        <v>87</v>
      </c>
      <c r="K18" s="26">
        <v>136.58000000000001</v>
      </c>
      <c r="L18" s="46">
        <f>22.9*K18</f>
        <v>3127.6820000000002</v>
      </c>
      <c r="M18" s="42"/>
      <c r="N18" s="2"/>
      <c r="O18" s="1"/>
      <c r="P18" s="11"/>
      <c r="Q18" s="8"/>
      <c r="R18" s="8"/>
      <c r="S18" s="7"/>
      <c r="T18" s="7"/>
      <c r="U18" s="7"/>
      <c r="V18" s="11">
        <f t="shared" ref="V18" si="0">T18*U18</f>
        <v>0</v>
      </c>
    </row>
    <row r="19" spans="1:22" ht="14.45" x14ac:dyDescent="0.3">
      <c r="C19" s="10" t="s">
        <v>4</v>
      </c>
      <c r="D19" s="11">
        <f>SUM(D17:D18)</f>
        <v>22820</v>
      </c>
      <c r="E19" s="11">
        <f>SUM(E17:E18)</f>
        <v>1088.0999999999999</v>
      </c>
      <c r="F19" s="10"/>
      <c r="G19" s="165">
        <f>SUM(G17:G18)</f>
        <v>42.985870068744582</v>
      </c>
      <c r="I19" s="23">
        <f>SUM(I17:I18)</f>
        <v>0</v>
      </c>
      <c r="L19" s="47">
        <f>SUM(L17:L18)</f>
        <v>7740.1220000000012</v>
      </c>
      <c r="N19" s="89">
        <f>SUM(N17:N18)</f>
        <v>110000</v>
      </c>
      <c r="P19" s="23">
        <f>SUM(P17:P18)</f>
        <v>97130</v>
      </c>
      <c r="R19" s="23">
        <f>SUM(R17:R18)</f>
        <v>0</v>
      </c>
      <c r="V19" s="23">
        <f>SUM(V17:V18)</f>
        <v>0</v>
      </c>
    </row>
    <row r="20" spans="1:22" ht="14.45" x14ac:dyDescent="0.3">
      <c r="C20" s="4"/>
      <c r="D20" s="3"/>
      <c r="E20" s="3"/>
      <c r="F20" s="3"/>
      <c r="G20" s="4"/>
      <c r="H20" s="4"/>
      <c r="I20" s="4"/>
      <c r="M20" s="49"/>
      <c r="N20" s="4"/>
      <c r="O20" s="4"/>
      <c r="P20" s="4"/>
      <c r="Q20" s="4"/>
      <c r="R20" s="4"/>
      <c r="S20" s="4"/>
      <c r="T20" s="4"/>
      <c r="U20" s="4"/>
      <c r="V20" s="4"/>
    </row>
    <row r="21" spans="1:22" ht="14.45" x14ac:dyDescent="0.3">
      <c r="C21" s="4"/>
      <c r="D21" s="3"/>
      <c r="E21" s="3"/>
      <c r="F21" s="3"/>
      <c r="G21" s="4"/>
      <c r="H21" s="4"/>
      <c r="K21" s="162" t="s">
        <v>133</v>
      </c>
      <c r="L21" s="12">
        <f>(T23/G17)*100</f>
        <v>84.305863862193149</v>
      </c>
      <c r="M21" s="49"/>
      <c r="O21" s="4"/>
      <c r="P21" s="4"/>
      <c r="Q21" s="4"/>
      <c r="R21" s="4"/>
      <c r="S21" s="4"/>
    </row>
    <row r="22" spans="1:22" ht="14.45" x14ac:dyDescent="0.3">
      <c r="C22" s="4"/>
      <c r="D22" s="3"/>
      <c r="E22" s="3"/>
      <c r="F22" s="3"/>
      <c r="G22" s="4"/>
      <c r="H22" s="4"/>
      <c r="K22" s="159" t="s">
        <v>134</v>
      </c>
      <c r="L22" s="13">
        <f>(S23/(E19)*100)</f>
        <v>82.518150905247694</v>
      </c>
      <c r="M22" s="49"/>
      <c r="R22" s="5" t="s">
        <v>11</v>
      </c>
      <c r="S22" s="5" t="s">
        <v>12</v>
      </c>
      <c r="T22" s="5" t="s">
        <v>0</v>
      </c>
    </row>
    <row r="23" spans="1:22" ht="14.45" x14ac:dyDescent="0.3">
      <c r="C23" s="4"/>
      <c r="D23" s="3"/>
      <c r="E23" s="3"/>
      <c r="F23" s="3"/>
      <c r="G23" s="4"/>
      <c r="H23" s="4"/>
      <c r="K23" s="162" t="s">
        <v>135</v>
      </c>
      <c r="L23" s="12">
        <f>(R23/D19)*100</f>
        <v>67.221735319894833</v>
      </c>
      <c r="P23" s="4"/>
      <c r="Q23" s="5" t="s">
        <v>3</v>
      </c>
      <c r="R23" s="9">
        <v>15340</v>
      </c>
      <c r="S23" s="9">
        <v>897.88</v>
      </c>
      <c r="T23" s="22">
        <f>R23/S23</f>
        <v>17.084688377065977</v>
      </c>
    </row>
    <row r="24" spans="1:22" ht="16.149999999999999" x14ac:dyDescent="0.3">
      <c r="C24" s="4"/>
      <c r="D24" s="3"/>
      <c r="E24" s="3"/>
      <c r="F24" s="3"/>
      <c r="G24" s="4"/>
      <c r="H24" s="4"/>
      <c r="K24" s="159" t="s">
        <v>136</v>
      </c>
      <c r="L24" s="13">
        <f>(D19+I19+L19+P19+R19+V19)/R23</f>
        <v>8.3239975228161676</v>
      </c>
      <c r="O24" s="4"/>
      <c r="P24" s="4"/>
      <c r="S24" s="65"/>
      <c r="T24" s="3"/>
    </row>
    <row r="25" spans="1:22" ht="16.149999999999999" x14ac:dyDescent="0.3">
      <c r="C25" s="4"/>
      <c r="D25" s="3"/>
      <c r="E25" s="3"/>
      <c r="F25" s="3"/>
      <c r="G25" s="4"/>
      <c r="H25" s="4"/>
      <c r="I25" s="4"/>
      <c r="K25" s="163" t="s">
        <v>137</v>
      </c>
      <c r="L25" s="15">
        <f>(D19+I19+L19)/R23</f>
        <v>1.9921852672750979</v>
      </c>
      <c r="N25" s="163" t="s">
        <v>139</v>
      </c>
      <c r="O25" s="93">
        <f>G17/N19*1000</f>
        <v>0.18422840567329615</v>
      </c>
      <c r="P25" s="4"/>
      <c r="S25" s="4"/>
    </row>
    <row r="26" spans="1:22" ht="16.149999999999999" x14ac:dyDescent="0.3">
      <c r="C26" s="4"/>
      <c r="D26" s="3"/>
      <c r="E26" s="3"/>
      <c r="F26" s="3"/>
      <c r="G26" s="4"/>
      <c r="H26" s="4"/>
      <c r="I26" s="4"/>
      <c r="K26" s="164" t="s">
        <v>138</v>
      </c>
      <c r="L26" s="16">
        <f>(P19+V19)/R23</f>
        <v>6.3318122555410694</v>
      </c>
      <c r="M26" s="4"/>
      <c r="N26" s="4"/>
      <c r="O26" s="4"/>
      <c r="P26" s="4"/>
      <c r="U26" s="4"/>
      <c r="V26" s="4"/>
    </row>
    <row r="29" spans="1:22" ht="14.45" x14ac:dyDescent="0.3">
      <c r="C29" s="6"/>
      <c r="D29"/>
      <c r="E29" s="3"/>
      <c r="F29" s="3"/>
      <c r="G29" s="4"/>
      <c r="H29" s="4"/>
      <c r="I29" s="4"/>
      <c r="K29" s="4"/>
      <c r="L29" s="4"/>
      <c r="N29" s="4"/>
      <c r="O29" s="4"/>
      <c r="P29" s="4"/>
      <c r="Q29" s="4"/>
      <c r="R29" s="4"/>
      <c r="S29" s="4"/>
      <c r="T29" s="4"/>
      <c r="U29" s="4"/>
      <c r="V29" s="4"/>
    </row>
    <row r="30" spans="1:22" s="29" customFormat="1" ht="14.45" x14ac:dyDescent="0.3">
      <c r="A30" s="28" t="s">
        <v>126</v>
      </c>
      <c r="D30" s="30"/>
      <c r="E30" s="30"/>
      <c r="F30" s="30"/>
    </row>
    <row r="31" spans="1:22" ht="14.45" x14ac:dyDescent="0.3">
      <c r="B31" s="4"/>
      <c r="C31" s="6" t="s">
        <v>26</v>
      </c>
      <c r="D31" s="65"/>
      <c r="E31" s="65"/>
      <c r="F31" s="65"/>
    </row>
    <row r="32" spans="1:22" ht="32.450000000000003" x14ac:dyDescent="0.3">
      <c r="C32" s="17" t="s">
        <v>14</v>
      </c>
      <c r="D32" s="20" t="s">
        <v>21</v>
      </c>
      <c r="E32" s="20" t="s">
        <v>94</v>
      </c>
      <c r="F32" s="17" t="s">
        <v>13</v>
      </c>
      <c r="G32" s="17" t="s">
        <v>15</v>
      </c>
      <c r="H32" s="18" t="s">
        <v>1</v>
      </c>
      <c r="I32" s="19" t="s">
        <v>25</v>
      </c>
      <c r="J32" s="17" t="s">
        <v>2</v>
      </c>
      <c r="K32" s="20" t="s">
        <v>94</v>
      </c>
      <c r="L32" s="20" t="s">
        <v>22</v>
      </c>
      <c r="M32" s="19" t="s">
        <v>8</v>
      </c>
      <c r="N32" s="19" t="s">
        <v>16</v>
      </c>
      <c r="O32" s="19" t="s">
        <v>17</v>
      </c>
      <c r="P32" s="19" t="s">
        <v>18</v>
      </c>
      <c r="Q32" s="20" t="s">
        <v>10</v>
      </c>
      <c r="R32" s="20" t="s">
        <v>23</v>
      </c>
      <c r="S32" s="19" t="s">
        <v>9</v>
      </c>
      <c r="T32" s="19" t="s">
        <v>19</v>
      </c>
      <c r="U32" s="19" t="s">
        <v>20</v>
      </c>
      <c r="V32" s="19" t="s">
        <v>24</v>
      </c>
    </row>
    <row r="33" spans="1:22" ht="14.45" x14ac:dyDescent="0.3">
      <c r="A33" s="41" t="s">
        <v>197</v>
      </c>
      <c r="C33" s="68" t="s">
        <v>119</v>
      </c>
      <c r="D33" s="56">
        <v>15700</v>
      </c>
      <c r="E33" s="8">
        <v>774.73</v>
      </c>
      <c r="F33" s="8">
        <v>1</v>
      </c>
      <c r="G33" s="11">
        <f>D33/E33</f>
        <v>20.265124624062576</v>
      </c>
      <c r="H33" s="7"/>
      <c r="I33" s="7"/>
      <c r="J33" s="8" t="s">
        <v>76</v>
      </c>
      <c r="K33" s="8">
        <v>101.15</v>
      </c>
      <c r="L33" s="46">
        <f>45.6*K33</f>
        <v>4612.4400000000005</v>
      </c>
      <c r="M33" s="42" t="s">
        <v>27</v>
      </c>
      <c r="N33" s="45">
        <v>50600</v>
      </c>
      <c r="O33" s="1">
        <v>0.88300000000000001</v>
      </c>
      <c r="P33" s="11">
        <f>N33*O33</f>
        <v>44679.8</v>
      </c>
      <c r="Q33" s="8"/>
      <c r="R33" s="8"/>
      <c r="S33" s="7"/>
      <c r="T33" s="7"/>
      <c r="U33" s="7"/>
      <c r="V33" s="11">
        <f>T33*U33</f>
        <v>0</v>
      </c>
    </row>
    <row r="34" spans="1:22" ht="14.45" x14ac:dyDescent="0.3">
      <c r="C34" s="69" t="s">
        <v>124</v>
      </c>
      <c r="D34" s="8">
        <v>7120</v>
      </c>
      <c r="E34" s="8">
        <v>313.37</v>
      </c>
      <c r="F34" s="8">
        <f>G34/G33</f>
        <v>1.1211747209145535</v>
      </c>
      <c r="G34" s="11">
        <f>D34/E34</f>
        <v>22.720745444682006</v>
      </c>
      <c r="H34" s="1"/>
      <c r="I34" s="1"/>
      <c r="J34" s="25" t="s">
        <v>87</v>
      </c>
      <c r="K34" s="26">
        <v>136.58000000000001</v>
      </c>
      <c r="L34" s="46">
        <f>22.9*K34</f>
        <v>3127.6820000000002</v>
      </c>
      <c r="M34" s="42"/>
      <c r="N34" s="2"/>
      <c r="O34" s="1"/>
      <c r="P34" s="11">
        <f>N34*O34</f>
        <v>0</v>
      </c>
      <c r="Q34" s="8"/>
      <c r="R34" s="8"/>
      <c r="S34" s="7"/>
      <c r="T34" s="7"/>
      <c r="U34" s="7"/>
      <c r="V34" s="11">
        <f t="shared" ref="V34" si="1">T34*U34</f>
        <v>0</v>
      </c>
    </row>
    <row r="35" spans="1:22" ht="14.45" x14ac:dyDescent="0.3">
      <c r="C35" s="10" t="s">
        <v>4</v>
      </c>
      <c r="D35" s="11">
        <f>SUM(D33:D34)</f>
        <v>22820</v>
      </c>
      <c r="E35" s="11">
        <f>SUM(E33:E34)</f>
        <v>1088.0999999999999</v>
      </c>
      <c r="F35" s="10"/>
      <c r="G35" s="165">
        <f>SUM(G33:G34)</f>
        <v>42.985870068744582</v>
      </c>
      <c r="I35" s="23">
        <f>SUM(I33:I34)</f>
        <v>0</v>
      </c>
      <c r="L35" s="47">
        <f>SUM(L33:L34)</f>
        <v>7740.1220000000012</v>
      </c>
      <c r="N35" s="89">
        <f>SUM(N33:N34)</f>
        <v>50600</v>
      </c>
      <c r="P35" s="23">
        <f>SUM(P33:P34)</f>
        <v>44679.8</v>
      </c>
      <c r="R35" s="23">
        <f>SUM(R33:R34)</f>
        <v>0</v>
      </c>
      <c r="V35" s="23">
        <f>SUM(V33:V34)</f>
        <v>0</v>
      </c>
    </row>
    <row r="36" spans="1:22" ht="14.45" x14ac:dyDescent="0.3">
      <c r="C36" s="4"/>
      <c r="D36" s="3"/>
      <c r="E36" s="3"/>
      <c r="F36" s="3"/>
      <c r="G36" s="4"/>
      <c r="H36" s="4"/>
      <c r="I36" s="4"/>
      <c r="M36" s="49"/>
      <c r="N36" s="4"/>
      <c r="O36" s="4"/>
      <c r="P36" s="4"/>
      <c r="Q36" s="4"/>
      <c r="R36" s="4"/>
      <c r="S36" s="4"/>
      <c r="T36" s="4"/>
      <c r="U36" s="4"/>
      <c r="V36" s="4"/>
    </row>
    <row r="37" spans="1:22" ht="14.45" x14ac:dyDescent="0.3">
      <c r="C37" s="4"/>
      <c r="D37" s="3"/>
      <c r="E37" s="3"/>
      <c r="F37" s="3"/>
      <c r="G37" s="4"/>
      <c r="H37" s="4"/>
      <c r="K37" s="162" t="s">
        <v>133</v>
      </c>
      <c r="L37" s="12">
        <f>(T39/G33)*100</f>
        <v>84.305863862193149</v>
      </c>
      <c r="M37" s="49"/>
      <c r="O37" s="4"/>
      <c r="P37" s="4"/>
      <c r="Q37" s="4"/>
      <c r="R37" s="4"/>
      <c r="S37" s="4"/>
    </row>
    <row r="38" spans="1:22" ht="14.45" x14ac:dyDescent="0.3">
      <c r="C38" s="4"/>
      <c r="D38" s="3"/>
      <c r="E38" s="3"/>
      <c r="F38" s="3"/>
      <c r="G38" s="4"/>
      <c r="H38" s="4"/>
      <c r="K38" s="159" t="s">
        <v>134</v>
      </c>
      <c r="L38" s="13">
        <f>(S39/(E35)*100)</f>
        <v>82.518150905247694</v>
      </c>
      <c r="M38" s="49"/>
      <c r="R38" s="5" t="s">
        <v>11</v>
      </c>
      <c r="S38" s="5" t="s">
        <v>12</v>
      </c>
      <c r="T38" s="5" t="s">
        <v>0</v>
      </c>
    </row>
    <row r="39" spans="1:22" ht="14.45" x14ac:dyDescent="0.3">
      <c r="C39" s="4"/>
      <c r="D39" s="3"/>
      <c r="E39" s="3"/>
      <c r="F39" s="3"/>
      <c r="G39" s="4"/>
      <c r="H39" s="4"/>
      <c r="K39" s="162" t="s">
        <v>135</v>
      </c>
      <c r="L39" s="12">
        <f>(R39/D35)*100</f>
        <v>67.221735319894833</v>
      </c>
      <c r="P39" s="4"/>
      <c r="Q39" s="5" t="s">
        <v>3</v>
      </c>
      <c r="R39" s="9">
        <v>15340</v>
      </c>
      <c r="S39" s="9">
        <v>897.88</v>
      </c>
      <c r="T39" s="22">
        <f>R39/S39</f>
        <v>17.084688377065977</v>
      </c>
    </row>
    <row r="40" spans="1:22" ht="16.149999999999999" x14ac:dyDescent="0.3">
      <c r="C40" s="4"/>
      <c r="D40" s="3"/>
      <c r="E40" s="3"/>
      <c r="F40" s="3"/>
      <c r="G40" s="4"/>
      <c r="H40" s="4"/>
      <c r="K40" s="159" t="s">
        <v>136</v>
      </c>
      <c r="L40" s="13">
        <f>(D35+I35+L35+P35+R35+V35)/R39</f>
        <v>4.9048189048239896</v>
      </c>
      <c r="O40" s="4"/>
      <c r="P40" s="4"/>
      <c r="S40" s="65"/>
      <c r="T40" s="3"/>
    </row>
    <row r="41" spans="1:22" ht="16.149999999999999" x14ac:dyDescent="0.3">
      <c r="C41" s="4"/>
      <c r="D41" s="3"/>
      <c r="E41" s="3"/>
      <c r="F41" s="3"/>
      <c r="G41" s="4"/>
      <c r="H41" s="4"/>
      <c r="I41" s="4"/>
      <c r="K41" s="163" t="s">
        <v>137</v>
      </c>
      <c r="L41" s="15">
        <f>(D35+I35+L35)/R39</f>
        <v>1.9921852672750979</v>
      </c>
      <c r="N41" s="163" t="s">
        <v>139</v>
      </c>
      <c r="O41" s="93">
        <f>G33/N35*1000</f>
        <v>0.40049653407238289</v>
      </c>
      <c r="P41" s="4"/>
      <c r="S41" s="4"/>
    </row>
    <row r="42" spans="1:22" ht="16.149999999999999" x14ac:dyDescent="0.3">
      <c r="C42" s="4"/>
      <c r="D42" s="3"/>
      <c r="E42" s="3"/>
      <c r="F42" s="3"/>
      <c r="G42" s="4"/>
      <c r="H42" s="4"/>
      <c r="I42" s="4"/>
      <c r="K42" s="164" t="s">
        <v>138</v>
      </c>
      <c r="L42" s="16">
        <f>(P35+V35)/R39</f>
        <v>2.9126336375488919</v>
      </c>
      <c r="M42" s="4"/>
      <c r="N42" s="4"/>
      <c r="O42" s="4"/>
      <c r="P42" s="4"/>
      <c r="U42" s="4"/>
      <c r="V42" s="4"/>
    </row>
    <row r="43" spans="1:22" ht="14.45" x14ac:dyDescent="0.3">
      <c r="C43" s="6"/>
      <c r="D43"/>
      <c r="E43" s="3"/>
      <c r="F43" s="3"/>
      <c r="G43" s="4"/>
      <c r="H43" s="4"/>
      <c r="I43" s="4"/>
      <c r="K43" s="4"/>
      <c r="L43" s="4"/>
      <c r="M43" s="4"/>
      <c r="P43" s="4"/>
      <c r="Q43" s="4"/>
      <c r="R43" s="4"/>
      <c r="S43" s="4"/>
      <c r="T43" s="4"/>
      <c r="U43" s="4"/>
      <c r="V43" s="4"/>
    </row>
    <row r="44" spans="1:22" ht="14.45" x14ac:dyDescent="0.3">
      <c r="B44" s="4"/>
      <c r="C44" s="6" t="s">
        <v>26</v>
      </c>
      <c r="D44" s="65"/>
      <c r="E44" s="65"/>
      <c r="F44" s="65"/>
    </row>
    <row r="45" spans="1:22" ht="14.45" x14ac:dyDescent="0.3">
      <c r="C45" s="6"/>
      <c r="D45"/>
      <c r="E45" s="3"/>
      <c r="F45" s="3"/>
      <c r="G45" s="4"/>
      <c r="H45" s="4"/>
      <c r="I45" s="4"/>
      <c r="M45" s="4"/>
      <c r="N45" s="4"/>
      <c r="O45" s="4"/>
      <c r="P45" s="4"/>
      <c r="Q45" s="4"/>
      <c r="R45" s="4"/>
      <c r="S45" s="4"/>
      <c r="T45" s="4"/>
      <c r="U45" s="4"/>
      <c r="V45" s="4"/>
    </row>
    <row r="46" spans="1:22" s="29" customFormat="1" ht="14.45" x14ac:dyDescent="0.3">
      <c r="A46" s="28" t="s">
        <v>108</v>
      </c>
      <c r="D46" s="30"/>
      <c r="E46" s="30"/>
      <c r="F46" s="30"/>
    </row>
    <row r="47" spans="1:22" ht="14.45" x14ac:dyDescent="0.3">
      <c r="B47" s="4"/>
      <c r="C47" s="6" t="s">
        <v>26</v>
      </c>
      <c r="D47" s="65"/>
      <c r="E47" s="65"/>
      <c r="F47" s="65"/>
    </row>
    <row r="48" spans="1:22" ht="32.450000000000003" x14ac:dyDescent="0.3">
      <c r="C48" s="17" t="s">
        <v>14</v>
      </c>
      <c r="D48" s="20" t="s">
        <v>21</v>
      </c>
      <c r="E48" s="20" t="s">
        <v>94</v>
      </c>
      <c r="F48" s="17" t="s">
        <v>13</v>
      </c>
      <c r="G48" s="17" t="s">
        <v>15</v>
      </c>
      <c r="H48" s="18" t="s">
        <v>1</v>
      </c>
      <c r="I48" s="19" t="s">
        <v>25</v>
      </c>
      <c r="J48" s="17" t="s">
        <v>2</v>
      </c>
      <c r="K48" s="20" t="s">
        <v>94</v>
      </c>
      <c r="L48" s="20" t="s">
        <v>22</v>
      </c>
      <c r="M48" s="19" t="s">
        <v>8</v>
      </c>
      <c r="N48" s="19" t="s">
        <v>16</v>
      </c>
      <c r="O48" s="19" t="s">
        <v>17</v>
      </c>
      <c r="P48" s="19" t="s">
        <v>18</v>
      </c>
      <c r="Q48" s="20" t="s">
        <v>10</v>
      </c>
      <c r="R48" s="20" t="s">
        <v>23</v>
      </c>
      <c r="S48" s="19" t="s">
        <v>9</v>
      </c>
      <c r="T48" s="19" t="s">
        <v>19</v>
      </c>
      <c r="U48" s="19" t="s">
        <v>20</v>
      </c>
      <c r="V48" s="19" t="s">
        <v>24</v>
      </c>
    </row>
    <row r="49" spans="1:22" ht="14.45" x14ac:dyDescent="0.3">
      <c r="A49" s="41" t="s">
        <v>197</v>
      </c>
      <c r="C49" s="68" t="s">
        <v>119</v>
      </c>
      <c r="D49" s="56">
        <v>15700</v>
      </c>
      <c r="E49" s="8">
        <v>774.73</v>
      </c>
      <c r="F49" s="8">
        <v>1</v>
      </c>
      <c r="G49" s="11">
        <f>D49/E49</f>
        <v>20.265124624062576</v>
      </c>
      <c r="H49" s="7"/>
      <c r="I49" s="7"/>
      <c r="J49" s="8" t="s">
        <v>76</v>
      </c>
      <c r="K49" s="8">
        <v>101.15</v>
      </c>
      <c r="L49" s="46">
        <f>45.6*K49</f>
        <v>4612.4400000000005</v>
      </c>
      <c r="M49" s="42" t="s">
        <v>27</v>
      </c>
      <c r="N49" s="45">
        <v>110000</v>
      </c>
      <c r="O49" s="1">
        <v>0.88300000000000001</v>
      </c>
      <c r="P49" s="11">
        <f>N49*O49</f>
        <v>97130</v>
      </c>
      <c r="Q49" s="8"/>
      <c r="R49" s="8"/>
      <c r="S49" s="7"/>
      <c r="T49" s="7"/>
      <c r="U49" s="7"/>
      <c r="V49" s="11">
        <f>T49*U49</f>
        <v>0</v>
      </c>
    </row>
    <row r="50" spans="1:22" ht="14.45" x14ac:dyDescent="0.3">
      <c r="C50" s="69" t="s">
        <v>124</v>
      </c>
      <c r="D50" s="8">
        <v>7120</v>
      </c>
      <c r="E50" s="8">
        <v>313.37</v>
      </c>
      <c r="F50" s="8">
        <f>G50/G49</f>
        <v>1.1211747209145535</v>
      </c>
      <c r="G50" s="11">
        <f>D50/E50</f>
        <v>22.720745444682006</v>
      </c>
      <c r="H50" s="1"/>
      <c r="I50" s="1"/>
      <c r="J50" s="25" t="s">
        <v>87</v>
      </c>
      <c r="K50" s="26">
        <v>136.58000000000001</v>
      </c>
      <c r="L50" s="46">
        <f>22.9*K50</f>
        <v>3127.6820000000002</v>
      </c>
      <c r="M50" s="42"/>
      <c r="N50" s="2"/>
      <c r="O50" s="1"/>
      <c r="P50" s="11">
        <f>N50*O50</f>
        <v>0</v>
      </c>
      <c r="Q50" s="8"/>
      <c r="R50" s="8"/>
      <c r="S50" s="7"/>
      <c r="T50" s="7"/>
      <c r="U50" s="7"/>
      <c r="V50" s="11">
        <f t="shared" ref="V50" si="2">T50*U50</f>
        <v>0</v>
      </c>
    </row>
    <row r="51" spans="1:22" ht="14.45" x14ac:dyDescent="0.3">
      <c r="C51" s="10" t="s">
        <v>4</v>
      </c>
      <c r="D51" s="11">
        <f>SUM(D49:D50)</f>
        <v>22820</v>
      </c>
      <c r="E51" s="11">
        <f>SUM(E49:E50)</f>
        <v>1088.0999999999999</v>
      </c>
      <c r="F51" s="10"/>
      <c r="G51" s="165">
        <f>SUM(G49:G50)</f>
        <v>42.985870068744582</v>
      </c>
      <c r="I51" s="23">
        <f>SUM(I49:I50)</f>
        <v>0</v>
      </c>
      <c r="L51" s="47">
        <f>SUM(L49:L50)</f>
        <v>7740.1220000000012</v>
      </c>
      <c r="N51" s="89">
        <f>SUM(N49:N50)</f>
        <v>110000</v>
      </c>
      <c r="P51" s="23">
        <f>SUM(P49:P50)</f>
        <v>97130</v>
      </c>
      <c r="R51" s="23">
        <f>SUM(R49:R50)</f>
        <v>0</v>
      </c>
      <c r="V51" s="23">
        <f>SUM(V49:V50)</f>
        <v>0</v>
      </c>
    </row>
    <row r="52" spans="1:22" ht="14.45" x14ac:dyDescent="0.3">
      <c r="C52" s="4"/>
      <c r="D52" s="3"/>
      <c r="E52" s="3"/>
      <c r="F52" s="3"/>
      <c r="G52" s="4"/>
      <c r="H52" s="4"/>
      <c r="I52" s="4"/>
      <c r="M52" s="49"/>
      <c r="N52" s="4"/>
      <c r="O52" s="4"/>
      <c r="P52" s="4"/>
      <c r="Q52" s="4"/>
      <c r="R52" s="4"/>
      <c r="S52" s="4"/>
      <c r="T52" s="4"/>
      <c r="U52" s="4"/>
      <c r="V52" s="4"/>
    </row>
    <row r="53" spans="1:22" ht="14.45" x14ac:dyDescent="0.3">
      <c r="C53" s="4"/>
      <c r="D53" s="3"/>
      <c r="E53" s="3"/>
      <c r="F53" s="3"/>
      <c r="G53" s="4"/>
      <c r="H53" s="4"/>
      <c r="K53" s="162" t="s">
        <v>133</v>
      </c>
      <c r="L53" s="12">
        <f>(T55/G49)*100</f>
        <v>90.000000000000014</v>
      </c>
      <c r="M53" s="49"/>
      <c r="O53" s="4"/>
      <c r="P53" s="4"/>
      <c r="Q53" s="4"/>
      <c r="R53" s="4"/>
      <c r="S53" s="4"/>
    </row>
    <row r="54" spans="1:22" x14ac:dyDescent="0.25">
      <c r="C54" s="4"/>
      <c r="D54" s="3"/>
      <c r="E54" s="3"/>
      <c r="F54" s="3"/>
      <c r="G54" s="4"/>
      <c r="H54" s="4"/>
      <c r="K54" s="159" t="s">
        <v>134</v>
      </c>
      <c r="L54" s="13">
        <f>(S55/(E51)*100)</f>
        <v>82.518150905247694</v>
      </c>
      <c r="M54" s="49"/>
      <c r="R54" s="5" t="s">
        <v>11</v>
      </c>
      <c r="S54" s="5" t="s">
        <v>12</v>
      </c>
      <c r="T54" s="5" t="s">
        <v>0</v>
      </c>
    </row>
    <row r="55" spans="1:22" x14ac:dyDescent="0.25">
      <c r="C55" s="4"/>
      <c r="D55" s="3"/>
      <c r="E55" s="3"/>
      <c r="F55" s="3"/>
      <c r="G55" s="4"/>
      <c r="H55" s="4"/>
      <c r="K55" s="162" t="s">
        <v>135</v>
      </c>
      <c r="L55" s="12">
        <f>(R55/D51)*100</f>
        <v>71.761985485135753</v>
      </c>
      <c r="P55" s="4"/>
      <c r="Q55" s="5" t="s">
        <v>3</v>
      </c>
      <c r="R55" s="9">
        <f>T55*S55</f>
        <v>16376.085087707977</v>
      </c>
      <c r="S55" s="9">
        <v>897.88</v>
      </c>
      <c r="T55" s="22">
        <f>G49*0.9</f>
        <v>18.23861216165632</v>
      </c>
    </row>
    <row r="56" spans="1:22" ht="17.25" x14ac:dyDescent="0.25">
      <c r="C56" s="4"/>
      <c r="D56" s="3"/>
      <c r="E56" s="3"/>
      <c r="F56" s="3"/>
      <c r="G56" s="4"/>
      <c r="H56" s="4"/>
      <c r="K56" s="159" t="s">
        <v>136</v>
      </c>
      <c r="L56" s="13">
        <f>(D51+I51+L51+P51+R51+V51)/R55</f>
        <v>7.7973533549752529</v>
      </c>
      <c r="O56" s="4"/>
      <c r="P56" s="4"/>
      <c r="S56" s="65"/>
      <c r="T56" s="3"/>
    </row>
    <row r="57" spans="1:22" ht="17.25" x14ac:dyDescent="0.25">
      <c r="C57" s="4"/>
      <c r="D57" s="3"/>
      <c r="E57" s="3"/>
      <c r="F57" s="3"/>
      <c r="G57" s="4"/>
      <c r="H57" s="4"/>
      <c r="I57" s="4"/>
      <c r="K57" s="163" t="s">
        <v>137</v>
      </c>
      <c r="L57" s="15">
        <f>(D51+I51+L51)/R55</f>
        <v>1.8661433325684587</v>
      </c>
      <c r="N57" s="163" t="s">
        <v>139</v>
      </c>
      <c r="O57" s="93">
        <f>G49/N51*1000</f>
        <v>0.18422840567329615</v>
      </c>
      <c r="P57" s="4"/>
      <c r="S57" s="4"/>
    </row>
    <row r="58" spans="1:22" ht="17.25" x14ac:dyDescent="0.25">
      <c r="C58" s="4"/>
      <c r="D58" s="3"/>
      <c r="E58" s="3"/>
      <c r="F58" s="3"/>
      <c r="G58" s="4"/>
      <c r="H58" s="4"/>
      <c r="I58" s="4"/>
      <c r="K58" s="164" t="s">
        <v>138</v>
      </c>
      <c r="L58" s="16">
        <f>(P51+V51)/R55</f>
        <v>5.9312100224067938</v>
      </c>
      <c r="M58" s="4"/>
      <c r="N58" s="4"/>
      <c r="O58" s="4"/>
      <c r="P58" s="4"/>
      <c r="U58" s="4"/>
      <c r="V58" s="4"/>
    </row>
    <row r="59" spans="1:22" x14ac:dyDescent="0.25">
      <c r="C59" s="6"/>
      <c r="D59"/>
      <c r="E59" s="3"/>
      <c r="F59" s="3"/>
      <c r="G59" s="4"/>
      <c r="H59" s="4"/>
      <c r="I59" s="4"/>
      <c r="K59" s="4"/>
      <c r="L59" s="4"/>
      <c r="M59" s="4"/>
      <c r="P59" s="4"/>
      <c r="Q59" s="4"/>
      <c r="R59" s="4"/>
      <c r="S59" s="4"/>
      <c r="T59" s="4"/>
      <c r="U59" s="4"/>
      <c r="V59" s="4"/>
    </row>
    <row r="60" spans="1:22" x14ac:dyDescent="0.25">
      <c r="B60" s="4"/>
      <c r="C60" s="6" t="s">
        <v>26</v>
      </c>
      <c r="D60" s="65"/>
      <c r="E60" s="65"/>
      <c r="F60" s="65"/>
    </row>
    <row r="61" spans="1:22" x14ac:dyDescent="0.25">
      <c r="C61" s="6"/>
      <c r="D61"/>
      <c r="E61" s="3"/>
      <c r="F61" s="3"/>
      <c r="G61" s="4"/>
      <c r="H61" s="4"/>
      <c r="I61" s="4"/>
      <c r="M61" s="4"/>
      <c r="N61" s="4"/>
      <c r="O61" s="4"/>
      <c r="P61" s="4"/>
      <c r="Q61" s="4"/>
      <c r="R61" s="4"/>
      <c r="S61" s="4"/>
      <c r="T61" s="4"/>
      <c r="U61" s="4"/>
      <c r="V61" s="4"/>
    </row>
    <row r="62" spans="1:22" s="29" customFormat="1" ht="14.25" customHeight="1" x14ac:dyDescent="0.25">
      <c r="A62" s="28" t="s">
        <v>105</v>
      </c>
      <c r="D62" s="30"/>
      <c r="E62" s="30"/>
      <c r="F62" s="30"/>
    </row>
    <row r="63" spans="1:22" x14ac:dyDescent="0.25">
      <c r="B63" s="4"/>
      <c r="C63" s="6" t="s">
        <v>26</v>
      </c>
      <c r="D63" s="65"/>
      <c r="E63" s="65"/>
      <c r="F63" s="65"/>
    </row>
    <row r="64" spans="1:22" ht="34.5" x14ac:dyDescent="0.25">
      <c r="C64" s="17" t="s">
        <v>14</v>
      </c>
      <c r="D64" s="20" t="s">
        <v>21</v>
      </c>
      <c r="E64" s="20" t="s">
        <v>94</v>
      </c>
      <c r="F64" s="17" t="s">
        <v>13</v>
      </c>
      <c r="G64" s="17" t="s">
        <v>15</v>
      </c>
      <c r="H64" s="18" t="s">
        <v>1</v>
      </c>
      <c r="I64" s="19" t="s">
        <v>25</v>
      </c>
      <c r="J64" s="17" t="s">
        <v>2</v>
      </c>
      <c r="K64" s="20" t="s">
        <v>94</v>
      </c>
      <c r="L64" s="20" t="s">
        <v>22</v>
      </c>
      <c r="M64" s="19" t="s">
        <v>8</v>
      </c>
      <c r="N64" s="19" t="s">
        <v>16</v>
      </c>
      <c r="O64" s="19" t="s">
        <v>17</v>
      </c>
      <c r="P64" s="19" t="s">
        <v>18</v>
      </c>
      <c r="Q64" s="20" t="s">
        <v>10</v>
      </c>
      <c r="R64" s="20" t="s">
        <v>23</v>
      </c>
      <c r="S64" s="19" t="s">
        <v>9</v>
      </c>
      <c r="T64" s="19" t="s">
        <v>19</v>
      </c>
      <c r="U64" s="19" t="s">
        <v>20</v>
      </c>
      <c r="V64" s="19" t="s">
        <v>24</v>
      </c>
    </row>
    <row r="65" spans="1:22" x14ac:dyDescent="0.25">
      <c r="A65" s="41" t="s">
        <v>197</v>
      </c>
      <c r="C65" s="68" t="s">
        <v>119</v>
      </c>
      <c r="D65" s="56">
        <v>15700</v>
      </c>
      <c r="E65" s="8">
        <v>774.73</v>
      </c>
      <c r="F65" s="8">
        <v>1</v>
      </c>
      <c r="G65" s="11">
        <f>D65/E65</f>
        <v>20.265124624062576</v>
      </c>
      <c r="H65" s="7"/>
      <c r="I65" s="7"/>
      <c r="J65" s="8" t="s">
        <v>76</v>
      </c>
      <c r="K65" s="8">
        <v>101.15</v>
      </c>
      <c r="L65" s="46">
        <f>45.6*K65</f>
        <v>4612.4400000000005</v>
      </c>
      <c r="M65" s="42" t="s">
        <v>27</v>
      </c>
      <c r="N65" s="45">
        <v>50600</v>
      </c>
      <c r="O65" s="1">
        <v>0.88300000000000001</v>
      </c>
      <c r="P65" s="11">
        <f>N65*O65</f>
        <v>44679.8</v>
      </c>
      <c r="Q65" s="8"/>
      <c r="R65" s="8"/>
      <c r="S65" s="7"/>
      <c r="T65" s="7"/>
      <c r="U65" s="7"/>
      <c r="V65" s="11">
        <f>T65*U65</f>
        <v>0</v>
      </c>
    </row>
    <row r="66" spans="1:22" x14ac:dyDescent="0.25">
      <c r="C66" s="69" t="s">
        <v>124</v>
      </c>
      <c r="D66" s="8">
        <v>7120</v>
      </c>
      <c r="E66" s="8">
        <v>313.37</v>
      </c>
      <c r="F66" s="8">
        <f>G66/G65</f>
        <v>1.1211747209145535</v>
      </c>
      <c r="G66" s="11">
        <f>D66/E66</f>
        <v>22.720745444682006</v>
      </c>
      <c r="H66" s="1"/>
      <c r="I66" s="1"/>
      <c r="J66" s="25" t="s">
        <v>87</v>
      </c>
      <c r="K66" s="26">
        <v>136.58000000000001</v>
      </c>
      <c r="L66" s="46">
        <f>22.9*K66</f>
        <v>3127.6820000000002</v>
      </c>
      <c r="M66" s="42"/>
      <c r="N66" s="2"/>
      <c r="O66" s="1"/>
      <c r="P66" s="11">
        <f>N66*O66</f>
        <v>0</v>
      </c>
      <c r="Q66" s="8"/>
      <c r="R66" s="8"/>
      <c r="S66" s="7"/>
      <c r="T66" s="7"/>
      <c r="U66" s="7"/>
      <c r="V66" s="11">
        <f t="shared" ref="V66" si="3">T66*U66</f>
        <v>0</v>
      </c>
    </row>
    <row r="67" spans="1:22" x14ac:dyDescent="0.25">
      <c r="C67" s="10" t="s">
        <v>4</v>
      </c>
      <c r="D67" s="11">
        <f>SUM(D65:D66)</f>
        <v>22820</v>
      </c>
      <c r="E67" s="11">
        <f>SUM(E65:E66)</f>
        <v>1088.0999999999999</v>
      </c>
      <c r="F67" s="10"/>
      <c r="G67" s="165">
        <f>SUM(G65:G66)</f>
        <v>42.985870068744582</v>
      </c>
      <c r="I67" s="23">
        <f>SUM(I65:I66)</f>
        <v>0</v>
      </c>
      <c r="L67" s="47">
        <f>SUM(L65:L66)</f>
        <v>7740.1220000000012</v>
      </c>
      <c r="N67" s="89">
        <f>SUM(N65:N66)</f>
        <v>50600</v>
      </c>
      <c r="P67" s="23">
        <f>SUM(P65:P66)</f>
        <v>44679.8</v>
      </c>
      <c r="R67" s="23">
        <f>SUM(R65:R66)</f>
        <v>0</v>
      </c>
      <c r="V67" s="23">
        <f>SUM(V65:V66)</f>
        <v>0</v>
      </c>
    </row>
    <row r="68" spans="1:22" x14ac:dyDescent="0.25">
      <c r="C68" s="4"/>
      <c r="D68" s="3"/>
      <c r="E68" s="3"/>
      <c r="F68" s="3"/>
      <c r="G68" s="4"/>
      <c r="H68" s="4"/>
      <c r="I68" s="4"/>
      <c r="M68" s="49"/>
      <c r="N68" s="4"/>
      <c r="O68" s="4"/>
      <c r="P68" s="4"/>
      <c r="Q68" s="4"/>
      <c r="R68" s="4"/>
      <c r="S68" s="4"/>
      <c r="T68" s="4"/>
      <c r="U68" s="4"/>
      <c r="V68" s="4"/>
    </row>
    <row r="69" spans="1:22" x14ac:dyDescent="0.25">
      <c r="C69" s="4"/>
      <c r="D69" s="3"/>
      <c r="E69" s="3"/>
      <c r="F69" s="3"/>
      <c r="G69" s="4"/>
      <c r="H69" s="4"/>
      <c r="K69" s="162" t="s">
        <v>133</v>
      </c>
      <c r="L69" s="12">
        <f>(T71/G65)*100</f>
        <v>90.000000000000014</v>
      </c>
      <c r="M69" s="49"/>
      <c r="O69" s="4"/>
      <c r="P69" s="4"/>
      <c r="Q69" s="4"/>
      <c r="R69" s="4"/>
      <c r="S69" s="4"/>
    </row>
    <row r="70" spans="1:22" x14ac:dyDescent="0.25">
      <c r="C70" s="4"/>
      <c r="D70" s="3"/>
      <c r="E70" s="3"/>
      <c r="F70" s="3"/>
      <c r="G70" s="4"/>
      <c r="H70" s="4"/>
      <c r="K70" s="159" t="s">
        <v>134</v>
      </c>
      <c r="L70" s="13">
        <f>(S71/(E67)*100)</f>
        <v>82.518150905247694</v>
      </c>
      <c r="M70" s="49"/>
      <c r="R70" s="5" t="s">
        <v>11</v>
      </c>
      <c r="S70" s="5" t="s">
        <v>12</v>
      </c>
      <c r="T70" s="5" t="s">
        <v>0</v>
      </c>
    </row>
    <row r="71" spans="1:22" x14ac:dyDescent="0.25">
      <c r="C71" s="4"/>
      <c r="D71" s="3"/>
      <c r="E71" s="3"/>
      <c r="F71" s="3"/>
      <c r="G71" s="4"/>
      <c r="H71" s="4"/>
      <c r="K71" s="162" t="s">
        <v>135</v>
      </c>
      <c r="L71" s="12">
        <f>(R71/D67)*100</f>
        <v>71.761985485135753</v>
      </c>
      <c r="P71" s="4"/>
      <c r="Q71" s="5" t="s">
        <v>3</v>
      </c>
      <c r="R71" s="9">
        <f>T71*S71</f>
        <v>16376.085087707977</v>
      </c>
      <c r="S71" s="9">
        <v>897.88</v>
      </c>
      <c r="T71" s="22">
        <f>G65*0.9</f>
        <v>18.23861216165632</v>
      </c>
    </row>
    <row r="72" spans="1:22" ht="17.25" x14ac:dyDescent="0.25">
      <c r="C72" s="4"/>
      <c r="D72" s="3"/>
      <c r="E72" s="3"/>
      <c r="F72" s="3"/>
      <c r="G72" s="4"/>
      <c r="H72" s="4"/>
      <c r="K72" s="159" t="s">
        <v>136</v>
      </c>
      <c r="L72" s="13">
        <f>(D67+I67+L67+P67+R67+V67)/R71</f>
        <v>4.5944999428755837</v>
      </c>
      <c r="O72" s="4"/>
      <c r="P72" s="4"/>
      <c r="S72" s="65"/>
      <c r="T72" s="3"/>
    </row>
    <row r="73" spans="1:22" ht="17.25" x14ac:dyDescent="0.25">
      <c r="C73" s="4"/>
      <c r="D73" s="3"/>
      <c r="E73" s="3"/>
      <c r="F73" s="3"/>
      <c r="G73" s="4"/>
      <c r="H73" s="4"/>
      <c r="I73" s="4"/>
      <c r="K73" s="163" t="s">
        <v>137</v>
      </c>
      <c r="L73" s="15">
        <f>(D67+I67+L67)/R71</f>
        <v>1.8661433325684587</v>
      </c>
      <c r="N73" s="163" t="s">
        <v>139</v>
      </c>
      <c r="O73" s="93">
        <f>G65/N67*1000</f>
        <v>0.40049653407238289</v>
      </c>
      <c r="P73" s="4"/>
      <c r="S73" s="4"/>
    </row>
    <row r="74" spans="1:22" ht="17.25" x14ac:dyDescent="0.25">
      <c r="C74" s="4"/>
      <c r="D74" s="3"/>
      <c r="E74" s="3"/>
      <c r="F74" s="3"/>
      <c r="G74" s="4"/>
      <c r="H74" s="4"/>
      <c r="I74" s="4"/>
      <c r="K74" s="164" t="s">
        <v>138</v>
      </c>
      <c r="L74" s="16">
        <f>(P67+V67)/R71</f>
        <v>2.7283566103071255</v>
      </c>
      <c r="M74" s="4"/>
      <c r="N74" s="4"/>
      <c r="O74" s="4"/>
      <c r="P74" s="4"/>
      <c r="U74" s="4"/>
      <c r="V74" s="4"/>
    </row>
    <row r="75" spans="1:22" x14ac:dyDescent="0.25">
      <c r="C75" s="6"/>
      <c r="D75"/>
      <c r="E75" s="3"/>
      <c r="F75" s="3"/>
      <c r="G75" s="4"/>
      <c r="H75" s="4"/>
      <c r="I75" s="4"/>
      <c r="K75" s="4"/>
      <c r="L75" s="4"/>
      <c r="M75" s="4"/>
      <c r="P75" s="4"/>
      <c r="Q75" s="4"/>
      <c r="R75" s="4"/>
      <c r="S75" s="4"/>
      <c r="T75" s="4"/>
      <c r="U75" s="4"/>
      <c r="V75" s="4"/>
    </row>
    <row r="76" spans="1:22" x14ac:dyDescent="0.25">
      <c r="C76" s="6"/>
      <c r="D76"/>
      <c r="E76" s="3"/>
      <c r="F76" s="3"/>
      <c r="G76" s="4"/>
      <c r="H76" s="4"/>
      <c r="I76" s="4"/>
      <c r="M76" s="4"/>
      <c r="N76" s="4"/>
      <c r="O76" s="4"/>
      <c r="P76" s="4"/>
      <c r="Q76" s="4"/>
      <c r="R76" s="4"/>
      <c r="S76" s="4"/>
      <c r="T76" s="4"/>
      <c r="U76" s="4"/>
      <c r="V76" s="4"/>
    </row>
    <row r="77" spans="1:22" s="29" customFormat="1" x14ac:dyDescent="0.25">
      <c r="A77" s="28" t="s">
        <v>106</v>
      </c>
      <c r="D77" s="30"/>
      <c r="E77" s="30"/>
      <c r="F77" s="30"/>
    </row>
    <row r="78" spans="1:22" x14ac:dyDescent="0.25">
      <c r="B78" s="4"/>
      <c r="C78" s="6" t="s">
        <v>26</v>
      </c>
      <c r="D78" s="81"/>
      <c r="E78" s="81"/>
      <c r="F78" s="81"/>
    </row>
    <row r="79" spans="1:22" ht="34.5" x14ac:dyDescent="0.25">
      <c r="C79" s="17" t="s">
        <v>14</v>
      </c>
      <c r="D79" s="20" t="s">
        <v>21</v>
      </c>
      <c r="E79" s="20" t="s">
        <v>94</v>
      </c>
      <c r="F79" s="17" t="s">
        <v>13</v>
      </c>
      <c r="G79" s="17" t="s">
        <v>15</v>
      </c>
      <c r="H79" s="18" t="s">
        <v>1</v>
      </c>
      <c r="I79" s="19" t="s">
        <v>25</v>
      </c>
      <c r="J79" s="17" t="s">
        <v>2</v>
      </c>
      <c r="K79" s="20" t="s">
        <v>94</v>
      </c>
      <c r="L79" s="20" t="s">
        <v>22</v>
      </c>
      <c r="M79" s="19" t="s">
        <v>8</v>
      </c>
      <c r="N79" s="19" t="s">
        <v>16</v>
      </c>
      <c r="O79" s="19" t="s">
        <v>17</v>
      </c>
      <c r="P79" s="19" t="s">
        <v>18</v>
      </c>
      <c r="Q79" s="20" t="s">
        <v>10</v>
      </c>
      <c r="R79" s="20" t="s">
        <v>23</v>
      </c>
      <c r="S79" s="19" t="s">
        <v>9</v>
      </c>
      <c r="T79" s="19" t="s">
        <v>19</v>
      </c>
      <c r="U79" s="19" t="s">
        <v>20</v>
      </c>
      <c r="V79" s="19" t="s">
        <v>24</v>
      </c>
    </row>
    <row r="80" spans="1:22" x14ac:dyDescent="0.25">
      <c r="A80" s="41" t="s">
        <v>197</v>
      </c>
      <c r="C80" s="68" t="s">
        <v>119</v>
      </c>
      <c r="D80" s="56">
        <v>15700</v>
      </c>
      <c r="E80" s="8">
        <v>774.73</v>
      </c>
      <c r="F80" s="8">
        <v>1</v>
      </c>
      <c r="G80" s="11">
        <f>D80/E80</f>
        <v>20.265124624062576</v>
      </c>
      <c r="H80" s="7"/>
      <c r="I80" s="7"/>
      <c r="J80" s="8" t="s">
        <v>76</v>
      </c>
      <c r="K80" s="8">
        <v>101.15</v>
      </c>
      <c r="L80" s="46">
        <f>45.6*K80</f>
        <v>4612.4400000000005</v>
      </c>
      <c r="M80" s="42" t="s">
        <v>27</v>
      </c>
      <c r="N80" s="45">
        <v>50600</v>
      </c>
      <c r="O80" s="1">
        <v>0.88300000000000001</v>
      </c>
      <c r="P80" s="11">
        <f>N80*O80</f>
        <v>44679.8</v>
      </c>
      <c r="Q80" s="8"/>
      <c r="R80" s="8"/>
      <c r="S80" s="7"/>
      <c r="T80" s="7"/>
      <c r="U80" s="7"/>
      <c r="V80" s="11">
        <f>T80*U80</f>
        <v>0</v>
      </c>
    </row>
    <row r="81" spans="1:22" x14ac:dyDescent="0.25">
      <c r="C81" s="69" t="s">
        <v>124</v>
      </c>
      <c r="D81" s="8">
        <v>7120</v>
      </c>
      <c r="E81" s="8">
        <v>313.37</v>
      </c>
      <c r="F81" s="8">
        <f>G81/G80</f>
        <v>1.1211747209145535</v>
      </c>
      <c r="G81" s="11">
        <f>D81/E81</f>
        <v>22.720745444682006</v>
      </c>
      <c r="H81" s="1"/>
      <c r="I81" s="1"/>
      <c r="J81" s="25" t="s">
        <v>87</v>
      </c>
      <c r="K81" s="26">
        <v>136.58000000000001</v>
      </c>
      <c r="L81" s="46">
        <f>22.9*K81</f>
        <v>3127.6820000000002</v>
      </c>
      <c r="M81" s="42"/>
      <c r="N81" s="2"/>
      <c r="O81" s="1"/>
      <c r="P81" s="11">
        <f>N81*O81</f>
        <v>0</v>
      </c>
      <c r="Q81" s="8"/>
      <c r="R81" s="8"/>
      <c r="S81" s="7"/>
      <c r="T81" s="7"/>
      <c r="U81" s="7"/>
      <c r="V81" s="11">
        <f t="shared" ref="V81" si="4">T81*U81</f>
        <v>0</v>
      </c>
    </row>
    <row r="82" spans="1:22" x14ac:dyDescent="0.25">
      <c r="C82" s="10" t="s">
        <v>4</v>
      </c>
      <c r="D82" s="11">
        <f>SUM(D80:D81)</f>
        <v>22820</v>
      </c>
      <c r="E82" s="11">
        <f>SUM(E80:E81)</f>
        <v>1088.0999999999999</v>
      </c>
      <c r="F82" s="10"/>
      <c r="G82" s="165">
        <f>SUM(G80:G81)</f>
        <v>42.985870068744582</v>
      </c>
      <c r="I82" s="23">
        <f>SUM(I80:I81)</f>
        <v>0</v>
      </c>
      <c r="L82" s="47">
        <f>SUM(L80:L81)</f>
        <v>7740.1220000000012</v>
      </c>
      <c r="N82" s="89">
        <f>SUM(N80:N81)</f>
        <v>50600</v>
      </c>
      <c r="P82" s="23">
        <f>SUM(P80:P81)</f>
        <v>44679.8</v>
      </c>
      <c r="R82" s="23">
        <f>SUM(R80:R81)</f>
        <v>0</v>
      </c>
      <c r="V82" s="23">
        <f>SUM(V80:V81)</f>
        <v>0</v>
      </c>
    </row>
    <row r="83" spans="1:22" x14ac:dyDescent="0.25">
      <c r="C83" s="4"/>
      <c r="D83" s="3"/>
      <c r="E83" s="3"/>
      <c r="F83" s="3"/>
      <c r="G83" s="4"/>
      <c r="H83" s="4"/>
      <c r="I83" s="4"/>
      <c r="M83" s="49"/>
      <c r="N83" s="4"/>
      <c r="O83" s="4"/>
      <c r="P83" s="4"/>
      <c r="Q83" s="4"/>
      <c r="R83" s="4"/>
      <c r="S83" s="4"/>
      <c r="T83" s="4"/>
      <c r="U83" s="4"/>
      <c r="V83" s="4"/>
    </row>
    <row r="84" spans="1:22" x14ac:dyDescent="0.25">
      <c r="C84" s="4"/>
      <c r="D84" s="3"/>
      <c r="E84" s="3"/>
      <c r="F84" s="3"/>
      <c r="G84" s="4"/>
      <c r="H84" s="4"/>
      <c r="K84" s="162" t="s">
        <v>133</v>
      </c>
      <c r="L84" s="12">
        <f>(T86/G80)*100</f>
        <v>50</v>
      </c>
      <c r="M84" s="49"/>
      <c r="O84" s="4"/>
      <c r="P84" s="4"/>
      <c r="Q84" s="4"/>
      <c r="R84" s="4"/>
      <c r="S84" s="4"/>
    </row>
    <row r="85" spans="1:22" x14ac:dyDescent="0.25">
      <c r="C85" s="4"/>
      <c r="D85" s="3"/>
      <c r="E85" s="3"/>
      <c r="F85" s="3"/>
      <c r="G85" s="4"/>
      <c r="H85" s="4"/>
      <c r="K85" s="159" t="s">
        <v>134</v>
      </c>
      <c r="L85" s="13">
        <f>(S86/(E82)*100)</f>
        <v>82.518150905247694</v>
      </c>
      <c r="M85" s="49"/>
      <c r="R85" s="5" t="s">
        <v>11</v>
      </c>
      <c r="S85" s="5" t="s">
        <v>12</v>
      </c>
      <c r="T85" s="5" t="s">
        <v>0</v>
      </c>
    </row>
    <row r="86" spans="1:22" x14ac:dyDescent="0.25">
      <c r="C86" s="4"/>
      <c r="D86" s="3"/>
      <c r="E86" s="3"/>
      <c r="F86" s="3"/>
      <c r="G86" s="4"/>
      <c r="H86" s="4"/>
      <c r="K86" s="162" t="s">
        <v>135</v>
      </c>
      <c r="L86" s="12">
        <f>(R86/D82)*100</f>
        <v>39.867769713964293</v>
      </c>
      <c r="P86" s="4"/>
      <c r="Q86" s="5" t="s">
        <v>3</v>
      </c>
      <c r="R86" s="9">
        <f>T86*S86</f>
        <v>9097.8250487266523</v>
      </c>
      <c r="S86" s="9">
        <v>897.88</v>
      </c>
      <c r="T86" s="22">
        <f>G80*0.5</f>
        <v>10.132562312031288</v>
      </c>
    </row>
    <row r="87" spans="1:22" ht="17.25" x14ac:dyDescent="0.25">
      <c r="C87" s="4"/>
      <c r="D87" s="3"/>
      <c r="E87" s="3"/>
      <c r="F87" s="3"/>
      <c r="G87" s="4"/>
      <c r="H87" s="4"/>
      <c r="K87" s="159" t="s">
        <v>136</v>
      </c>
      <c r="L87" s="13">
        <f>(D82+I82+L82+P82+R82+V82)/R86</f>
        <v>8.2700998971760527</v>
      </c>
      <c r="O87" s="4"/>
      <c r="P87" s="4"/>
      <c r="S87" s="81"/>
      <c r="T87" s="3"/>
    </row>
    <row r="88" spans="1:22" ht="17.25" x14ac:dyDescent="0.25">
      <c r="C88" s="4"/>
      <c r="D88" s="3"/>
      <c r="E88" s="3"/>
      <c r="F88" s="3"/>
      <c r="G88" s="4"/>
      <c r="H88" s="4"/>
      <c r="I88" s="4"/>
      <c r="K88" s="163" t="s">
        <v>137</v>
      </c>
      <c r="L88" s="15">
        <f>(D82+I82+L82)/R86</f>
        <v>3.3590579986232263</v>
      </c>
      <c r="N88" s="163" t="s">
        <v>139</v>
      </c>
      <c r="O88" s="93">
        <f>G80/N82*1000</f>
        <v>0.40049653407238289</v>
      </c>
      <c r="P88" s="4"/>
      <c r="S88" s="4"/>
    </row>
    <row r="89" spans="1:22" ht="17.25" x14ac:dyDescent="0.25">
      <c r="C89" s="4"/>
      <c r="D89" s="3"/>
      <c r="E89" s="3"/>
      <c r="F89" s="3"/>
      <c r="G89" s="4"/>
      <c r="H89" s="4"/>
      <c r="I89" s="4"/>
      <c r="K89" s="164" t="s">
        <v>138</v>
      </c>
      <c r="L89" s="16">
        <f>(P82+V82)/R86</f>
        <v>4.9110418985528268</v>
      </c>
      <c r="M89" s="4"/>
      <c r="N89" s="4"/>
      <c r="O89" s="4"/>
      <c r="P89" s="4"/>
      <c r="U89" s="4"/>
      <c r="V89" s="4"/>
    </row>
    <row r="90" spans="1:22" x14ac:dyDescent="0.25">
      <c r="C90" s="6"/>
      <c r="D90"/>
      <c r="E90" s="3"/>
      <c r="F90" s="3"/>
      <c r="G90" s="4"/>
      <c r="H90" s="4"/>
      <c r="I90" s="4"/>
      <c r="K90" s="4"/>
      <c r="L90" s="4"/>
      <c r="M90" s="4"/>
      <c r="P90" s="4"/>
      <c r="Q90" s="4"/>
      <c r="R90" s="4"/>
      <c r="S90" s="4"/>
      <c r="T90" s="4"/>
      <c r="U90" s="4"/>
      <c r="V90" s="4"/>
    </row>
    <row r="92" spans="1:22" s="168" customFormat="1" x14ac:dyDescent="0.25">
      <c r="A92" s="167" t="s">
        <v>140</v>
      </c>
      <c r="C92" s="169"/>
      <c r="D92" s="169"/>
      <c r="E92" s="169"/>
    </row>
    <row r="93" spans="1:22" x14ac:dyDescent="0.25">
      <c r="K93" s="35"/>
    </row>
    <row r="94" spans="1:22" x14ac:dyDescent="0.25">
      <c r="D94" s="131" t="s">
        <v>123</v>
      </c>
      <c r="E94" s="78"/>
      <c r="F94" s="78"/>
      <c r="G94" s="35"/>
      <c r="H94" s="35"/>
      <c r="I94" s="35"/>
      <c r="J94" s="35"/>
      <c r="K94" s="35"/>
    </row>
    <row r="95" spans="1:22" ht="15.95" customHeight="1" x14ac:dyDescent="0.25">
      <c r="D95" s="112" t="s">
        <v>29</v>
      </c>
      <c r="E95" s="112" t="s">
        <v>30</v>
      </c>
      <c r="F95" s="111" t="s">
        <v>6</v>
      </c>
      <c r="G95" s="112" t="s">
        <v>7</v>
      </c>
      <c r="H95" s="112" t="s">
        <v>32</v>
      </c>
      <c r="I95" s="112" t="s">
        <v>34</v>
      </c>
      <c r="J95" s="112" t="s">
        <v>35</v>
      </c>
      <c r="K95" s="112" t="s">
        <v>5</v>
      </c>
      <c r="L95" s="54"/>
      <c r="M95" s="54"/>
      <c r="N95" s="54"/>
      <c r="O95" s="54"/>
      <c r="P95" s="54"/>
      <c r="Q95" s="54"/>
      <c r="R95" s="54"/>
      <c r="S95" s="54"/>
      <c r="T95" s="54"/>
      <c r="U95" s="54"/>
    </row>
    <row r="96" spans="1:22" x14ac:dyDescent="0.25">
      <c r="D96" s="114"/>
      <c r="E96" s="114"/>
      <c r="F96" s="113" t="s">
        <v>31</v>
      </c>
      <c r="G96" s="114" t="s">
        <v>31</v>
      </c>
      <c r="H96" s="114" t="s">
        <v>33</v>
      </c>
      <c r="I96" s="114" t="s">
        <v>33</v>
      </c>
      <c r="J96" s="114" t="s">
        <v>33</v>
      </c>
      <c r="K96" s="114" t="s">
        <v>31</v>
      </c>
      <c r="L96" s="54"/>
      <c r="M96" s="54"/>
      <c r="N96" s="54"/>
      <c r="O96" s="54"/>
      <c r="P96" s="54"/>
      <c r="Q96" s="54"/>
      <c r="R96" s="54"/>
      <c r="S96" s="54"/>
      <c r="T96" s="54"/>
      <c r="U96" s="54"/>
    </row>
    <row r="97" spans="4:24" ht="18" customHeight="1" x14ac:dyDescent="0.25">
      <c r="D97" s="127" t="str">
        <f>A1</f>
        <v xml:space="preserve">Literature data reported </v>
      </c>
      <c r="E97" s="127"/>
      <c r="F97" s="127"/>
      <c r="G97" s="127"/>
      <c r="H97" s="127"/>
      <c r="I97" s="127"/>
      <c r="J97" s="127"/>
      <c r="K97" s="128"/>
      <c r="L97" s="54"/>
      <c r="M97" s="54"/>
      <c r="N97" s="62" t="s">
        <v>197</v>
      </c>
      <c r="O97" s="195" t="s">
        <v>86</v>
      </c>
      <c r="P97" s="195"/>
      <c r="Q97" s="195"/>
      <c r="R97" s="195"/>
      <c r="S97" s="195"/>
      <c r="T97" s="54"/>
      <c r="U97" s="54"/>
    </row>
    <row r="98" spans="4:24" ht="15" customHeight="1" x14ac:dyDescent="0.25">
      <c r="D98" s="90"/>
      <c r="E98" s="108" t="s">
        <v>88</v>
      </c>
      <c r="F98" s="91">
        <f>L22</f>
        <v>82.518150905247694</v>
      </c>
      <c r="G98" s="91">
        <f>L23</f>
        <v>67.221735319894833</v>
      </c>
      <c r="H98" s="92">
        <f>L24</f>
        <v>8.3239975228161676</v>
      </c>
      <c r="I98" s="92">
        <f>L25</f>
        <v>1.9921852672750979</v>
      </c>
      <c r="J98" s="92">
        <f>L26</f>
        <v>6.3318122555410694</v>
      </c>
      <c r="K98" s="60">
        <f>L21</f>
        <v>84.305863862193149</v>
      </c>
      <c r="L98" s="54"/>
      <c r="N98" s="192"/>
      <c r="O98" s="192"/>
      <c r="P98" s="192"/>
      <c r="Q98" s="192"/>
      <c r="R98" s="192"/>
      <c r="S98" s="192"/>
      <c r="T98" s="192"/>
      <c r="U98" s="192"/>
      <c r="V98" s="192"/>
      <c r="W98" s="192"/>
      <c r="X98" s="192"/>
    </row>
    <row r="99" spans="4:24" ht="15.95" customHeight="1" x14ac:dyDescent="0.25">
      <c r="D99" s="133" t="str">
        <f>A30</f>
        <v>Simulation A: [Acid] = 0.4 M, Literature data yield</v>
      </c>
      <c r="E99" s="133"/>
      <c r="F99" s="133"/>
      <c r="G99" s="133"/>
      <c r="H99" s="133"/>
      <c r="I99" s="133"/>
      <c r="J99" s="133"/>
      <c r="K99" s="129"/>
      <c r="L99" s="54"/>
      <c r="M99" s="52"/>
      <c r="N99" s="192"/>
      <c r="O99" s="192"/>
      <c r="P99" s="192"/>
      <c r="Q99" s="192"/>
      <c r="R99" s="192"/>
      <c r="S99" s="192"/>
      <c r="T99" s="192"/>
      <c r="U99" s="192"/>
      <c r="V99" s="192"/>
      <c r="W99" s="192"/>
      <c r="X99" s="192"/>
    </row>
    <row r="100" spans="4:24" ht="15" customHeight="1" x14ac:dyDescent="0.25">
      <c r="D100" s="84"/>
      <c r="E100" s="84" t="s">
        <v>197</v>
      </c>
      <c r="F100" s="79">
        <f>L38</f>
        <v>82.518150905247694</v>
      </c>
      <c r="G100" s="60">
        <f>L39</f>
        <v>67.221735319894833</v>
      </c>
      <c r="H100" s="37">
        <f>L40</f>
        <v>4.9048189048239896</v>
      </c>
      <c r="I100" s="37">
        <f>L41</f>
        <v>1.9921852672750979</v>
      </c>
      <c r="J100" s="37">
        <f>L42</f>
        <v>2.9126336375488919</v>
      </c>
      <c r="K100" s="60">
        <f>L37</f>
        <v>84.305863862193149</v>
      </c>
      <c r="L100" s="54"/>
      <c r="M100" s="52"/>
      <c r="N100" s="192"/>
      <c r="O100" s="192"/>
      <c r="P100" s="192"/>
      <c r="Q100" s="192"/>
      <c r="R100" s="192"/>
      <c r="S100" s="192"/>
      <c r="T100" s="192"/>
      <c r="U100" s="192"/>
      <c r="V100" s="192"/>
      <c r="W100" s="192"/>
      <c r="X100" s="192"/>
    </row>
    <row r="101" spans="4:24" x14ac:dyDescent="0.25">
      <c r="D101" s="133" t="str">
        <f>A46</f>
        <v>Simulation B: [Acid] = Literature data, 90% Yield</v>
      </c>
      <c r="E101" s="133"/>
      <c r="F101" s="133"/>
      <c r="G101" s="133"/>
      <c r="H101" s="133"/>
      <c r="I101" s="133"/>
      <c r="J101" s="133"/>
      <c r="K101" s="129"/>
      <c r="L101" s="54"/>
      <c r="M101" s="54"/>
      <c r="N101" s="192"/>
      <c r="O101" s="192"/>
      <c r="P101" s="192"/>
      <c r="Q101" s="192"/>
      <c r="R101" s="192"/>
      <c r="S101" s="192"/>
      <c r="T101" s="192"/>
      <c r="U101" s="192"/>
      <c r="V101" s="192"/>
      <c r="W101" s="192"/>
      <c r="X101" s="192"/>
    </row>
    <row r="102" spans="4:24" x14ac:dyDescent="0.25">
      <c r="D102" s="84"/>
      <c r="E102" s="108" t="s">
        <v>197</v>
      </c>
      <c r="F102" s="79">
        <f>L54</f>
        <v>82.518150905247694</v>
      </c>
      <c r="G102" s="60">
        <f>L55</f>
        <v>71.761985485135753</v>
      </c>
      <c r="H102" s="37">
        <f>L56</f>
        <v>7.7973533549752529</v>
      </c>
      <c r="I102" s="37">
        <f>L57</f>
        <v>1.8661433325684587</v>
      </c>
      <c r="J102" s="37">
        <f>L58</f>
        <v>5.9312100224067938</v>
      </c>
      <c r="K102" s="60">
        <f>L53</f>
        <v>90.000000000000014</v>
      </c>
      <c r="L102" s="54"/>
      <c r="M102" s="54"/>
      <c r="N102" s="192"/>
      <c r="O102" s="192"/>
      <c r="P102" s="192"/>
      <c r="Q102" s="192"/>
      <c r="R102" s="192"/>
      <c r="S102" s="192"/>
      <c r="T102" s="192"/>
      <c r="U102" s="192"/>
      <c r="V102" s="192"/>
      <c r="W102" s="192"/>
      <c r="X102" s="192"/>
    </row>
    <row r="103" spans="4:24" ht="15" customHeight="1" x14ac:dyDescent="0.25">
      <c r="D103" s="133" t="str">
        <f>A62</f>
        <v>Simulation C: [Acid] = 0.4 M, 90% Yield</v>
      </c>
      <c r="E103" s="133"/>
      <c r="F103" s="133"/>
      <c r="G103" s="133"/>
      <c r="H103" s="133"/>
      <c r="I103" s="133"/>
      <c r="J103" s="133"/>
      <c r="K103" s="129"/>
      <c r="L103" s="54"/>
      <c r="M103" s="54"/>
      <c r="N103" s="192"/>
      <c r="O103" s="192"/>
      <c r="P103" s="192"/>
      <c r="Q103" s="192"/>
      <c r="R103" s="192"/>
      <c r="S103" s="192"/>
      <c r="T103" s="192"/>
      <c r="U103" s="192"/>
      <c r="V103" s="192"/>
      <c r="W103" s="192"/>
      <c r="X103" s="192"/>
    </row>
    <row r="104" spans="4:24" x14ac:dyDescent="0.25">
      <c r="D104" s="84"/>
      <c r="E104" s="108" t="s">
        <v>197</v>
      </c>
      <c r="F104" s="79">
        <f>L70</f>
        <v>82.518150905247694</v>
      </c>
      <c r="G104" s="60">
        <f>L71</f>
        <v>71.761985485135753</v>
      </c>
      <c r="H104" s="37">
        <f>L72</f>
        <v>4.5944999428755837</v>
      </c>
      <c r="I104" s="37">
        <f>L73</f>
        <v>1.8661433325684587</v>
      </c>
      <c r="J104" s="37">
        <f>L74</f>
        <v>2.7283566103071255</v>
      </c>
      <c r="K104" s="60">
        <f>L69</f>
        <v>90.000000000000014</v>
      </c>
      <c r="L104" s="54"/>
      <c r="M104" s="54"/>
      <c r="N104" s="192"/>
      <c r="O104" s="192"/>
      <c r="P104" s="192"/>
      <c r="Q104" s="192"/>
      <c r="R104" s="192"/>
      <c r="S104" s="192"/>
      <c r="T104" s="192"/>
      <c r="U104" s="192"/>
      <c r="V104" s="192"/>
      <c r="W104" s="192"/>
      <c r="X104" s="192"/>
    </row>
    <row r="105" spans="4:24" x14ac:dyDescent="0.25">
      <c r="D105" s="133" t="str">
        <f>A77</f>
        <v>Simulation D: [Acid] = 0.4 M, 50% Yield</v>
      </c>
      <c r="E105" s="133"/>
      <c r="F105" s="133"/>
      <c r="G105" s="133"/>
      <c r="H105" s="133"/>
      <c r="I105" s="133"/>
      <c r="J105" s="133"/>
      <c r="K105" s="129"/>
      <c r="L105" s="54"/>
      <c r="M105" s="54"/>
      <c r="N105" s="192"/>
      <c r="O105" s="192"/>
      <c r="P105" s="192"/>
      <c r="Q105" s="192"/>
      <c r="R105" s="192"/>
      <c r="S105" s="192"/>
      <c r="T105" s="192"/>
      <c r="U105" s="192"/>
      <c r="V105" s="192"/>
      <c r="W105" s="192"/>
      <c r="X105" s="192"/>
    </row>
    <row r="106" spans="4:24" ht="15" customHeight="1" x14ac:dyDescent="0.25">
      <c r="D106" s="84"/>
      <c r="E106" s="108" t="s">
        <v>197</v>
      </c>
      <c r="F106" s="79">
        <f>L85</f>
        <v>82.518150905247694</v>
      </c>
      <c r="G106" s="60">
        <f>L86</f>
        <v>39.867769713964293</v>
      </c>
      <c r="H106" s="37">
        <f>L87</f>
        <v>8.2700998971760527</v>
      </c>
      <c r="I106" s="37">
        <f>L88</f>
        <v>3.3590579986232263</v>
      </c>
      <c r="J106" s="37">
        <f>L89</f>
        <v>4.9110418985528268</v>
      </c>
      <c r="K106" s="60">
        <f>L84</f>
        <v>50</v>
      </c>
      <c r="N106" s="192"/>
      <c r="O106" s="192"/>
      <c r="P106" s="192"/>
      <c r="Q106" s="192"/>
      <c r="R106" s="192"/>
      <c r="S106" s="192"/>
      <c r="T106" s="192"/>
      <c r="U106" s="192"/>
      <c r="V106" s="192"/>
      <c r="W106" s="192"/>
      <c r="X106" s="192"/>
    </row>
    <row r="107" spans="4:24" x14ac:dyDescent="0.25">
      <c r="N107" s="192"/>
      <c r="O107" s="192"/>
      <c r="P107" s="192"/>
      <c r="Q107" s="192"/>
      <c r="R107" s="192"/>
      <c r="S107" s="192"/>
      <c r="T107" s="192"/>
      <c r="U107" s="192"/>
      <c r="V107" s="192"/>
      <c r="W107" s="192"/>
      <c r="X107" s="192"/>
    </row>
    <row r="108" spans="4:24" x14ac:dyDescent="0.25">
      <c r="D108" s="84"/>
      <c r="E108" s="84"/>
      <c r="F108" s="79"/>
      <c r="G108" s="79"/>
      <c r="H108" s="85"/>
      <c r="I108" s="85"/>
      <c r="J108" s="85"/>
      <c r="K108" s="60"/>
      <c r="N108" s="192"/>
      <c r="O108" s="192"/>
      <c r="P108" s="192"/>
      <c r="Q108" s="192"/>
      <c r="R108" s="192"/>
      <c r="S108" s="192"/>
      <c r="T108" s="192"/>
      <c r="U108" s="192"/>
      <c r="V108" s="192"/>
      <c r="W108" s="192"/>
      <c r="X108" s="192"/>
    </row>
    <row r="109" spans="4:24" ht="15" customHeight="1" x14ac:dyDescent="0.25">
      <c r="N109" s="192"/>
      <c r="O109" s="192"/>
      <c r="P109" s="192"/>
      <c r="Q109" s="192"/>
      <c r="R109" s="192"/>
      <c r="S109" s="192"/>
      <c r="T109" s="192"/>
      <c r="U109" s="192"/>
      <c r="V109" s="192"/>
      <c r="W109" s="192"/>
      <c r="X109" s="192"/>
    </row>
    <row r="110" spans="4:24" x14ac:dyDescent="0.25">
      <c r="N110" s="192"/>
      <c r="O110" s="192"/>
      <c r="P110" s="192"/>
      <c r="Q110" s="192"/>
      <c r="R110" s="192"/>
      <c r="S110" s="192"/>
      <c r="T110" s="192"/>
      <c r="U110" s="192"/>
      <c r="V110" s="192"/>
      <c r="W110" s="192"/>
      <c r="X110" s="192"/>
    </row>
    <row r="111" spans="4:24" x14ac:dyDescent="0.25">
      <c r="D111" s="84"/>
      <c r="E111" s="84"/>
      <c r="F111" s="79"/>
      <c r="G111" s="79"/>
      <c r="H111" s="85"/>
      <c r="I111" s="85"/>
      <c r="J111" s="85"/>
      <c r="K111" s="60"/>
      <c r="N111" s="192"/>
      <c r="O111" s="192"/>
      <c r="P111" s="192"/>
      <c r="Q111" s="192"/>
      <c r="R111" s="192"/>
      <c r="S111" s="192"/>
      <c r="T111" s="192"/>
      <c r="U111" s="192"/>
      <c r="V111" s="192"/>
      <c r="W111" s="192"/>
      <c r="X111" s="192"/>
    </row>
    <row r="112" spans="4:24" x14ac:dyDescent="0.25">
      <c r="D112" s="196"/>
      <c r="E112" s="196"/>
      <c r="F112" s="196"/>
      <c r="G112" s="196"/>
      <c r="H112" s="196"/>
      <c r="I112" s="196"/>
      <c r="J112" s="196"/>
      <c r="K112" s="60"/>
      <c r="N112" s="192"/>
      <c r="O112" s="192"/>
      <c r="P112" s="192"/>
      <c r="Q112" s="192"/>
      <c r="R112" s="192"/>
      <c r="S112" s="192"/>
      <c r="T112" s="192"/>
      <c r="U112" s="192"/>
      <c r="V112" s="192"/>
      <c r="W112" s="192"/>
      <c r="X112" s="192"/>
    </row>
    <row r="113" spans="4:22" x14ac:dyDescent="0.25">
      <c r="D113" s="84"/>
      <c r="E113" s="84"/>
      <c r="F113" s="79"/>
      <c r="G113" s="60"/>
      <c r="H113" s="37"/>
      <c r="I113" s="37"/>
      <c r="J113" s="37"/>
      <c r="K113" s="60"/>
      <c r="N113" s="103"/>
      <c r="O113" s="103"/>
      <c r="P113" s="103"/>
      <c r="Q113" s="103"/>
      <c r="R113" s="103"/>
      <c r="S113" s="103"/>
      <c r="T113" s="103"/>
      <c r="U113" s="103"/>
      <c r="V113" s="103"/>
    </row>
    <row r="114" spans="4:22" x14ac:dyDescent="0.25">
      <c r="D114" s="84"/>
      <c r="E114" s="84"/>
      <c r="F114" s="79"/>
      <c r="G114" s="79"/>
      <c r="H114" s="85"/>
      <c r="I114" s="85"/>
      <c r="J114" s="85"/>
      <c r="K114" s="60"/>
      <c r="N114" s="103"/>
      <c r="O114" s="103"/>
      <c r="P114" s="103"/>
      <c r="Q114" s="103"/>
      <c r="R114" s="103"/>
      <c r="S114" s="103"/>
      <c r="T114" s="103"/>
      <c r="U114" s="103"/>
      <c r="V114" s="103"/>
    </row>
    <row r="115" spans="4:22" ht="15" customHeight="1" x14ac:dyDescent="0.25">
      <c r="D115" s="196"/>
      <c r="E115" s="196"/>
      <c r="F115" s="196"/>
      <c r="G115" s="196"/>
      <c r="H115" s="196"/>
      <c r="I115" s="196"/>
      <c r="J115" s="196"/>
      <c r="K115" s="71"/>
      <c r="N115" s="103"/>
      <c r="O115" s="103"/>
      <c r="P115" s="103"/>
      <c r="Q115" s="103"/>
      <c r="R115" s="103"/>
      <c r="S115" s="103"/>
      <c r="T115" s="103"/>
      <c r="U115" s="103"/>
      <c r="V115" s="103"/>
    </row>
    <row r="116" spans="4:22" x14ac:dyDescent="0.25">
      <c r="D116" s="84"/>
      <c r="E116" s="84"/>
      <c r="F116" s="79"/>
      <c r="G116" s="60"/>
      <c r="H116" s="37"/>
      <c r="I116" s="37"/>
      <c r="J116" s="37"/>
      <c r="K116" s="60"/>
      <c r="N116" s="103"/>
      <c r="O116" s="103"/>
      <c r="P116" s="103"/>
      <c r="Q116" s="103"/>
      <c r="R116" s="103"/>
      <c r="S116" s="103"/>
      <c r="T116" s="103"/>
      <c r="U116" s="103"/>
      <c r="V116" s="103"/>
    </row>
    <row r="117" spans="4:22" x14ac:dyDescent="0.25">
      <c r="D117" s="84"/>
      <c r="E117" s="84"/>
      <c r="F117" s="79"/>
      <c r="G117" s="79"/>
      <c r="H117" s="85"/>
      <c r="I117" s="85"/>
      <c r="J117" s="85"/>
      <c r="K117" s="60"/>
      <c r="N117" s="103"/>
      <c r="O117" s="103"/>
      <c r="P117" s="103"/>
      <c r="Q117" s="103"/>
      <c r="R117" s="103"/>
      <c r="S117" s="103"/>
      <c r="T117" s="103"/>
      <c r="U117" s="103"/>
      <c r="V117" s="103"/>
    </row>
    <row r="118" spans="4:22" x14ac:dyDescent="0.25">
      <c r="D118" s="31"/>
      <c r="E118" s="31"/>
      <c r="F118" s="33"/>
      <c r="G118" s="34"/>
      <c r="H118" s="32"/>
      <c r="I118" s="32"/>
      <c r="J118" s="32"/>
      <c r="K118" s="37"/>
      <c r="N118" s="103"/>
      <c r="O118" s="103"/>
      <c r="P118" s="103"/>
      <c r="Q118" s="103"/>
      <c r="R118" s="103"/>
      <c r="S118" s="103"/>
      <c r="T118" s="103"/>
      <c r="U118" s="103"/>
      <c r="V118" s="103"/>
    </row>
    <row r="119" spans="4:22" x14ac:dyDescent="0.25">
      <c r="D119" s="31"/>
      <c r="E119" s="31"/>
      <c r="F119" s="33"/>
      <c r="G119" s="34"/>
      <c r="H119" s="32"/>
      <c r="I119" s="32"/>
      <c r="J119" s="32"/>
      <c r="K119" s="37"/>
      <c r="N119" s="103"/>
      <c r="O119" s="103"/>
      <c r="P119" s="103"/>
      <c r="Q119" s="103"/>
      <c r="R119" s="103"/>
      <c r="S119" s="103"/>
      <c r="T119" s="103"/>
      <c r="U119" s="103"/>
      <c r="V119" s="103"/>
    </row>
    <row r="120" spans="4:22" x14ac:dyDescent="0.25">
      <c r="D120" s="31"/>
      <c r="E120" s="31"/>
      <c r="F120" s="33"/>
      <c r="G120" s="34"/>
      <c r="H120" s="32"/>
      <c r="I120" s="32"/>
      <c r="J120" s="32"/>
      <c r="K120" s="37"/>
      <c r="N120" s="103"/>
      <c r="O120" s="103"/>
      <c r="P120" s="103"/>
      <c r="Q120" s="103"/>
      <c r="R120" s="103"/>
      <c r="S120" s="103"/>
      <c r="T120" s="103"/>
      <c r="U120" s="103"/>
      <c r="V120" s="103"/>
    </row>
    <row r="121" spans="4:22" ht="15" customHeight="1" x14ac:dyDescent="0.25">
      <c r="K121" s="36"/>
      <c r="N121" s="103"/>
      <c r="O121" s="103"/>
      <c r="P121" s="103"/>
      <c r="Q121" s="103"/>
      <c r="R121" s="103"/>
      <c r="S121" s="103"/>
      <c r="T121" s="103"/>
      <c r="U121" s="103"/>
      <c r="V121" s="103"/>
    </row>
    <row r="122" spans="4:22" x14ac:dyDescent="0.25">
      <c r="K122" s="37"/>
    </row>
    <row r="123" spans="4:22" x14ac:dyDescent="0.25">
      <c r="K123" s="37"/>
    </row>
    <row r="124" spans="4:22" x14ac:dyDescent="0.25">
      <c r="D124" s="31"/>
      <c r="E124" s="31"/>
      <c r="F124" s="33"/>
      <c r="G124" s="34"/>
      <c r="H124" s="32"/>
      <c r="I124" s="32"/>
      <c r="J124" s="32"/>
      <c r="K124" s="37"/>
    </row>
    <row r="125" spans="4:22" x14ac:dyDescent="0.25">
      <c r="D125" s="31"/>
      <c r="E125" s="31"/>
      <c r="F125" s="33"/>
      <c r="G125" s="34"/>
      <c r="H125" s="32"/>
      <c r="I125" s="32"/>
      <c r="J125" s="32"/>
      <c r="K125" s="37"/>
    </row>
    <row r="126" spans="4:22" x14ac:dyDescent="0.25">
      <c r="D126" s="31"/>
      <c r="E126" s="31"/>
      <c r="F126" s="33"/>
      <c r="G126" s="34"/>
      <c r="H126" s="32"/>
      <c r="I126" s="32"/>
      <c r="J126" s="32"/>
      <c r="K126" s="37"/>
    </row>
    <row r="127" spans="4:22" ht="15" customHeight="1" x14ac:dyDescent="0.25">
      <c r="K127" s="36"/>
    </row>
    <row r="128" spans="4:22" x14ac:dyDescent="0.25">
      <c r="K128" s="37"/>
    </row>
    <row r="129" spans="4:11" x14ac:dyDescent="0.25">
      <c r="K129" s="37"/>
    </row>
    <row r="130" spans="4:11" x14ac:dyDescent="0.25">
      <c r="D130" s="31"/>
      <c r="E130" s="31"/>
      <c r="F130" s="33"/>
      <c r="G130" s="34"/>
      <c r="H130" s="32"/>
      <c r="I130" s="32"/>
      <c r="J130" s="32"/>
      <c r="K130" s="37"/>
    </row>
    <row r="131" spans="4:11" x14ac:dyDescent="0.25">
      <c r="D131" s="31"/>
      <c r="E131" s="31"/>
      <c r="F131" s="33"/>
      <c r="G131" s="34"/>
      <c r="H131" s="32"/>
      <c r="I131" s="32"/>
      <c r="J131" s="32"/>
      <c r="K131" s="37"/>
    </row>
    <row r="132" spans="4:11" x14ac:dyDescent="0.25">
      <c r="D132" s="31"/>
      <c r="E132" s="31"/>
      <c r="F132" s="33"/>
      <c r="G132" s="34"/>
      <c r="H132" s="32"/>
      <c r="I132" s="32"/>
      <c r="J132" s="32"/>
      <c r="K132" s="37"/>
    </row>
    <row r="133" spans="4:11" ht="15" customHeight="1" x14ac:dyDescent="0.25">
      <c r="K133" s="36"/>
    </row>
    <row r="134" spans="4:11" x14ac:dyDescent="0.25">
      <c r="K134" s="37"/>
    </row>
    <row r="135" spans="4:11" x14ac:dyDescent="0.25">
      <c r="K135" s="37"/>
    </row>
    <row r="136" spans="4:11" x14ac:dyDescent="0.25">
      <c r="D136" s="31"/>
      <c r="E136" s="31"/>
      <c r="F136" s="33"/>
      <c r="G136" s="34"/>
      <c r="H136" s="32"/>
      <c r="I136" s="32"/>
      <c r="J136" s="32"/>
      <c r="K136" s="37"/>
    </row>
    <row r="137" spans="4:11" x14ac:dyDescent="0.25">
      <c r="D137" s="31"/>
      <c r="E137" s="31"/>
      <c r="F137" s="33"/>
      <c r="G137" s="34"/>
      <c r="H137" s="32"/>
      <c r="I137" s="32"/>
      <c r="J137" s="32"/>
      <c r="K137" s="37"/>
    </row>
    <row r="138" spans="4:11" x14ac:dyDescent="0.25">
      <c r="D138" s="31"/>
      <c r="E138" s="31"/>
      <c r="F138" s="33"/>
      <c r="G138" s="34"/>
      <c r="H138" s="32"/>
      <c r="I138" s="32"/>
      <c r="J138" s="32"/>
      <c r="K138" s="37"/>
    </row>
    <row r="139" spans="4:11" x14ac:dyDescent="0.25">
      <c r="K139" s="35"/>
    </row>
  </sheetData>
  <mergeCells count="5">
    <mergeCell ref="O97:S97"/>
    <mergeCell ref="D112:J112"/>
    <mergeCell ref="D115:J115"/>
    <mergeCell ref="N98:X112"/>
    <mergeCell ref="N3:AK14"/>
  </mergeCells>
  <pageMargins left="0.7" right="0.7" top="0.75" bottom="0.75" header="0.3" footer="0.3"/>
  <pageSetup paperSize="9" scale="21" fitToHeight="0" orientation="portrait" horizontalDpi="4294967293" r:id="rId1"/>
  <drawing r:id="rId2"/>
  <legacyDrawing r:id="rId3"/>
  <oleObjects>
    <mc:AlternateContent xmlns:mc="http://schemas.openxmlformats.org/markup-compatibility/2006">
      <mc:Choice Requires="x14">
        <oleObject progId="ChemDraw.Document.6.0" shapeId="26625" r:id="rId4">
          <objectPr defaultSize="0" autoPict="0" r:id="rId5">
            <anchor moveWithCells="1">
              <from>
                <xdr:col>13</xdr:col>
                <xdr:colOff>638175</xdr:colOff>
                <xdr:row>98</xdr:row>
                <xdr:rowOff>38100</xdr:rowOff>
              </from>
              <to>
                <xdr:col>23</xdr:col>
                <xdr:colOff>161925</xdr:colOff>
                <xdr:row>110</xdr:row>
                <xdr:rowOff>142875</xdr:rowOff>
              </to>
            </anchor>
          </objectPr>
        </oleObject>
      </mc:Choice>
      <mc:Fallback>
        <oleObject progId="ChemDraw.Document.6.0" shapeId="26625" r:id="rId4"/>
      </mc:Fallback>
    </mc:AlternateContent>
    <mc:AlternateContent xmlns:mc="http://schemas.openxmlformats.org/markup-compatibility/2006">
      <mc:Choice Requires="x14">
        <oleObject progId="ChemDraw.Document.6.0" shapeId="26626" r:id="rId6">
          <objectPr defaultSize="0" autoPict="0" r:id="rId7">
            <anchor moveWithCells="1">
              <from>
                <xdr:col>3</xdr:col>
                <xdr:colOff>447675</xdr:colOff>
                <xdr:row>1</xdr:row>
                <xdr:rowOff>95250</xdr:rowOff>
              </from>
              <to>
                <xdr:col>12</xdr:col>
                <xdr:colOff>571500</xdr:colOff>
                <xdr:row>14</xdr:row>
                <xdr:rowOff>19050</xdr:rowOff>
              </to>
            </anchor>
          </objectPr>
        </oleObject>
      </mc:Choice>
      <mc:Fallback>
        <oleObject progId="ChemDraw.Document.6.0" shapeId="26626"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AJ135"/>
  <sheetViews>
    <sheetView topLeftCell="A88" zoomScale="70" zoomScaleNormal="70" workbookViewId="0">
      <selection activeCell="C7" sqref="C7"/>
    </sheetView>
  </sheetViews>
  <sheetFormatPr defaultColWidth="8.85546875" defaultRowHeight="15" x14ac:dyDescent="0.25"/>
  <cols>
    <col min="1" max="1" width="15.42578125" customWidth="1"/>
    <col min="2" max="2" width="1.7109375" customWidth="1"/>
    <col min="3" max="3" width="51.85546875" customWidth="1"/>
    <col min="4" max="4" width="12.42578125" style="58" bestFit="1" customWidth="1"/>
    <col min="5" max="5" width="16.7109375" style="58" bestFit="1" customWidth="1"/>
    <col min="6" max="6" width="12.85546875" style="58" customWidth="1"/>
    <col min="7" max="7" width="10.7109375" customWidth="1"/>
    <col min="8" max="8" width="11" bestFit="1" customWidth="1"/>
    <col min="9" max="9" width="7.42578125" bestFit="1" customWidth="1"/>
    <col min="10" max="10" width="11.42578125" bestFit="1" customWidth="1"/>
    <col min="11" max="11" width="17.85546875" bestFit="1" customWidth="1"/>
    <col min="12" max="12" width="13.85546875" customWidth="1"/>
    <col min="13" max="13" width="11.7109375" customWidth="1"/>
    <col min="14" max="14" width="13.42578125" bestFit="1" customWidth="1"/>
    <col min="15" max="15" width="13.28515625" customWidth="1"/>
    <col min="16" max="16" width="13.42578125" bestFit="1" customWidth="1"/>
    <col min="17" max="17" width="12.140625" bestFit="1" customWidth="1"/>
    <col min="18" max="18" width="10.140625" customWidth="1"/>
    <col min="19" max="19" width="10.28515625" bestFit="1" customWidth="1"/>
    <col min="20" max="20" width="12.28515625" customWidth="1"/>
    <col min="21" max="21" width="10.28515625" customWidth="1"/>
    <col min="22" max="22" width="12.140625" customWidth="1"/>
  </cols>
  <sheetData>
    <row r="1" spans="1:36" s="29" customFormat="1" ht="14.45" x14ac:dyDescent="0.3">
      <c r="A1" s="28" t="s">
        <v>107</v>
      </c>
      <c r="D1" s="30"/>
      <c r="E1" s="30"/>
      <c r="F1" s="30"/>
    </row>
    <row r="3" spans="1:36" ht="15" customHeight="1" x14ac:dyDescent="0.25">
      <c r="C3" s="41" t="s">
        <v>198</v>
      </c>
      <c r="D3" s="103"/>
      <c r="E3" s="103"/>
      <c r="F3" s="103"/>
      <c r="G3" s="103"/>
      <c r="H3" s="103"/>
      <c r="I3" s="103"/>
      <c r="J3" s="103"/>
      <c r="K3" s="103"/>
      <c r="L3" s="190" t="s">
        <v>103</v>
      </c>
      <c r="M3" s="190"/>
      <c r="N3" s="190"/>
      <c r="O3" s="190"/>
      <c r="P3" s="190"/>
      <c r="Q3" s="190"/>
      <c r="R3" s="190"/>
      <c r="S3" s="190"/>
      <c r="T3" s="190"/>
      <c r="U3" s="190"/>
      <c r="V3" s="190"/>
      <c r="W3" s="125"/>
      <c r="X3" s="125"/>
      <c r="Y3" s="125"/>
      <c r="Z3" s="125"/>
      <c r="AA3" s="125"/>
      <c r="AB3" s="125"/>
      <c r="AC3" s="125"/>
      <c r="AD3" s="125"/>
      <c r="AE3" s="125"/>
      <c r="AF3" s="125"/>
      <c r="AG3" s="125"/>
      <c r="AH3" s="125"/>
      <c r="AI3" s="125"/>
      <c r="AJ3" s="125"/>
    </row>
    <row r="4" spans="1:36" x14ac:dyDescent="0.25">
      <c r="C4" s="110" t="s">
        <v>90</v>
      </c>
      <c r="D4" s="103"/>
      <c r="E4" s="103"/>
      <c r="F4" s="103"/>
      <c r="G4" s="103"/>
      <c r="H4" s="103"/>
      <c r="I4" s="103"/>
      <c r="J4" s="103"/>
      <c r="K4" s="103"/>
      <c r="L4" s="190"/>
      <c r="M4" s="190"/>
      <c r="N4" s="190"/>
      <c r="O4" s="190"/>
      <c r="P4" s="190"/>
      <c r="Q4" s="190"/>
      <c r="R4" s="190"/>
      <c r="S4" s="190"/>
      <c r="T4" s="190"/>
      <c r="U4" s="190"/>
      <c r="V4" s="190"/>
      <c r="W4" s="125"/>
      <c r="X4" s="125"/>
      <c r="Y4" s="125"/>
      <c r="Z4" s="125"/>
      <c r="AA4" s="125"/>
      <c r="AB4" s="125"/>
      <c r="AC4" s="125"/>
      <c r="AD4" s="125"/>
      <c r="AE4" s="125"/>
      <c r="AF4" s="125"/>
      <c r="AG4" s="125"/>
      <c r="AH4" s="125"/>
      <c r="AI4" s="125"/>
      <c r="AJ4" s="125"/>
    </row>
    <row r="5" spans="1:36" x14ac:dyDescent="0.25">
      <c r="C5" s="52"/>
      <c r="D5" s="103"/>
      <c r="E5" s="103"/>
      <c r="F5" s="103"/>
      <c r="G5" s="103"/>
      <c r="H5" s="103"/>
      <c r="I5" s="103"/>
      <c r="J5" s="103"/>
      <c r="K5" s="103"/>
      <c r="L5" s="190"/>
      <c r="M5" s="190"/>
      <c r="N5" s="190"/>
      <c r="O5" s="190"/>
      <c r="P5" s="190"/>
      <c r="Q5" s="190"/>
      <c r="R5" s="190"/>
      <c r="S5" s="190"/>
      <c r="T5" s="190"/>
      <c r="U5" s="190"/>
      <c r="V5" s="190"/>
      <c r="W5" s="125"/>
      <c r="X5" s="125"/>
      <c r="Y5" s="125"/>
      <c r="Z5" s="125"/>
      <c r="AA5" s="125"/>
      <c r="AB5" s="125"/>
      <c r="AC5" s="125"/>
      <c r="AD5" s="125"/>
      <c r="AE5" s="125"/>
      <c r="AF5" s="125"/>
      <c r="AG5" s="125"/>
      <c r="AH5" s="125"/>
      <c r="AI5" s="125"/>
      <c r="AJ5" s="125"/>
    </row>
    <row r="6" spans="1:36" x14ac:dyDescent="0.25">
      <c r="D6" s="103"/>
      <c r="E6" s="103"/>
      <c r="F6" s="103"/>
      <c r="G6" s="103"/>
      <c r="H6" s="103"/>
      <c r="I6" s="103"/>
      <c r="J6" s="103"/>
      <c r="K6" s="103"/>
      <c r="L6" s="190"/>
      <c r="M6" s="190"/>
      <c r="N6" s="190"/>
      <c r="O6" s="190"/>
      <c r="P6" s="190"/>
      <c r="Q6" s="190"/>
      <c r="R6" s="190"/>
      <c r="S6" s="190"/>
      <c r="T6" s="190"/>
      <c r="U6" s="190"/>
      <c r="V6" s="190"/>
      <c r="W6" s="125"/>
      <c r="X6" s="125"/>
      <c r="Y6" s="125"/>
      <c r="Z6" s="125"/>
      <c r="AA6" s="125"/>
      <c r="AB6" s="125"/>
      <c r="AC6" s="125"/>
      <c r="AD6" s="125"/>
      <c r="AE6" s="125"/>
      <c r="AF6" s="125"/>
      <c r="AG6" s="125"/>
      <c r="AH6" s="125"/>
      <c r="AI6" s="125"/>
      <c r="AJ6" s="125"/>
    </row>
    <row r="7" spans="1:36" x14ac:dyDescent="0.25">
      <c r="D7" s="103"/>
      <c r="E7" s="103"/>
      <c r="F7" s="103"/>
      <c r="G7" s="103"/>
      <c r="H7" s="103"/>
      <c r="I7" s="103"/>
      <c r="J7" s="103"/>
      <c r="K7" s="103"/>
      <c r="L7" s="190"/>
      <c r="M7" s="190"/>
      <c r="N7" s="190"/>
      <c r="O7" s="190"/>
      <c r="P7" s="190"/>
      <c r="Q7" s="190"/>
      <c r="R7" s="190"/>
      <c r="S7" s="190"/>
      <c r="T7" s="190"/>
      <c r="U7" s="190"/>
      <c r="V7" s="190"/>
      <c r="W7" s="125"/>
      <c r="X7" s="125"/>
      <c r="Y7" s="125"/>
      <c r="Z7" s="125"/>
      <c r="AA7" s="125"/>
      <c r="AB7" s="125"/>
      <c r="AC7" s="125"/>
      <c r="AD7" s="125"/>
      <c r="AE7" s="125"/>
      <c r="AF7" s="125"/>
      <c r="AG7" s="125"/>
      <c r="AH7" s="125"/>
      <c r="AI7" s="125"/>
      <c r="AJ7" s="125"/>
    </row>
    <row r="8" spans="1:36" x14ac:dyDescent="0.25">
      <c r="D8" s="103"/>
      <c r="E8" s="103"/>
      <c r="F8" s="103"/>
      <c r="G8" s="103"/>
      <c r="H8" s="103"/>
      <c r="I8" s="103"/>
      <c r="J8" s="103"/>
      <c r="K8" s="103"/>
      <c r="L8" s="190"/>
      <c r="M8" s="190"/>
      <c r="N8" s="190"/>
      <c r="O8" s="190"/>
      <c r="P8" s="190"/>
      <c r="Q8" s="190"/>
      <c r="R8" s="190"/>
      <c r="S8" s="190"/>
      <c r="T8" s="190"/>
      <c r="U8" s="190"/>
      <c r="V8" s="190"/>
      <c r="W8" s="125"/>
      <c r="X8" s="125"/>
      <c r="Y8" s="125"/>
      <c r="Z8" s="125"/>
      <c r="AA8" s="125"/>
      <c r="AB8" s="125"/>
      <c r="AC8" s="125"/>
      <c r="AD8" s="125"/>
      <c r="AE8" s="125"/>
      <c r="AF8" s="125"/>
      <c r="AG8" s="125"/>
      <c r="AH8" s="125"/>
      <c r="AI8" s="125"/>
      <c r="AJ8" s="125"/>
    </row>
    <row r="9" spans="1:36" x14ac:dyDescent="0.25">
      <c r="D9" s="103"/>
      <c r="E9" s="103"/>
      <c r="F9" s="103"/>
      <c r="G9" s="103"/>
      <c r="H9" s="103"/>
      <c r="I9" s="103"/>
      <c r="J9" s="103"/>
      <c r="K9" s="103"/>
      <c r="L9" s="190"/>
      <c r="M9" s="190"/>
      <c r="N9" s="190"/>
      <c r="O9" s="190"/>
      <c r="P9" s="190"/>
      <c r="Q9" s="190"/>
      <c r="R9" s="190"/>
      <c r="S9" s="190"/>
      <c r="T9" s="190"/>
      <c r="U9" s="190"/>
      <c r="V9" s="190"/>
      <c r="W9" s="125"/>
      <c r="X9" s="125"/>
      <c r="Y9" s="125"/>
      <c r="Z9" s="125"/>
      <c r="AA9" s="125"/>
      <c r="AB9" s="125"/>
      <c r="AC9" s="125"/>
      <c r="AD9" s="125"/>
      <c r="AE9" s="125"/>
      <c r="AF9" s="125"/>
      <c r="AG9" s="125"/>
      <c r="AH9" s="125"/>
      <c r="AI9" s="125"/>
      <c r="AJ9" s="125"/>
    </row>
    <row r="10" spans="1:36" x14ac:dyDescent="0.25">
      <c r="D10" s="103"/>
      <c r="E10" s="103"/>
      <c r="F10" s="103"/>
      <c r="G10" s="103"/>
      <c r="H10" s="103"/>
      <c r="I10" s="103"/>
      <c r="J10" s="103"/>
      <c r="K10" s="103"/>
      <c r="L10" s="190"/>
      <c r="M10" s="190"/>
      <c r="N10" s="190"/>
      <c r="O10" s="190"/>
      <c r="P10" s="190"/>
      <c r="Q10" s="190"/>
      <c r="R10" s="190"/>
      <c r="S10" s="190"/>
      <c r="T10" s="190"/>
      <c r="U10" s="190"/>
      <c r="V10" s="190"/>
      <c r="W10" s="125"/>
      <c r="X10" s="125"/>
      <c r="Y10" s="125"/>
      <c r="Z10" s="125"/>
      <c r="AA10" s="125"/>
      <c r="AB10" s="125"/>
      <c r="AC10" s="125"/>
      <c r="AD10" s="125"/>
      <c r="AE10" s="125"/>
      <c r="AF10" s="125"/>
      <c r="AG10" s="125"/>
      <c r="AH10" s="125"/>
      <c r="AI10" s="125"/>
      <c r="AJ10" s="125"/>
    </row>
    <row r="11" spans="1:36" x14ac:dyDescent="0.25">
      <c r="D11" s="103"/>
      <c r="E11" s="103"/>
      <c r="F11" s="103"/>
      <c r="G11" s="103"/>
      <c r="H11" s="103"/>
      <c r="I11" s="103"/>
      <c r="J11" s="103"/>
      <c r="K11" s="103"/>
      <c r="L11" s="190"/>
      <c r="M11" s="190"/>
      <c r="N11" s="190"/>
      <c r="O11" s="190"/>
      <c r="P11" s="190"/>
      <c r="Q11" s="190"/>
      <c r="R11" s="190"/>
      <c r="S11" s="190"/>
      <c r="T11" s="190"/>
      <c r="U11" s="190"/>
      <c r="V11" s="190"/>
      <c r="W11" s="125"/>
      <c r="X11" s="125"/>
      <c r="Y11" s="125"/>
      <c r="Z11" s="125"/>
      <c r="AA11" s="125"/>
      <c r="AB11" s="125"/>
      <c r="AC11" s="125"/>
      <c r="AD11" s="125"/>
      <c r="AE11" s="125"/>
      <c r="AF11" s="125"/>
      <c r="AG11" s="125"/>
      <c r="AH11" s="125"/>
      <c r="AI11" s="125"/>
      <c r="AJ11" s="125"/>
    </row>
    <row r="12" spans="1:36" ht="14.45" x14ac:dyDescent="0.3">
      <c r="D12" s="103"/>
      <c r="E12" s="103"/>
      <c r="F12" s="103"/>
      <c r="G12" s="103"/>
      <c r="H12" s="103"/>
      <c r="I12" s="103"/>
      <c r="J12" s="103"/>
      <c r="K12" s="103"/>
      <c r="L12" s="103"/>
      <c r="M12" s="103"/>
    </row>
    <row r="13" spans="1:36" s="158" customFormat="1" ht="14.45" x14ac:dyDescent="0.3">
      <c r="D13" s="103"/>
      <c r="E13" s="103"/>
      <c r="F13" s="103"/>
      <c r="G13" s="103"/>
      <c r="H13" s="103"/>
      <c r="I13" s="103"/>
      <c r="J13" s="103"/>
      <c r="K13" s="103"/>
      <c r="L13" s="103"/>
      <c r="M13" s="103"/>
    </row>
    <row r="14" spans="1:36" ht="14.45" x14ac:dyDescent="0.3">
      <c r="C14" s="6" t="s">
        <v>26</v>
      </c>
      <c r="D14" s="170"/>
      <c r="E14" s="170"/>
      <c r="F14" s="170"/>
      <c r="G14" s="170"/>
      <c r="H14" s="170"/>
      <c r="I14" s="170"/>
      <c r="J14" s="170"/>
      <c r="K14" s="170"/>
      <c r="L14" s="170"/>
      <c r="M14" s="170"/>
    </row>
    <row r="15" spans="1:36" ht="32.450000000000003" x14ac:dyDescent="0.3">
      <c r="C15" s="17" t="s">
        <v>14</v>
      </c>
      <c r="D15" s="20" t="s">
        <v>21</v>
      </c>
      <c r="E15" s="20" t="s">
        <v>94</v>
      </c>
      <c r="F15" s="17" t="s">
        <v>13</v>
      </c>
      <c r="G15" s="17" t="s">
        <v>15</v>
      </c>
      <c r="H15" s="18" t="s">
        <v>1</v>
      </c>
      <c r="I15" s="19" t="s">
        <v>25</v>
      </c>
      <c r="J15" s="17" t="s">
        <v>2</v>
      </c>
      <c r="K15" s="20" t="s">
        <v>94</v>
      </c>
      <c r="L15" s="20" t="s">
        <v>22</v>
      </c>
      <c r="M15" s="19" t="s">
        <v>8</v>
      </c>
      <c r="N15" s="19" t="s">
        <v>16</v>
      </c>
      <c r="O15" s="19" t="s">
        <v>17</v>
      </c>
      <c r="P15" s="19" t="s">
        <v>18</v>
      </c>
      <c r="Q15" s="20" t="s">
        <v>10</v>
      </c>
      <c r="R15" s="20" t="s">
        <v>23</v>
      </c>
      <c r="S15" s="19" t="s">
        <v>9</v>
      </c>
      <c r="T15" s="19" t="s">
        <v>19</v>
      </c>
      <c r="U15" s="19" t="s">
        <v>20</v>
      </c>
      <c r="V15" s="19" t="s">
        <v>24</v>
      </c>
    </row>
    <row r="16" spans="1:36" ht="14.45" x14ac:dyDescent="0.3">
      <c r="A16" s="62" t="s">
        <v>198</v>
      </c>
      <c r="C16" s="68" t="s">
        <v>119</v>
      </c>
      <c r="D16" s="8">
        <v>22000</v>
      </c>
      <c r="E16" s="8">
        <v>276.26</v>
      </c>
      <c r="F16" s="8">
        <v>1</v>
      </c>
      <c r="G16" s="11">
        <f>D16/E16</f>
        <v>79.635126330268591</v>
      </c>
      <c r="H16" s="7"/>
      <c r="I16" s="7"/>
      <c r="J16" s="8" t="s">
        <v>52</v>
      </c>
      <c r="K16" s="8">
        <v>79.099999999999994</v>
      </c>
      <c r="L16" s="46">
        <f>K16*270</f>
        <v>21357</v>
      </c>
      <c r="M16" s="42" t="s">
        <v>40</v>
      </c>
      <c r="N16" s="45">
        <v>57000</v>
      </c>
      <c r="O16" s="1">
        <v>0.89500000000000002</v>
      </c>
      <c r="P16" s="11">
        <f>N16*O16</f>
        <v>51015</v>
      </c>
      <c r="Q16" s="8"/>
      <c r="R16" s="8"/>
      <c r="S16" s="7"/>
      <c r="T16" s="7"/>
      <c r="U16" s="7"/>
      <c r="V16" s="11">
        <f>T16*U16</f>
        <v>0</v>
      </c>
    </row>
    <row r="17" spans="1:22" ht="14.45" x14ac:dyDescent="0.3">
      <c r="C17" s="69" t="s">
        <v>115</v>
      </c>
      <c r="D17" s="8">
        <v>20000</v>
      </c>
      <c r="E17" s="8">
        <v>228.25</v>
      </c>
      <c r="F17" s="8">
        <f>G17/G16</f>
        <v>1.1003086727073583</v>
      </c>
      <c r="G17" s="11">
        <f>D17/E17</f>
        <v>87.62322015334064</v>
      </c>
      <c r="H17" s="1"/>
      <c r="I17" s="1"/>
      <c r="J17" s="25" t="s">
        <v>91</v>
      </c>
      <c r="K17" s="26">
        <v>318.18</v>
      </c>
      <c r="L17" s="46">
        <f>159*K17</f>
        <v>50590.62</v>
      </c>
      <c r="M17" s="42" t="s">
        <v>89</v>
      </c>
      <c r="N17" s="2">
        <f>110000+104000</f>
        <v>214000</v>
      </c>
      <c r="O17" s="1">
        <v>0.78600000000000003</v>
      </c>
      <c r="P17" s="11">
        <f>N17*O17</f>
        <v>168204</v>
      </c>
      <c r="Q17" s="8"/>
      <c r="R17" s="8"/>
      <c r="S17" s="7"/>
      <c r="T17" s="7"/>
      <c r="U17" s="7"/>
      <c r="V17" s="11">
        <f t="shared" ref="V17" si="0">T17*U17</f>
        <v>0</v>
      </c>
    </row>
    <row r="18" spans="1:22" ht="14.45" x14ac:dyDescent="0.3">
      <c r="C18" s="10" t="s">
        <v>4</v>
      </c>
      <c r="D18" s="11">
        <f>SUM(D16:D17)</f>
        <v>42000</v>
      </c>
      <c r="E18" s="11">
        <f>SUM(E16:E17)</f>
        <v>504.51</v>
      </c>
      <c r="F18" s="43"/>
      <c r="G18" s="165">
        <f>SUM(G16:G17)</f>
        <v>167.25834648360922</v>
      </c>
      <c r="I18" s="23">
        <f>SUM(I16:I17)</f>
        <v>0</v>
      </c>
      <c r="L18" s="47">
        <f>SUM(L16:L17)</f>
        <v>71947.62</v>
      </c>
      <c r="N18" s="89">
        <f>SUM(N16:N17)</f>
        <v>271000</v>
      </c>
      <c r="P18" s="23">
        <f>SUM(P16:P17)</f>
        <v>219219</v>
      </c>
      <c r="R18" s="23">
        <f>SUM(R16:R17)</f>
        <v>0</v>
      </c>
      <c r="V18" s="23">
        <f>SUM(V16:V17)</f>
        <v>0</v>
      </c>
    </row>
    <row r="19" spans="1:22" ht="14.45" x14ac:dyDescent="0.3">
      <c r="C19" s="4"/>
      <c r="D19" s="3"/>
      <c r="E19" s="3"/>
      <c r="F19" s="3"/>
      <c r="G19" s="4"/>
      <c r="H19" s="4"/>
      <c r="I19" s="4"/>
      <c r="M19" s="49"/>
      <c r="N19" s="4"/>
      <c r="O19" s="4"/>
      <c r="P19" s="4"/>
      <c r="Q19" s="4"/>
      <c r="R19" s="4"/>
      <c r="S19" s="4"/>
      <c r="T19" s="4"/>
      <c r="U19" s="4"/>
      <c r="V19" s="4"/>
    </row>
    <row r="20" spans="1:22" ht="14.45" x14ac:dyDescent="0.3">
      <c r="C20" s="4"/>
      <c r="D20" s="3"/>
      <c r="E20" s="3"/>
      <c r="F20" s="3"/>
      <c r="G20" s="4"/>
      <c r="H20" s="4"/>
      <c r="K20" s="162" t="s">
        <v>133</v>
      </c>
      <c r="L20" s="12">
        <f>(T22/G16)*100</f>
        <v>87.965437727739882</v>
      </c>
      <c r="M20" s="49"/>
      <c r="O20" s="4"/>
      <c r="P20" s="4"/>
      <c r="Q20" s="4"/>
      <c r="R20" s="4"/>
      <c r="S20" s="4"/>
    </row>
    <row r="21" spans="1:22" ht="14.45" x14ac:dyDescent="0.3">
      <c r="C21" s="4"/>
      <c r="D21" s="3"/>
      <c r="E21" s="3"/>
      <c r="F21" s="3"/>
      <c r="G21" s="4"/>
      <c r="H21" s="4"/>
      <c r="K21" s="159" t="s">
        <v>134</v>
      </c>
      <c r="L21" s="13">
        <f>(S22/(E18)*100)</f>
        <v>96.430199599611512</v>
      </c>
      <c r="M21" s="49"/>
      <c r="R21" s="5" t="s">
        <v>11</v>
      </c>
      <c r="S21" s="5" t="s">
        <v>12</v>
      </c>
      <c r="T21" s="5" t="s">
        <v>0</v>
      </c>
    </row>
    <row r="22" spans="1:22" ht="14.45" x14ac:dyDescent="0.3">
      <c r="C22" s="4"/>
      <c r="D22" s="3"/>
      <c r="E22" s="3"/>
      <c r="F22" s="3"/>
      <c r="G22" s="4"/>
      <c r="H22" s="4"/>
      <c r="K22" s="162" t="s">
        <v>135</v>
      </c>
      <c r="L22" s="12">
        <f>(R22/D18)*100</f>
        <v>81.142857142857139</v>
      </c>
      <c r="P22" s="4"/>
      <c r="Q22" s="5" t="s">
        <v>3</v>
      </c>
      <c r="R22" s="9">
        <v>34080</v>
      </c>
      <c r="S22" s="9">
        <v>486.5</v>
      </c>
      <c r="T22" s="22">
        <f>R22/S22</f>
        <v>70.051387461459399</v>
      </c>
    </row>
    <row r="23" spans="1:22" ht="16.149999999999999" x14ac:dyDescent="0.3">
      <c r="C23" s="4"/>
      <c r="D23" s="3"/>
      <c r="E23" s="3"/>
      <c r="F23" s="3"/>
      <c r="G23" s="4"/>
      <c r="H23" s="4"/>
      <c r="K23" s="159" t="s">
        <v>136</v>
      </c>
      <c r="L23" s="13">
        <f>(D18+I18+L18+P18+R18+V18)/R22</f>
        <v>9.7760158450704218</v>
      </c>
      <c r="O23" s="4"/>
      <c r="P23" s="4"/>
      <c r="S23" s="73"/>
      <c r="T23" s="3"/>
    </row>
    <row r="24" spans="1:22" ht="16.149999999999999" x14ac:dyDescent="0.3">
      <c r="C24" s="4"/>
      <c r="D24" s="3"/>
      <c r="E24" s="3"/>
      <c r="F24" s="3"/>
      <c r="G24" s="4"/>
      <c r="H24" s="4"/>
      <c r="I24" s="4"/>
      <c r="K24" s="163" t="s">
        <v>137</v>
      </c>
      <c r="L24" s="15">
        <f>(D18+I18+L18)/R22</f>
        <v>3.3435334507042254</v>
      </c>
      <c r="N24" s="163" t="s">
        <v>139</v>
      </c>
      <c r="O24" s="93">
        <f>G16/N18*1000</f>
        <v>0.29385655472423833</v>
      </c>
      <c r="P24" s="4"/>
      <c r="S24" s="4"/>
    </row>
    <row r="25" spans="1:22" ht="16.149999999999999" x14ac:dyDescent="0.3">
      <c r="C25" s="4"/>
      <c r="D25" s="3"/>
      <c r="E25" s="3"/>
      <c r="F25" s="3"/>
      <c r="G25" s="4"/>
      <c r="H25" s="4"/>
      <c r="I25" s="4"/>
      <c r="K25" s="164" t="s">
        <v>138</v>
      </c>
      <c r="L25" s="16">
        <f>(P18+V18)/R22</f>
        <v>6.4324823943661968</v>
      </c>
      <c r="M25" s="4"/>
      <c r="N25" s="4"/>
      <c r="O25" s="4"/>
      <c r="P25" s="4"/>
      <c r="U25" s="4"/>
      <c r="V25" s="4"/>
    </row>
    <row r="26" spans="1:22" ht="14.45" x14ac:dyDescent="0.3">
      <c r="C26" s="6"/>
      <c r="D26"/>
      <c r="E26" s="3"/>
      <c r="F26" s="3"/>
      <c r="G26" s="4"/>
      <c r="H26" s="4"/>
      <c r="I26" s="4"/>
      <c r="K26" s="4"/>
      <c r="M26" s="4"/>
      <c r="P26" s="4"/>
      <c r="Q26" s="4"/>
      <c r="R26" s="4"/>
      <c r="S26" s="4"/>
      <c r="T26" s="4"/>
      <c r="U26" s="4"/>
      <c r="V26" s="4"/>
    </row>
    <row r="27" spans="1:22" ht="14.45" x14ac:dyDescent="0.3">
      <c r="C27" s="4"/>
    </row>
    <row r="28" spans="1:22" ht="14.45" x14ac:dyDescent="0.3">
      <c r="C28" s="6"/>
      <c r="D28"/>
      <c r="E28" s="3"/>
      <c r="F28" s="3"/>
      <c r="G28" s="4"/>
      <c r="H28" s="4"/>
      <c r="I28" s="4"/>
      <c r="K28" s="4"/>
      <c r="L28" s="4"/>
      <c r="N28" s="4"/>
      <c r="O28" s="4"/>
      <c r="P28" s="4"/>
      <c r="Q28" s="4"/>
      <c r="R28" s="4"/>
      <c r="S28" s="4"/>
      <c r="T28" s="4"/>
      <c r="U28" s="4"/>
      <c r="V28" s="4"/>
    </row>
    <row r="29" spans="1:22" s="29" customFormat="1" ht="14.45" x14ac:dyDescent="0.3">
      <c r="A29" s="28" t="s">
        <v>126</v>
      </c>
      <c r="D29" s="30"/>
      <c r="E29" s="30"/>
      <c r="F29" s="30"/>
    </row>
    <row r="30" spans="1:22" ht="14.45" x14ac:dyDescent="0.3">
      <c r="B30" s="4"/>
      <c r="C30" s="6" t="s">
        <v>26</v>
      </c>
      <c r="D30" s="73"/>
      <c r="E30" s="73"/>
      <c r="F30" s="73"/>
    </row>
    <row r="31" spans="1:22" ht="32.450000000000003" x14ac:dyDescent="0.3">
      <c r="C31" s="17" t="s">
        <v>14</v>
      </c>
      <c r="D31" s="20" t="s">
        <v>21</v>
      </c>
      <c r="E31" s="20" t="s">
        <v>28</v>
      </c>
      <c r="F31" s="17" t="s">
        <v>13</v>
      </c>
      <c r="G31" s="17" t="s">
        <v>15</v>
      </c>
      <c r="H31" s="18" t="s">
        <v>1</v>
      </c>
      <c r="I31" s="19" t="s">
        <v>25</v>
      </c>
      <c r="J31" s="17" t="s">
        <v>2</v>
      </c>
      <c r="K31" s="20" t="s">
        <v>28</v>
      </c>
      <c r="L31" s="20" t="s">
        <v>22</v>
      </c>
      <c r="M31" s="19" t="s">
        <v>8</v>
      </c>
      <c r="N31" s="19" t="s">
        <v>16</v>
      </c>
      <c r="O31" s="19" t="s">
        <v>17</v>
      </c>
      <c r="P31" s="19" t="s">
        <v>18</v>
      </c>
      <c r="Q31" s="20" t="s">
        <v>10</v>
      </c>
      <c r="R31" s="20" t="s">
        <v>23</v>
      </c>
      <c r="S31" s="19" t="s">
        <v>9</v>
      </c>
      <c r="T31" s="19" t="s">
        <v>19</v>
      </c>
      <c r="U31" s="19" t="s">
        <v>20</v>
      </c>
      <c r="V31" s="19" t="s">
        <v>24</v>
      </c>
    </row>
    <row r="32" spans="1:22" ht="14.45" x14ac:dyDescent="0.3">
      <c r="A32" s="62" t="s">
        <v>198</v>
      </c>
      <c r="C32" s="68" t="s">
        <v>119</v>
      </c>
      <c r="D32" s="8">
        <v>22000</v>
      </c>
      <c r="E32" s="8">
        <v>276.26</v>
      </c>
      <c r="F32" s="8">
        <v>1</v>
      </c>
      <c r="G32" s="11">
        <f>D32/E32</f>
        <v>79.635126330268591</v>
      </c>
      <c r="H32" s="7"/>
      <c r="I32" s="7"/>
      <c r="J32" s="8" t="s">
        <v>52</v>
      </c>
      <c r="K32" s="8">
        <v>79.099999999999994</v>
      </c>
      <c r="L32" s="46">
        <f>K32*270</f>
        <v>21357</v>
      </c>
      <c r="M32" s="42" t="s">
        <v>40</v>
      </c>
      <c r="N32" s="45">
        <f>N16/N18*199000</f>
        <v>41856.088560885612</v>
      </c>
      <c r="O32" s="1">
        <v>0.89500000000000002</v>
      </c>
      <c r="P32" s="11">
        <f>N32*O32</f>
        <v>37461.199261992624</v>
      </c>
      <c r="Q32" s="8"/>
      <c r="R32" s="8"/>
      <c r="S32" s="7"/>
      <c r="T32" s="7"/>
      <c r="U32" s="7"/>
      <c r="V32" s="11">
        <f>T32*U32</f>
        <v>0</v>
      </c>
    </row>
    <row r="33" spans="1:22" ht="14.45" x14ac:dyDescent="0.3">
      <c r="C33" s="69" t="s">
        <v>115</v>
      </c>
      <c r="D33" s="8">
        <v>20000</v>
      </c>
      <c r="E33" s="8">
        <v>228.25</v>
      </c>
      <c r="F33" s="8">
        <f>G33/G32</f>
        <v>1.1003086727073583</v>
      </c>
      <c r="G33" s="11">
        <f>D33/E33</f>
        <v>87.62322015334064</v>
      </c>
      <c r="H33" s="1"/>
      <c r="I33" s="1"/>
      <c r="J33" s="25" t="s">
        <v>91</v>
      </c>
      <c r="K33" s="26">
        <v>318.18</v>
      </c>
      <c r="L33" s="46">
        <f>159*K33</f>
        <v>50590.62</v>
      </c>
      <c r="M33" s="42" t="s">
        <v>89</v>
      </c>
      <c r="N33" s="45">
        <f>N17/N18*199000</f>
        <v>157143.9114391144</v>
      </c>
      <c r="O33" s="1">
        <v>0.78600000000000003</v>
      </c>
      <c r="P33" s="11">
        <f>N33*O33</f>
        <v>123515.11439114391</v>
      </c>
      <c r="Q33" s="8"/>
      <c r="R33" s="8"/>
      <c r="S33" s="7"/>
      <c r="T33" s="7"/>
      <c r="U33" s="7"/>
      <c r="V33" s="11">
        <f t="shared" ref="V33" si="1">T33*U33</f>
        <v>0</v>
      </c>
    </row>
    <row r="34" spans="1:22" ht="14.45" x14ac:dyDescent="0.3">
      <c r="C34" s="10" t="s">
        <v>4</v>
      </c>
      <c r="D34" s="11">
        <f>SUM(D32:D33)</f>
        <v>42000</v>
      </c>
      <c r="E34" s="11">
        <f>SUM(E32:E33)</f>
        <v>504.51</v>
      </c>
      <c r="F34" s="43"/>
      <c r="G34" s="165">
        <f>SUM(G32:G33)</f>
        <v>167.25834648360922</v>
      </c>
      <c r="I34" s="23">
        <f>SUM(I32:I33)</f>
        <v>0</v>
      </c>
      <c r="L34" s="47">
        <f>SUM(L32:L33)</f>
        <v>71947.62</v>
      </c>
      <c r="N34" s="89">
        <f>SUM(N32:N33)</f>
        <v>199000</v>
      </c>
      <c r="P34" s="23">
        <f>SUM(P32:P33)</f>
        <v>160976.31365313655</v>
      </c>
      <c r="R34" s="23">
        <f>SUM(R32:R33)</f>
        <v>0</v>
      </c>
      <c r="V34" s="23">
        <f>SUM(V32:V33)</f>
        <v>0</v>
      </c>
    </row>
    <row r="35" spans="1:22" ht="14.45" x14ac:dyDescent="0.3">
      <c r="C35" s="4"/>
      <c r="D35" s="3"/>
      <c r="E35" s="3"/>
      <c r="F35" s="3"/>
      <c r="G35" s="4"/>
      <c r="H35" s="4"/>
      <c r="I35" s="4"/>
      <c r="M35" s="49"/>
      <c r="N35" s="4"/>
      <c r="O35" s="4"/>
      <c r="P35" s="4"/>
      <c r="Q35" s="4"/>
      <c r="R35" s="4"/>
      <c r="S35" s="4"/>
      <c r="T35" s="4"/>
      <c r="U35" s="4"/>
      <c r="V35" s="4"/>
    </row>
    <row r="36" spans="1:22" ht="14.45" x14ac:dyDescent="0.3">
      <c r="C36" s="4"/>
      <c r="D36" s="3"/>
      <c r="E36" s="3"/>
      <c r="F36" s="3"/>
      <c r="G36" s="4"/>
      <c r="H36" s="4"/>
      <c r="K36" s="162" t="s">
        <v>133</v>
      </c>
      <c r="L36" s="12">
        <f>(T38/G32)*100</f>
        <v>87.965437727739882</v>
      </c>
      <c r="M36" s="49"/>
      <c r="O36" s="4"/>
      <c r="P36" s="4"/>
      <c r="Q36" s="4"/>
      <c r="R36" s="4"/>
      <c r="S36" s="4"/>
    </row>
    <row r="37" spans="1:22" ht="14.45" x14ac:dyDescent="0.3">
      <c r="C37" s="4"/>
      <c r="D37" s="3"/>
      <c r="E37" s="3"/>
      <c r="F37" s="3"/>
      <c r="G37" s="4"/>
      <c r="H37" s="4"/>
      <c r="K37" s="159" t="s">
        <v>134</v>
      </c>
      <c r="L37" s="13">
        <f>(S38/(E34)*100)</f>
        <v>96.430199599611512</v>
      </c>
      <c r="M37" s="49"/>
      <c r="R37" s="5" t="s">
        <v>11</v>
      </c>
      <c r="S37" s="5" t="s">
        <v>12</v>
      </c>
      <c r="T37" s="5" t="s">
        <v>0</v>
      </c>
    </row>
    <row r="38" spans="1:22" ht="14.45" x14ac:dyDescent="0.3">
      <c r="C38" s="4"/>
      <c r="D38" s="3"/>
      <c r="E38" s="3"/>
      <c r="F38" s="3"/>
      <c r="G38" s="4"/>
      <c r="H38" s="4"/>
      <c r="K38" s="162" t="s">
        <v>135</v>
      </c>
      <c r="L38" s="12">
        <f>(R38/D34)*100</f>
        <v>81.142857142857139</v>
      </c>
      <c r="P38" s="4"/>
      <c r="Q38" s="5" t="s">
        <v>3</v>
      </c>
      <c r="R38" s="9">
        <v>34080</v>
      </c>
      <c r="S38" s="9">
        <v>486.5</v>
      </c>
      <c r="T38" s="22">
        <f>R38/S38</f>
        <v>70.051387461459399</v>
      </c>
    </row>
    <row r="39" spans="1:22" ht="16.149999999999999" x14ac:dyDescent="0.3">
      <c r="C39" s="4"/>
      <c r="D39" s="3"/>
      <c r="E39" s="3"/>
      <c r="F39" s="3"/>
      <c r="G39" s="4"/>
      <c r="H39" s="4"/>
      <c r="K39" s="159" t="s">
        <v>136</v>
      </c>
      <c r="L39" s="13">
        <f>(D34+I34+L34+P34+R34+V34)/R38</f>
        <v>8.0670168325450859</v>
      </c>
      <c r="O39" s="4"/>
      <c r="P39" s="4"/>
      <c r="S39" s="73"/>
      <c r="T39" s="3"/>
    </row>
    <row r="40" spans="1:22" ht="16.149999999999999" x14ac:dyDescent="0.3">
      <c r="C40" s="4"/>
      <c r="D40" s="3"/>
      <c r="E40" s="3"/>
      <c r="F40" s="3"/>
      <c r="G40" s="4"/>
      <c r="H40" s="4"/>
      <c r="I40" s="4"/>
      <c r="K40" s="163" t="s">
        <v>137</v>
      </c>
      <c r="L40" s="15">
        <f>(D34+I34+L34)/R38</f>
        <v>3.3435334507042254</v>
      </c>
      <c r="N40" s="163" t="s">
        <v>139</v>
      </c>
      <c r="O40" s="93">
        <f>G32/N34*1000</f>
        <v>0.4001765142224552</v>
      </c>
      <c r="P40" s="4"/>
      <c r="S40" s="4"/>
    </row>
    <row r="41" spans="1:22" ht="16.149999999999999" x14ac:dyDescent="0.3">
      <c r="C41" s="4"/>
      <c r="D41" s="3"/>
      <c r="E41" s="3"/>
      <c r="F41" s="3"/>
      <c r="G41" s="4"/>
      <c r="H41" s="4"/>
      <c r="I41" s="4"/>
      <c r="K41" s="164" t="s">
        <v>138</v>
      </c>
      <c r="L41" s="16">
        <f>(P34+V34)/R38</f>
        <v>4.723483381840861</v>
      </c>
      <c r="M41" s="4"/>
      <c r="N41" s="4"/>
      <c r="O41" s="4"/>
      <c r="P41" s="4"/>
      <c r="U41" s="4"/>
      <c r="V41" s="4"/>
    </row>
    <row r="42" spans="1:22" ht="14.45" x14ac:dyDescent="0.3">
      <c r="C42" s="6"/>
      <c r="D42"/>
      <c r="E42" s="3"/>
      <c r="F42" s="3"/>
      <c r="G42" s="4"/>
      <c r="H42" s="4"/>
      <c r="I42" s="4"/>
      <c r="K42" s="4"/>
      <c r="M42" s="4"/>
      <c r="P42" s="4"/>
      <c r="Q42" s="4"/>
      <c r="R42" s="4"/>
      <c r="S42" s="4"/>
      <c r="T42" s="4"/>
      <c r="U42" s="4"/>
      <c r="V42" s="4"/>
    </row>
    <row r="43" spans="1:22" ht="14.45" x14ac:dyDescent="0.3">
      <c r="C43" s="6"/>
      <c r="D43"/>
      <c r="E43" s="3"/>
      <c r="F43" s="3"/>
      <c r="G43" s="4"/>
      <c r="H43" s="4"/>
      <c r="I43" s="4"/>
      <c r="M43" s="4"/>
      <c r="N43" s="4"/>
      <c r="O43" s="4"/>
      <c r="P43" s="4"/>
      <c r="Q43" s="4"/>
      <c r="R43" s="4"/>
      <c r="S43" s="4"/>
      <c r="T43" s="4"/>
      <c r="U43" s="4"/>
      <c r="V43" s="4"/>
    </row>
    <row r="44" spans="1:22" s="29" customFormat="1" ht="14.45" x14ac:dyDescent="0.3">
      <c r="A44" s="28" t="s">
        <v>108</v>
      </c>
      <c r="D44" s="30"/>
      <c r="E44" s="30"/>
      <c r="F44" s="30"/>
    </row>
    <row r="45" spans="1:22" ht="14.45" x14ac:dyDescent="0.3">
      <c r="B45" s="4"/>
      <c r="C45" s="6" t="s">
        <v>26</v>
      </c>
      <c r="D45" s="73"/>
      <c r="E45" s="73"/>
      <c r="F45" s="73"/>
    </row>
    <row r="46" spans="1:22" ht="32.450000000000003" x14ac:dyDescent="0.3">
      <c r="C46" s="17" t="s">
        <v>14</v>
      </c>
      <c r="D46" s="20" t="s">
        <v>21</v>
      </c>
      <c r="E46" s="20" t="s">
        <v>28</v>
      </c>
      <c r="F46" s="17" t="s">
        <v>13</v>
      </c>
      <c r="G46" s="17" t="s">
        <v>15</v>
      </c>
      <c r="H46" s="18" t="s">
        <v>1</v>
      </c>
      <c r="I46" s="19" t="s">
        <v>25</v>
      </c>
      <c r="J46" s="17" t="s">
        <v>2</v>
      </c>
      <c r="K46" s="20" t="s">
        <v>28</v>
      </c>
      <c r="L46" s="20" t="s">
        <v>22</v>
      </c>
      <c r="M46" s="19" t="s">
        <v>8</v>
      </c>
      <c r="N46" s="19" t="s">
        <v>16</v>
      </c>
      <c r="O46" s="19" t="s">
        <v>17</v>
      </c>
      <c r="P46" s="19" t="s">
        <v>18</v>
      </c>
      <c r="Q46" s="20" t="s">
        <v>10</v>
      </c>
      <c r="R46" s="20" t="s">
        <v>23</v>
      </c>
      <c r="S46" s="19" t="s">
        <v>9</v>
      </c>
      <c r="T46" s="19" t="s">
        <v>19</v>
      </c>
      <c r="U46" s="19" t="s">
        <v>20</v>
      </c>
      <c r="V46" s="19" t="s">
        <v>24</v>
      </c>
    </row>
    <row r="47" spans="1:22" ht="14.45" x14ac:dyDescent="0.3">
      <c r="A47" s="62" t="s">
        <v>198</v>
      </c>
      <c r="C47" s="68" t="s">
        <v>119</v>
      </c>
      <c r="D47" s="8">
        <v>22000</v>
      </c>
      <c r="E47" s="8">
        <v>276.26</v>
      </c>
      <c r="F47" s="8">
        <v>1</v>
      </c>
      <c r="G47" s="11">
        <f>D47/E47</f>
        <v>79.635126330268591</v>
      </c>
      <c r="H47" s="7"/>
      <c r="I47" s="7"/>
      <c r="J47" s="8" t="s">
        <v>52</v>
      </c>
      <c r="K47" s="8">
        <v>79.099999999999994</v>
      </c>
      <c r="L47" s="46">
        <f>K47*270</f>
        <v>21357</v>
      </c>
      <c r="M47" s="42" t="s">
        <v>40</v>
      </c>
      <c r="N47" s="45">
        <v>57000</v>
      </c>
      <c r="O47" s="1">
        <v>0.89500000000000002</v>
      </c>
      <c r="P47" s="11">
        <f>N47*O47</f>
        <v>51015</v>
      </c>
      <c r="Q47" s="8"/>
      <c r="R47" s="8"/>
      <c r="S47" s="7"/>
      <c r="T47" s="7"/>
      <c r="U47" s="7"/>
      <c r="V47" s="11">
        <f>T47*U47</f>
        <v>0</v>
      </c>
    </row>
    <row r="48" spans="1:22" ht="14.45" x14ac:dyDescent="0.3">
      <c r="C48" s="69" t="s">
        <v>115</v>
      </c>
      <c r="D48" s="8">
        <v>20000</v>
      </c>
      <c r="E48" s="8">
        <v>228.25</v>
      </c>
      <c r="F48" s="8">
        <f>G48/G47</f>
        <v>1.1003086727073583</v>
      </c>
      <c r="G48" s="11">
        <f>D48/E48</f>
        <v>87.62322015334064</v>
      </c>
      <c r="H48" s="1"/>
      <c r="I48" s="1"/>
      <c r="J48" s="25" t="s">
        <v>91</v>
      </c>
      <c r="K48" s="26">
        <v>318.18</v>
      </c>
      <c r="L48" s="46">
        <f>159*K48</f>
        <v>50590.62</v>
      </c>
      <c r="M48" s="42" t="s">
        <v>89</v>
      </c>
      <c r="N48" s="2">
        <f>110000+104000</f>
        <v>214000</v>
      </c>
      <c r="O48" s="1">
        <v>0.78600000000000003</v>
      </c>
      <c r="P48" s="11">
        <f>N48*O48</f>
        <v>168204</v>
      </c>
      <c r="Q48" s="8"/>
      <c r="R48" s="8"/>
      <c r="S48" s="7"/>
      <c r="T48" s="7"/>
      <c r="U48" s="7"/>
      <c r="V48" s="11">
        <f t="shared" ref="V48" si="2">T48*U48</f>
        <v>0</v>
      </c>
    </row>
    <row r="49" spans="1:22" ht="14.45" x14ac:dyDescent="0.3">
      <c r="C49" s="10" t="s">
        <v>4</v>
      </c>
      <c r="D49" s="11">
        <f>SUM(D47:D48)</f>
        <v>42000</v>
      </c>
      <c r="E49" s="11">
        <f>SUM(E47:E48)</f>
        <v>504.51</v>
      </c>
      <c r="F49" s="43"/>
      <c r="G49" s="165">
        <f>SUM(G47:G48)</f>
        <v>167.25834648360922</v>
      </c>
      <c r="I49" s="23">
        <f>SUM(I47:I48)</f>
        <v>0</v>
      </c>
      <c r="L49" s="47">
        <f>SUM(L47:L48)</f>
        <v>71947.62</v>
      </c>
      <c r="N49" s="89">
        <f>SUM(N47:N48)</f>
        <v>271000</v>
      </c>
      <c r="P49" s="23">
        <f>SUM(P47:P48)</f>
        <v>219219</v>
      </c>
      <c r="R49" s="23">
        <f>SUM(R47:R48)</f>
        <v>0</v>
      </c>
      <c r="V49" s="23">
        <f>SUM(V47:V48)</f>
        <v>0</v>
      </c>
    </row>
    <row r="50" spans="1:22" ht="14.45" x14ac:dyDescent="0.3">
      <c r="C50" s="4"/>
      <c r="D50" s="3"/>
      <c r="E50" s="3"/>
      <c r="F50" s="3"/>
      <c r="G50" s="4"/>
      <c r="H50" s="4"/>
      <c r="I50" s="4"/>
      <c r="M50" s="49"/>
      <c r="N50" s="4"/>
      <c r="O50" s="4"/>
      <c r="P50" s="4"/>
      <c r="Q50" s="4"/>
      <c r="R50" s="4"/>
      <c r="S50" s="4"/>
      <c r="T50" s="4"/>
      <c r="U50" s="4"/>
      <c r="V50" s="4"/>
    </row>
    <row r="51" spans="1:22" ht="14.45" x14ac:dyDescent="0.3">
      <c r="C51" s="4"/>
      <c r="D51" s="3"/>
      <c r="E51" s="3"/>
      <c r="F51" s="3"/>
      <c r="G51" s="4"/>
      <c r="H51" s="4"/>
      <c r="K51" s="162" t="s">
        <v>133</v>
      </c>
      <c r="L51" s="12">
        <f>(T53/G47)*100</f>
        <v>90.000000000000014</v>
      </c>
      <c r="M51" s="49"/>
      <c r="O51" s="4"/>
      <c r="P51" s="4"/>
      <c r="Q51" s="4"/>
      <c r="R51" s="4"/>
      <c r="S51" s="4"/>
    </row>
    <row r="52" spans="1:22" ht="14.45" x14ac:dyDescent="0.3">
      <c r="C52" s="4"/>
      <c r="D52" s="3"/>
      <c r="E52" s="3"/>
      <c r="F52" s="3"/>
      <c r="G52" s="4"/>
      <c r="H52" s="4"/>
      <c r="K52" s="159" t="s">
        <v>134</v>
      </c>
      <c r="L52" s="13">
        <f>(S53/(E49)*100)</f>
        <v>96.430199599611512</v>
      </c>
      <c r="M52" s="49"/>
      <c r="R52" s="5" t="s">
        <v>11</v>
      </c>
      <c r="S52" s="5" t="s">
        <v>12</v>
      </c>
      <c r="T52" s="5" t="s">
        <v>0</v>
      </c>
    </row>
    <row r="53" spans="1:22" ht="14.45" x14ac:dyDescent="0.3">
      <c r="C53" s="4"/>
      <c r="D53" s="3"/>
      <c r="E53" s="3"/>
      <c r="F53" s="3"/>
      <c r="G53" s="4"/>
      <c r="H53" s="4"/>
      <c r="K53" s="162" t="s">
        <v>135</v>
      </c>
      <c r="L53" s="12">
        <f>(R53/D49)*100</f>
        <v>83.019619199305012</v>
      </c>
      <c r="P53" s="4"/>
      <c r="Q53" s="5" t="s">
        <v>3</v>
      </c>
      <c r="R53" s="9">
        <f>T53*S53</f>
        <v>34868.240063708108</v>
      </c>
      <c r="S53" s="9">
        <v>486.5</v>
      </c>
      <c r="T53" s="22">
        <f>G47*0.9</f>
        <v>71.671613697241739</v>
      </c>
    </row>
    <row r="54" spans="1:22" ht="16.149999999999999" x14ac:dyDescent="0.3">
      <c r="C54" s="4"/>
      <c r="D54" s="3"/>
      <c r="E54" s="3"/>
      <c r="F54" s="3"/>
      <c r="G54" s="4"/>
      <c r="H54" s="4"/>
      <c r="K54" s="159" t="s">
        <v>136</v>
      </c>
      <c r="L54" s="13">
        <f>(D49+I49+L49+P49+R49+V49)/R53</f>
        <v>9.5550168116104501</v>
      </c>
      <c r="O54" s="4"/>
      <c r="P54" s="4"/>
      <c r="S54" s="73"/>
      <c r="T54" s="3"/>
    </row>
    <row r="55" spans="1:22" ht="17.25" x14ac:dyDescent="0.25">
      <c r="C55" s="4"/>
      <c r="D55" s="3"/>
      <c r="E55" s="3"/>
      <c r="F55" s="3"/>
      <c r="G55" s="4"/>
      <c r="H55" s="4"/>
      <c r="I55" s="4"/>
      <c r="K55" s="163" t="s">
        <v>137</v>
      </c>
      <c r="L55" s="15">
        <f>(D49+I49+L49)/R53</f>
        <v>3.2679487060948635</v>
      </c>
      <c r="N55" s="163" t="s">
        <v>139</v>
      </c>
      <c r="O55" s="93">
        <f>G47/N49*1000</f>
        <v>0.29385655472423833</v>
      </c>
      <c r="P55" s="4"/>
      <c r="S55" s="4"/>
    </row>
    <row r="56" spans="1:22" ht="17.25" x14ac:dyDescent="0.25">
      <c r="C56" s="4"/>
      <c r="D56" s="3"/>
      <c r="E56" s="3"/>
      <c r="F56" s="3"/>
      <c r="G56" s="4"/>
      <c r="H56" s="4"/>
      <c r="I56" s="4"/>
      <c r="K56" s="164" t="s">
        <v>138</v>
      </c>
      <c r="L56" s="16">
        <f>(P49+V49)/R53</f>
        <v>6.2870681055155861</v>
      </c>
      <c r="M56" s="4"/>
      <c r="N56" s="4"/>
      <c r="O56" s="4"/>
      <c r="P56" s="4"/>
      <c r="U56" s="4"/>
      <c r="V56" s="4"/>
    </row>
    <row r="57" spans="1:22" x14ac:dyDescent="0.25">
      <c r="C57" s="6"/>
      <c r="D57"/>
      <c r="E57" s="3"/>
      <c r="F57" s="3"/>
      <c r="G57" s="4"/>
      <c r="H57" s="4"/>
      <c r="I57" s="4"/>
      <c r="K57" s="4"/>
      <c r="M57" s="4"/>
      <c r="P57" s="4"/>
      <c r="Q57" s="4"/>
      <c r="R57" s="4"/>
      <c r="S57" s="4"/>
      <c r="T57" s="4"/>
      <c r="U57" s="4"/>
      <c r="V57" s="4"/>
    </row>
    <row r="58" spans="1:22" x14ac:dyDescent="0.25">
      <c r="C58" s="6"/>
      <c r="D58"/>
      <c r="E58" s="3"/>
      <c r="F58" s="3"/>
      <c r="G58" s="4"/>
      <c r="H58" s="4"/>
      <c r="I58" s="4"/>
      <c r="M58" s="4"/>
      <c r="N58" s="4"/>
      <c r="O58" s="4"/>
      <c r="P58" s="4"/>
      <c r="Q58" s="4"/>
      <c r="R58" s="4"/>
      <c r="S58" s="4"/>
      <c r="T58" s="4"/>
      <c r="U58" s="4"/>
      <c r="V58" s="4"/>
    </row>
    <row r="59" spans="1:22" s="29" customFormat="1" ht="14.25" customHeight="1" x14ac:dyDescent="0.25">
      <c r="A59" s="28" t="s">
        <v>105</v>
      </c>
      <c r="D59" s="30"/>
      <c r="E59" s="30"/>
      <c r="F59" s="30"/>
    </row>
    <row r="60" spans="1:22" x14ac:dyDescent="0.25">
      <c r="B60" s="4"/>
      <c r="C60" s="6" t="s">
        <v>26</v>
      </c>
      <c r="D60" s="73"/>
      <c r="E60" s="73"/>
      <c r="F60" s="73"/>
    </row>
    <row r="61" spans="1:22" ht="34.5" x14ac:dyDescent="0.25">
      <c r="C61" s="17" t="s">
        <v>14</v>
      </c>
      <c r="D61" s="20" t="s">
        <v>21</v>
      </c>
      <c r="E61" s="20" t="s">
        <v>28</v>
      </c>
      <c r="F61" s="17" t="s">
        <v>13</v>
      </c>
      <c r="G61" s="17" t="s">
        <v>15</v>
      </c>
      <c r="H61" s="18" t="s">
        <v>1</v>
      </c>
      <c r="I61" s="19" t="s">
        <v>25</v>
      </c>
      <c r="J61" s="17" t="s">
        <v>2</v>
      </c>
      <c r="K61" s="20" t="s">
        <v>28</v>
      </c>
      <c r="L61" s="20" t="s">
        <v>22</v>
      </c>
      <c r="M61" s="19" t="s">
        <v>8</v>
      </c>
      <c r="N61" s="19" t="s">
        <v>16</v>
      </c>
      <c r="O61" s="19" t="s">
        <v>17</v>
      </c>
      <c r="P61" s="19" t="s">
        <v>18</v>
      </c>
      <c r="Q61" s="20" t="s">
        <v>10</v>
      </c>
      <c r="R61" s="20" t="s">
        <v>23</v>
      </c>
      <c r="S61" s="19" t="s">
        <v>9</v>
      </c>
      <c r="T61" s="19" t="s">
        <v>19</v>
      </c>
      <c r="U61" s="19" t="s">
        <v>20</v>
      </c>
      <c r="V61" s="19" t="s">
        <v>24</v>
      </c>
    </row>
    <row r="62" spans="1:22" x14ac:dyDescent="0.25">
      <c r="A62" s="62" t="s">
        <v>198</v>
      </c>
      <c r="C62" s="68" t="s">
        <v>119</v>
      </c>
      <c r="D62" s="8">
        <v>22000</v>
      </c>
      <c r="E62" s="8">
        <v>276.26</v>
      </c>
      <c r="F62" s="8">
        <v>1</v>
      </c>
      <c r="G62" s="11">
        <f>D62/E62</f>
        <v>79.635126330268591</v>
      </c>
      <c r="H62" s="7"/>
      <c r="I62" s="7"/>
      <c r="J62" s="8" t="s">
        <v>52</v>
      </c>
      <c r="K62" s="8">
        <v>79.099999999999994</v>
      </c>
      <c r="L62" s="46">
        <f>K62*270</f>
        <v>21357</v>
      </c>
      <c r="M62" s="42" t="s">
        <v>40</v>
      </c>
      <c r="N62" s="45">
        <f>N47/N49*199000</f>
        <v>41856.088560885612</v>
      </c>
      <c r="O62" s="1">
        <v>0.89500000000000002</v>
      </c>
      <c r="P62" s="11">
        <f>N62*O62</f>
        <v>37461.199261992624</v>
      </c>
      <c r="Q62" s="8"/>
      <c r="R62" s="8"/>
      <c r="S62" s="7"/>
      <c r="T62" s="7"/>
      <c r="U62" s="7"/>
      <c r="V62" s="11">
        <f>T62*U62</f>
        <v>0</v>
      </c>
    </row>
    <row r="63" spans="1:22" x14ac:dyDescent="0.25">
      <c r="C63" s="69" t="s">
        <v>115</v>
      </c>
      <c r="D63" s="8">
        <v>20000</v>
      </c>
      <c r="E63" s="8">
        <v>228.25</v>
      </c>
      <c r="F63" s="8">
        <f>G63/G62</f>
        <v>1.1003086727073583</v>
      </c>
      <c r="G63" s="11">
        <f>D63/E63</f>
        <v>87.62322015334064</v>
      </c>
      <c r="H63" s="1"/>
      <c r="I63" s="1"/>
      <c r="J63" s="25" t="s">
        <v>91</v>
      </c>
      <c r="K63" s="26">
        <v>318.18</v>
      </c>
      <c r="L63" s="46">
        <f>159*K63</f>
        <v>50590.62</v>
      </c>
      <c r="M63" s="42" t="s">
        <v>89</v>
      </c>
      <c r="N63" s="45">
        <f>N48/N49*199000</f>
        <v>157143.9114391144</v>
      </c>
      <c r="O63" s="1">
        <v>0.78600000000000003</v>
      </c>
      <c r="P63" s="11">
        <f>N63*O63</f>
        <v>123515.11439114391</v>
      </c>
      <c r="Q63" s="8"/>
      <c r="R63" s="8"/>
      <c r="S63" s="7"/>
      <c r="T63" s="7"/>
      <c r="U63" s="7"/>
      <c r="V63" s="11">
        <f t="shared" ref="V63" si="3">T63*U63</f>
        <v>0</v>
      </c>
    </row>
    <row r="64" spans="1:22" x14ac:dyDescent="0.25">
      <c r="C64" s="10" t="s">
        <v>4</v>
      </c>
      <c r="D64" s="11">
        <f>SUM(D62:D63)</f>
        <v>42000</v>
      </c>
      <c r="E64" s="11">
        <f>SUM(E62:E63)</f>
        <v>504.51</v>
      </c>
      <c r="F64" s="43"/>
      <c r="G64" s="165">
        <f>SUM(G62:G63)</f>
        <v>167.25834648360922</v>
      </c>
      <c r="I64" s="23">
        <f>SUM(I62:I63)</f>
        <v>0</v>
      </c>
      <c r="L64" s="47">
        <f>SUM(L62:L63)</f>
        <v>71947.62</v>
      </c>
      <c r="N64" s="89">
        <f>SUM(N62:N63)</f>
        <v>199000</v>
      </c>
      <c r="P64" s="23">
        <f>SUM(P62:P63)</f>
        <v>160976.31365313655</v>
      </c>
      <c r="R64" s="23">
        <f>SUM(R62:R63)</f>
        <v>0</v>
      </c>
      <c r="V64" s="23">
        <f>SUM(V62:V63)</f>
        <v>0</v>
      </c>
    </row>
    <row r="65" spans="1:22" x14ac:dyDescent="0.25">
      <c r="C65" s="4"/>
      <c r="D65" s="3"/>
      <c r="E65" s="3"/>
      <c r="F65" s="3"/>
      <c r="G65" s="4"/>
      <c r="H65" s="4"/>
      <c r="I65" s="4"/>
      <c r="M65" s="49"/>
      <c r="N65" s="4"/>
      <c r="O65" s="4"/>
      <c r="P65" s="4"/>
      <c r="Q65" s="4"/>
      <c r="R65" s="4"/>
      <c r="S65" s="4"/>
      <c r="T65" s="4"/>
      <c r="U65" s="4"/>
      <c r="V65" s="4"/>
    </row>
    <row r="66" spans="1:22" x14ac:dyDescent="0.25">
      <c r="C66" s="4"/>
      <c r="D66" s="3"/>
      <c r="E66" s="3"/>
      <c r="F66" s="3"/>
      <c r="G66" s="4"/>
      <c r="H66" s="4"/>
      <c r="K66" s="162" t="s">
        <v>133</v>
      </c>
      <c r="L66" s="12">
        <f>(T68/G62)*100</f>
        <v>90.000000000000014</v>
      </c>
      <c r="M66" s="49"/>
      <c r="O66" s="4"/>
      <c r="P66" s="4"/>
      <c r="Q66" s="4"/>
      <c r="R66" s="4"/>
      <c r="S66" s="4"/>
    </row>
    <row r="67" spans="1:22" x14ac:dyDescent="0.25">
      <c r="C67" s="4"/>
      <c r="D67" s="3"/>
      <c r="E67" s="3"/>
      <c r="F67" s="3"/>
      <c r="G67" s="4"/>
      <c r="H67" s="4"/>
      <c r="K67" s="159" t="s">
        <v>134</v>
      </c>
      <c r="L67" s="13">
        <f>(S68/(E64)*100)</f>
        <v>96.430199599611512</v>
      </c>
      <c r="M67" s="49"/>
      <c r="R67" s="5" t="s">
        <v>11</v>
      </c>
      <c r="S67" s="5" t="s">
        <v>12</v>
      </c>
      <c r="T67" s="5" t="s">
        <v>0</v>
      </c>
    </row>
    <row r="68" spans="1:22" x14ac:dyDescent="0.25">
      <c r="C68" s="4"/>
      <c r="D68" s="3"/>
      <c r="E68" s="3"/>
      <c r="F68" s="3"/>
      <c r="G68" s="4"/>
      <c r="H68" s="4"/>
      <c r="K68" s="162" t="s">
        <v>135</v>
      </c>
      <c r="L68" s="12">
        <f>(R68/D64)*100</f>
        <v>83.019619199305012</v>
      </c>
      <c r="P68" s="4"/>
      <c r="Q68" s="5" t="s">
        <v>3</v>
      </c>
      <c r="R68" s="9">
        <f>T68*S68</f>
        <v>34868.240063708108</v>
      </c>
      <c r="S68" s="9">
        <v>486.5</v>
      </c>
      <c r="T68" s="22">
        <f>G62*0.9</f>
        <v>71.671613697241739</v>
      </c>
    </row>
    <row r="69" spans="1:22" ht="17.25" x14ac:dyDescent="0.25">
      <c r="C69" s="4"/>
      <c r="D69" s="3"/>
      <c r="E69" s="3"/>
      <c r="F69" s="3"/>
      <c r="G69" s="4"/>
      <c r="H69" s="4"/>
      <c r="K69" s="159" t="s">
        <v>136</v>
      </c>
      <c r="L69" s="13">
        <f>(D64+I64+L64+P64+R64+V64)/R68</f>
        <v>7.8846518536874903</v>
      </c>
      <c r="O69" s="59"/>
      <c r="P69" s="4"/>
      <c r="S69" s="73"/>
      <c r="T69" s="3"/>
    </row>
    <row r="70" spans="1:22" ht="17.25" x14ac:dyDescent="0.25">
      <c r="C70" s="4"/>
      <c r="D70" s="3"/>
      <c r="E70" s="3"/>
      <c r="F70" s="3"/>
      <c r="G70" s="4"/>
      <c r="H70" s="4"/>
      <c r="I70" s="4"/>
      <c r="K70" s="163" t="s">
        <v>137</v>
      </c>
      <c r="L70" s="15">
        <f>(D64+I64+L64)/R68</f>
        <v>3.2679487060948635</v>
      </c>
      <c r="N70" s="163" t="s">
        <v>139</v>
      </c>
      <c r="O70" s="93">
        <f>G62/N64*1000</f>
        <v>0.4001765142224552</v>
      </c>
      <c r="P70" s="4"/>
      <c r="S70" s="4"/>
    </row>
    <row r="71" spans="1:22" ht="17.25" x14ac:dyDescent="0.25">
      <c r="C71" s="4"/>
      <c r="D71" s="3"/>
      <c r="E71" s="3"/>
      <c r="F71" s="3"/>
      <c r="G71" s="4"/>
      <c r="H71" s="4"/>
      <c r="I71" s="4"/>
      <c r="K71" s="164" t="s">
        <v>138</v>
      </c>
      <c r="L71" s="16">
        <f>(P64+V64)/R68</f>
        <v>4.6167031475926263</v>
      </c>
      <c r="M71" s="4"/>
      <c r="N71" s="4"/>
      <c r="O71" s="4"/>
      <c r="P71" s="4"/>
      <c r="U71" s="4"/>
      <c r="V71" s="4"/>
    </row>
    <row r="72" spans="1:22" x14ac:dyDescent="0.25">
      <c r="C72" s="6"/>
      <c r="D72"/>
      <c r="E72" s="3"/>
      <c r="F72" s="3"/>
      <c r="G72" s="4"/>
      <c r="H72" s="4"/>
      <c r="I72" s="4"/>
      <c r="K72" s="4"/>
      <c r="M72" s="4"/>
      <c r="P72" s="4"/>
      <c r="Q72" s="4"/>
      <c r="R72" s="4"/>
      <c r="S72" s="4"/>
      <c r="T72" s="4"/>
      <c r="U72" s="4"/>
      <c r="V72" s="4"/>
    </row>
    <row r="73" spans="1:22" x14ac:dyDescent="0.25">
      <c r="C73" s="6"/>
      <c r="D73"/>
      <c r="E73" s="3"/>
      <c r="F73" s="3"/>
      <c r="G73" s="4"/>
      <c r="H73" s="4"/>
      <c r="I73" s="4"/>
      <c r="M73" s="4"/>
      <c r="N73" s="4"/>
      <c r="O73" s="4"/>
      <c r="P73" s="4"/>
      <c r="Q73" s="4"/>
      <c r="R73" s="4"/>
      <c r="S73" s="4"/>
      <c r="T73" s="4"/>
      <c r="U73" s="4"/>
      <c r="V73" s="4"/>
    </row>
    <row r="74" spans="1:22" s="29" customFormat="1" x14ac:dyDescent="0.25">
      <c r="A74" s="28" t="s">
        <v>106</v>
      </c>
      <c r="D74" s="30"/>
      <c r="E74" s="30"/>
      <c r="F74" s="30"/>
    </row>
    <row r="75" spans="1:22" x14ac:dyDescent="0.25">
      <c r="B75" s="4"/>
      <c r="C75" s="6" t="s">
        <v>26</v>
      </c>
      <c r="D75" s="81"/>
      <c r="E75" s="81"/>
      <c r="F75" s="81"/>
    </row>
    <row r="76" spans="1:22" ht="34.5" x14ac:dyDescent="0.25">
      <c r="C76" s="17" t="s">
        <v>14</v>
      </c>
      <c r="D76" s="20" t="s">
        <v>21</v>
      </c>
      <c r="E76" s="20" t="s">
        <v>28</v>
      </c>
      <c r="F76" s="17" t="s">
        <v>13</v>
      </c>
      <c r="G76" s="17" t="s">
        <v>15</v>
      </c>
      <c r="H76" s="18" t="s">
        <v>1</v>
      </c>
      <c r="I76" s="19" t="s">
        <v>25</v>
      </c>
      <c r="J76" s="17" t="s">
        <v>2</v>
      </c>
      <c r="K76" s="20" t="s">
        <v>28</v>
      </c>
      <c r="L76" s="20" t="s">
        <v>22</v>
      </c>
      <c r="M76" s="19" t="s">
        <v>8</v>
      </c>
      <c r="N76" s="19" t="s">
        <v>16</v>
      </c>
      <c r="O76" s="19" t="s">
        <v>17</v>
      </c>
      <c r="P76" s="19" t="s">
        <v>18</v>
      </c>
      <c r="Q76" s="20" t="s">
        <v>10</v>
      </c>
      <c r="R76" s="20" t="s">
        <v>23</v>
      </c>
      <c r="S76" s="19" t="s">
        <v>9</v>
      </c>
      <c r="T76" s="19" t="s">
        <v>19</v>
      </c>
      <c r="U76" s="19" t="s">
        <v>20</v>
      </c>
      <c r="V76" s="19" t="s">
        <v>24</v>
      </c>
    </row>
    <row r="77" spans="1:22" x14ac:dyDescent="0.25">
      <c r="A77" s="62" t="s">
        <v>198</v>
      </c>
      <c r="C77" s="68" t="s">
        <v>119</v>
      </c>
      <c r="D77" s="8">
        <v>22000</v>
      </c>
      <c r="E77" s="8">
        <v>276.26</v>
      </c>
      <c r="F77" s="8">
        <v>1</v>
      </c>
      <c r="G77" s="11">
        <f>D77/E77</f>
        <v>79.635126330268591</v>
      </c>
      <c r="H77" s="7"/>
      <c r="I77" s="7"/>
      <c r="J77" s="8" t="s">
        <v>52</v>
      </c>
      <c r="K77" s="8">
        <v>79.099999999999994</v>
      </c>
      <c r="L77" s="46">
        <f>K77*270</f>
        <v>21357</v>
      </c>
      <c r="M77" s="42" t="s">
        <v>40</v>
      </c>
      <c r="N77" s="45">
        <f>N62/N64*199000</f>
        <v>41856.088560885612</v>
      </c>
      <c r="O77" s="1">
        <v>0.89500000000000002</v>
      </c>
      <c r="P77" s="11">
        <f>N77*O77</f>
        <v>37461.199261992624</v>
      </c>
      <c r="Q77" s="8"/>
      <c r="R77" s="8"/>
      <c r="S77" s="7"/>
      <c r="T77" s="7"/>
      <c r="U77" s="7"/>
      <c r="V77" s="11">
        <f>T77*U77</f>
        <v>0</v>
      </c>
    </row>
    <row r="78" spans="1:22" x14ac:dyDescent="0.25">
      <c r="C78" s="69" t="s">
        <v>115</v>
      </c>
      <c r="D78" s="8">
        <v>20000</v>
      </c>
      <c r="E78" s="8">
        <v>228.25</v>
      </c>
      <c r="F78" s="8">
        <f>G78/G77</f>
        <v>1.1003086727073583</v>
      </c>
      <c r="G78" s="11">
        <f>D78/E78</f>
        <v>87.62322015334064</v>
      </c>
      <c r="H78" s="1"/>
      <c r="I78" s="1"/>
      <c r="J78" s="25" t="s">
        <v>91</v>
      </c>
      <c r="K78" s="26">
        <v>318.18</v>
      </c>
      <c r="L78" s="46">
        <f>159*K78</f>
        <v>50590.62</v>
      </c>
      <c r="M78" s="42" t="s">
        <v>89</v>
      </c>
      <c r="N78" s="45">
        <f>N63/N64*199000</f>
        <v>157143.9114391144</v>
      </c>
      <c r="O78" s="1">
        <v>0.78600000000000003</v>
      </c>
      <c r="P78" s="11">
        <f>N78*O78</f>
        <v>123515.11439114391</v>
      </c>
      <c r="Q78" s="8"/>
      <c r="R78" s="8"/>
      <c r="S78" s="7"/>
      <c r="T78" s="7"/>
      <c r="U78" s="7"/>
      <c r="V78" s="11">
        <f t="shared" ref="V78" si="4">T78*U78</f>
        <v>0</v>
      </c>
    </row>
    <row r="79" spans="1:22" x14ac:dyDescent="0.25">
      <c r="C79" s="10" t="s">
        <v>4</v>
      </c>
      <c r="D79" s="11">
        <f>SUM(D77:D78)</f>
        <v>42000</v>
      </c>
      <c r="E79" s="11">
        <f>SUM(E77:E78)</f>
        <v>504.51</v>
      </c>
      <c r="F79" s="43"/>
      <c r="G79" s="165">
        <f>SUM(G77:G78)</f>
        <v>167.25834648360922</v>
      </c>
      <c r="I79" s="23">
        <f>SUM(I77:I78)</f>
        <v>0</v>
      </c>
      <c r="L79" s="47">
        <f>SUM(L77:L78)</f>
        <v>71947.62</v>
      </c>
      <c r="N79" s="89">
        <f>SUM(N77:N78)</f>
        <v>199000</v>
      </c>
      <c r="P79" s="23">
        <f>SUM(P77:P78)</f>
        <v>160976.31365313655</v>
      </c>
      <c r="R79" s="23">
        <f>SUM(R77:R78)</f>
        <v>0</v>
      </c>
      <c r="V79" s="23">
        <f>SUM(V77:V78)</f>
        <v>0</v>
      </c>
    </row>
    <row r="80" spans="1:22" x14ac:dyDescent="0.25">
      <c r="C80" s="4"/>
      <c r="D80" s="3"/>
      <c r="E80" s="3"/>
      <c r="F80" s="3"/>
      <c r="G80" s="4"/>
      <c r="H80" s="4"/>
      <c r="I80" s="4"/>
      <c r="M80" s="49"/>
      <c r="N80" s="4"/>
      <c r="O80" s="4"/>
      <c r="P80" s="4"/>
      <c r="Q80" s="4"/>
      <c r="R80" s="4"/>
      <c r="S80" s="4"/>
      <c r="T80" s="4"/>
      <c r="U80" s="4"/>
      <c r="V80" s="4"/>
    </row>
    <row r="81" spans="1:22" x14ac:dyDescent="0.25">
      <c r="C81" s="4"/>
      <c r="D81" s="3"/>
      <c r="E81" s="3"/>
      <c r="F81" s="3"/>
      <c r="G81" s="4"/>
      <c r="H81" s="4"/>
      <c r="K81" s="162" t="s">
        <v>133</v>
      </c>
      <c r="L81" s="12">
        <f>(T83/G77)*100</f>
        <v>50</v>
      </c>
      <c r="M81" s="49"/>
      <c r="O81" s="4"/>
      <c r="P81" s="4"/>
      <c r="Q81" s="4"/>
      <c r="R81" s="4"/>
      <c r="S81" s="4"/>
    </row>
    <row r="82" spans="1:22" x14ac:dyDescent="0.25">
      <c r="C82" s="4"/>
      <c r="D82" s="3"/>
      <c r="E82" s="3"/>
      <c r="F82" s="3"/>
      <c r="G82" s="4"/>
      <c r="H82" s="4"/>
      <c r="K82" s="159" t="s">
        <v>134</v>
      </c>
      <c r="L82" s="13">
        <f>(S83/(E79)*100)</f>
        <v>96.430199599611512</v>
      </c>
      <c r="M82" s="49"/>
      <c r="R82" s="5" t="s">
        <v>11</v>
      </c>
      <c r="S82" s="5" t="s">
        <v>12</v>
      </c>
      <c r="T82" s="5" t="s">
        <v>0</v>
      </c>
    </row>
    <row r="83" spans="1:22" x14ac:dyDescent="0.25">
      <c r="C83" s="4"/>
      <c r="D83" s="3"/>
      <c r="E83" s="3"/>
      <c r="F83" s="3"/>
      <c r="G83" s="4"/>
      <c r="H83" s="4"/>
      <c r="K83" s="162" t="s">
        <v>135</v>
      </c>
      <c r="L83" s="12">
        <f>(R83/D79)*100</f>
        <v>46.122010666280559</v>
      </c>
      <c r="P83" s="4"/>
      <c r="Q83" s="5" t="s">
        <v>3</v>
      </c>
      <c r="R83" s="9">
        <f>T83*S83</f>
        <v>19371.244479837835</v>
      </c>
      <c r="S83" s="9">
        <v>486.5</v>
      </c>
      <c r="T83" s="22">
        <f>G77*0.5</f>
        <v>39.817563165134295</v>
      </c>
    </row>
    <row r="84" spans="1:22" ht="17.25" x14ac:dyDescent="0.25">
      <c r="C84" s="4"/>
      <c r="D84" s="3"/>
      <c r="E84" s="3"/>
      <c r="F84" s="3"/>
      <c r="G84" s="4"/>
      <c r="H84" s="4"/>
      <c r="K84" s="159" t="s">
        <v>136</v>
      </c>
      <c r="L84" s="13">
        <f>(D79+I79+L79+P79+R79+V79)/R83</f>
        <v>14.192373336637484</v>
      </c>
      <c r="O84" s="4"/>
      <c r="P84" s="4"/>
      <c r="S84" s="81"/>
      <c r="T84" s="3"/>
    </row>
    <row r="85" spans="1:22" ht="17.25" x14ac:dyDescent="0.25">
      <c r="C85" s="4"/>
      <c r="D85" s="3"/>
      <c r="E85" s="3"/>
      <c r="F85" s="3"/>
      <c r="G85" s="4"/>
      <c r="H85" s="4"/>
      <c r="I85" s="4"/>
      <c r="K85" s="163" t="s">
        <v>137</v>
      </c>
      <c r="L85" s="15">
        <f>(D79+I79+L79)/R83</f>
        <v>5.8823076709707554</v>
      </c>
      <c r="N85" s="163" t="s">
        <v>139</v>
      </c>
      <c r="O85" s="93">
        <f>G77/N79*1000</f>
        <v>0.4001765142224552</v>
      </c>
      <c r="P85" s="4"/>
      <c r="S85" s="4"/>
    </row>
    <row r="86" spans="1:22" ht="17.25" x14ac:dyDescent="0.25">
      <c r="C86" s="4"/>
      <c r="D86" s="3"/>
      <c r="E86" s="3"/>
      <c r="F86" s="3"/>
      <c r="G86" s="4"/>
      <c r="H86" s="4"/>
      <c r="I86" s="4"/>
      <c r="K86" s="164" t="s">
        <v>138</v>
      </c>
      <c r="L86" s="16">
        <f>(P79+V79)/R83</f>
        <v>8.3100656656667287</v>
      </c>
      <c r="M86" s="4"/>
      <c r="N86" s="4"/>
      <c r="O86" s="4"/>
      <c r="P86" s="4"/>
      <c r="U86" s="4"/>
      <c r="V86" s="4"/>
    </row>
    <row r="87" spans="1:22" x14ac:dyDescent="0.25">
      <c r="C87" s="6"/>
      <c r="D87"/>
      <c r="E87" s="3"/>
      <c r="F87" s="3"/>
      <c r="G87" s="4"/>
      <c r="H87" s="4"/>
      <c r="I87" s="4"/>
      <c r="K87" s="4"/>
      <c r="M87" s="4"/>
      <c r="P87" s="4"/>
      <c r="Q87" s="4"/>
      <c r="R87" s="4"/>
      <c r="S87" s="4"/>
      <c r="T87" s="4"/>
      <c r="U87" s="4"/>
      <c r="V87" s="4"/>
    </row>
    <row r="88" spans="1:22" s="168" customFormat="1" x14ac:dyDescent="0.25">
      <c r="A88" s="167" t="s">
        <v>140</v>
      </c>
      <c r="C88" s="169"/>
      <c r="D88" s="169"/>
      <c r="E88" s="169"/>
    </row>
    <row r="89" spans="1:22" x14ac:dyDescent="0.25">
      <c r="D89" s="78"/>
      <c r="E89" s="78"/>
      <c r="F89" s="78"/>
      <c r="G89" s="35"/>
      <c r="H89" s="35"/>
      <c r="I89" s="35"/>
      <c r="J89" s="35"/>
      <c r="K89" s="35"/>
    </row>
    <row r="90" spans="1:22" x14ac:dyDescent="0.25">
      <c r="D90" s="131" t="s">
        <v>125</v>
      </c>
      <c r="E90" s="78"/>
      <c r="F90" s="78"/>
      <c r="G90" s="35"/>
      <c r="H90" s="35"/>
      <c r="I90" s="35"/>
      <c r="J90" s="35"/>
      <c r="K90" s="35"/>
    </row>
    <row r="91" spans="1:22" ht="15.95" customHeight="1" x14ac:dyDescent="0.25">
      <c r="D91" s="112" t="s">
        <v>29</v>
      </c>
      <c r="E91" s="112" t="s">
        <v>30</v>
      </c>
      <c r="F91" s="111" t="s">
        <v>6</v>
      </c>
      <c r="G91" s="112" t="s">
        <v>7</v>
      </c>
      <c r="H91" s="112" t="s">
        <v>32</v>
      </c>
      <c r="I91" s="112" t="s">
        <v>34</v>
      </c>
      <c r="J91" s="112" t="s">
        <v>35</v>
      </c>
      <c r="K91" s="112" t="s">
        <v>5</v>
      </c>
      <c r="L91" s="54"/>
      <c r="M91" s="54"/>
      <c r="N91" s="54"/>
      <c r="O91" s="54"/>
      <c r="P91" s="54"/>
      <c r="Q91" s="54"/>
      <c r="R91" s="54"/>
      <c r="S91" s="54"/>
      <c r="T91" s="54"/>
      <c r="U91" s="54"/>
    </row>
    <row r="92" spans="1:22" x14ac:dyDescent="0.25">
      <c r="D92" s="114"/>
      <c r="E92" s="114"/>
      <c r="F92" s="113" t="s">
        <v>31</v>
      </c>
      <c r="G92" s="114" t="s">
        <v>31</v>
      </c>
      <c r="H92" s="114" t="s">
        <v>33</v>
      </c>
      <c r="I92" s="114" t="s">
        <v>33</v>
      </c>
      <c r="J92" s="114" t="s">
        <v>33</v>
      </c>
      <c r="K92" s="114" t="s">
        <v>31</v>
      </c>
      <c r="L92" s="54"/>
      <c r="M92" s="54"/>
      <c r="N92" s="54"/>
      <c r="O92" s="54"/>
      <c r="P92" s="54"/>
      <c r="Q92" s="54"/>
      <c r="R92" s="54"/>
      <c r="S92" s="54"/>
      <c r="T92" s="54"/>
      <c r="U92" s="54"/>
    </row>
    <row r="93" spans="1:22" ht="18" customHeight="1" x14ac:dyDescent="0.25">
      <c r="D93" s="127" t="str">
        <f>A1</f>
        <v xml:space="preserve">Literature data reported </v>
      </c>
      <c r="E93" s="127"/>
      <c r="F93" s="127"/>
      <c r="G93" s="127"/>
      <c r="H93" s="127"/>
      <c r="I93" s="127"/>
      <c r="J93" s="127"/>
      <c r="K93" s="128"/>
      <c r="L93" s="54"/>
      <c r="M93" s="54"/>
      <c r="N93" s="62" t="s">
        <v>198</v>
      </c>
      <c r="O93" s="197" t="s">
        <v>90</v>
      </c>
      <c r="P93" s="197"/>
      <c r="Q93" s="197"/>
      <c r="R93" s="197"/>
      <c r="S93" s="54"/>
      <c r="T93" s="54"/>
      <c r="U93" s="54"/>
    </row>
    <row r="94" spans="1:22" ht="15" customHeight="1" x14ac:dyDescent="0.25">
      <c r="D94" s="90"/>
      <c r="E94" s="77" t="s">
        <v>199</v>
      </c>
      <c r="F94" s="91">
        <f>L21</f>
        <v>96.430199599611512</v>
      </c>
      <c r="G94" s="91">
        <f>L22</f>
        <v>81.142857142857139</v>
      </c>
      <c r="H94" s="92">
        <f>L23</f>
        <v>9.7760158450704218</v>
      </c>
      <c r="I94" s="92">
        <f>L24</f>
        <v>3.3435334507042254</v>
      </c>
      <c r="J94" s="92">
        <f>L25</f>
        <v>6.4324823943661968</v>
      </c>
      <c r="K94" s="60">
        <f>L20</f>
        <v>87.965437727739882</v>
      </c>
      <c r="L94" s="54"/>
      <c r="N94" s="192"/>
      <c r="O94" s="192"/>
      <c r="P94" s="192"/>
      <c r="Q94" s="192"/>
      <c r="R94" s="192"/>
      <c r="S94" s="192"/>
      <c r="T94" s="192"/>
      <c r="U94" s="192"/>
      <c r="V94" s="103"/>
    </row>
    <row r="95" spans="1:22" ht="15.95" customHeight="1" x14ac:dyDescent="0.25">
      <c r="D95" s="133" t="str">
        <f>A29</f>
        <v>Simulation A: [Acid] = 0.4 M, Literature data yield</v>
      </c>
      <c r="E95" s="133"/>
      <c r="F95" s="133"/>
      <c r="G95" s="133"/>
      <c r="H95" s="133"/>
      <c r="I95" s="133"/>
      <c r="J95" s="133"/>
      <c r="K95" s="129"/>
      <c r="L95" s="54"/>
      <c r="M95" s="52"/>
      <c r="N95" s="192"/>
      <c r="O95" s="192"/>
      <c r="P95" s="192"/>
      <c r="Q95" s="192"/>
      <c r="R95" s="192"/>
      <c r="S95" s="192"/>
      <c r="T95" s="192"/>
      <c r="U95" s="192"/>
      <c r="V95" s="103"/>
    </row>
    <row r="96" spans="1:22" ht="15" customHeight="1" x14ac:dyDescent="0.25">
      <c r="D96" s="108"/>
      <c r="E96" s="108" t="s">
        <v>198</v>
      </c>
      <c r="F96" s="79">
        <f>L37</f>
        <v>96.430199599611512</v>
      </c>
      <c r="G96" s="60">
        <f>L38</f>
        <v>81.142857142857139</v>
      </c>
      <c r="H96" s="37">
        <f>L39</f>
        <v>8.0670168325450859</v>
      </c>
      <c r="I96" s="37">
        <f>L40</f>
        <v>3.3435334507042254</v>
      </c>
      <c r="J96" s="37">
        <f>L41</f>
        <v>4.723483381840861</v>
      </c>
      <c r="K96" s="60">
        <f>L36</f>
        <v>87.965437727739882</v>
      </c>
      <c r="L96" s="54"/>
      <c r="M96" s="52"/>
      <c r="N96" s="192"/>
      <c r="O96" s="192"/>
      <c r="P96" s="192"/>
      <c r="Q96" s="192"/>
      <c r="R96" s="192"/>
      <c r="S96" s="192"/>
      <c r="T96" s="192"/>
      <c r="U96" s="192"/>
      <c r="V96" s="103"/>
    </row>
    <row r="97" spans="4:22" x14ac:dyDescent="0.25">
      <c r="D97" s="133" t="str">
        <f>A44</f>
        <v>Simulation B: [Acid] = Literature data, 90% Yield</v>
      </c>
      <c r="E97" s="133"/>
      <c r="F97" s="133"/>
      <c r="G97" s="133"/>
      <c r="H97" s="133"/>
      <c r="I97" s="133"/>
      <c r="J97" s="133"/>
      <c r="K97" s="129"/>
      <c r="L97" s="54"/>
      <c r="M97" s="54"/>
      <c r="N97" s="192"/>
      <c r="O97" s="192"/>
      <c r="P97" s="192"/>
      <c r="Q97" s="192"/>
      <c r="R97" s="192"/>
      <c r="S97" s="192"/>
      <c r="T97" s="192"/>
      <c r="U97" s="192"/>
      <c r="V97" s="103"/>
    </row>
    <row r="98" spans="4:22" x14ac:dyDescent="0.25">
      <c r="D98" s="108"/>
      <c r="E98" s="108" t="s">
        <v>198</v>
      </c>
      <c r="F98" s="79">
        <f>L52</f>
        <v>96.430199599611512</v>
      </c>
      <c r="G98" s="60">
        <f>L53</f>
        <v>83.019619199305012</v>
      </c>
      <c r="H98" s="37">
        <f>L54</f>
        <v>9.5550168116104501</v>
      </c>
      <c r="I98" s="37">
        <f>L55</f>
        <v>3.2679487060948635</v>
      </c>
      <c r="J98" s="37">
        <f>L56</f>
        <v>6.2870681055155861</v>
      </c>
      <c r="K98" s="60">
        <f>L51</f>
        <v>90.000000000000014</v>
      </c>
      <c r="L98" s="54"/>
      <c r="M98" s="54"/>
      <c r="N98" s="192"/>
      <c r="O98" s="192"/>
      <c r="P98" s="192"/>
      <c r="Q98" s="192"/>
      <c r="R98" s="192"/>
      <c r="S98" s="192"/>
      <c r="T98" s="192"/>
      <c r="U98" s="192"/>
      <c r="V98" s="103"/>
    </row>
    <row r="99" spans="4:22" ht="15" customHeight="1" x14ac:dyDescent="0.25">
      <c r="D99" s="133" t="str">
        <f>A59</f>
        <v>Simulation C: [Acid] = 0.4 M, 90% Yield</v>
      </c>
      <c r="E99" s="133"/>
      <c r="F99" s="133"/>
      <c r="G99" s="133"/>
      <c r="H99" s="133"/>
      <c r="I99" s="133"/>
      <c r="J99" s="133"/>
      <c r="K99" s="129"/>
      <c r="L99" s="54"/>
      <c r="M99" s="54"/>
      <c r="N99" s="192"/>
      <c r="O99" s="192"/>
      <c r="P99" s="192"/>
      <c r="Q99" s="192"/>
      <c r="R99" s="192"/>
      <c r="S99" s="192"/>
      <c r="T99" s="192"/>
      <c r="U99" s="192"/>
      <c r="V99" s="103"/>
    </row>
    <row r="100" spans="4:22" x14ac:dyDescent="0.25">
      <c r="D100" s="108"/>
      <c r="E100" s="108" t="s">
        <v>198</v>
      </c>
      <c r="F100" s="79">
        <f>L67</f>
        <v>96.430199599611512</v>
      </c>
      <c r="G100" s="60">
        <f>L68</f>
        <v>83.019619199305012</v>
      </c>
      <c r="H100" s="37">
        <f>L69</f>
        <v>7.8846518536874903</v>
      </c>
      <c r="I100" s="37">
        <f>L70</f>
        <v>3.2679487060948635</v>
      </c>
      <c r="J100" s="37">
        <f>L71</f>
        <v>4.6167031475926263</v>
      </c>
      <c r="K100" s="60">
        <f>L66</f>
        <v>90.000000000000014</v>
      </c>
      <c r="L100" s="54"/>
      <c r="M100" s="54"/>
      <c r="N100" s="192"/>
      <c r="O100" s="192"/>
      <c r="P100" s="192"/>
      <c r="Q100" s="192"/>
      <c r="R100" s="192"/>
      <c r="S100" s="192"/>
      <c r="T100" s="192"/>
      <c r="U100" s="192"/>
      <c r="V100" s="103"/>
    </row>
    <row r="101" spans="4:22" x14ac:dyDescent="0.25">
      <c r="D101" s="133" t="str">
        <f>A74</f>
        <v>Simulation D: [Acid] = 0.4 M, 50% Yield</v>
      </c>
      <c r="E101" s="133"/>
      <c r="F101" s="133"/>
      <c r="G101" s="133"/>
      <c r="H101" s="133"/>
      <c r="I101" s="133"/>
      <c r="J101" s="133"/>
      <c r="K101" s="129"/>
      <c r="L101" s="54"/>
      <c r="M101" s="54"/>
      <c r="N101" s="192"/>
      <c r="O101" s="192"/>
      <c r="P101" s="192"/>
      <c r="Q101" s="192"/>
      <c r="R101" s="192"/>
      <c r="S101" s="192"/>
      <c r="T101" s="192"/>
      <c r="U101" s="192"/>
      <c r="V101" s="103"/>
    </row>
    <row r="102" spans="4:22" ht="15" customHeight="1" x14ac:dyDescent="0.25">
      <c r="D102" s="108"/>
      <c r="E102" s="108" t="s">
        <v>198</v>
      </c>
      <c r="F102" s="79">
        <f>L82</f>
        <v>96.430199599611512</v>
      </c>
      <c r="G102" s="60">
        <f>L83</f>
        <v>46.122010666280559</v>
      </c>
      <c r="H102" s="37">
        <f>L84</f>
        <v>14.192373336637484</v>
      </c>
      <c r="I102" s="37">
        <f>L85</f>
        <v>5.8823076709707554</v>
      </c>
      <c r="J102" s="37">
        <f>L86</f>
        <v>8.3100656656667287</v>
      </c>
      <c r="K102" s="60">
        <f>L81</f>
        <v>50</v>
      </c>
      <c r="N102" s="192"/>
      <c r="O102" s="192"/>
      <c r="P102" s="192"/>
      <c r="Q102" s="192"/>
      <c r="R102" s="192"/>
      <c r="S102" s="192"/>
      <c r="T102" s="192"/>
      <c r="U102" s="192"/>
      <c r="V102" s="103"/>
    </row>
    <row r="103" spans="4:22" x14ac:dyDescent="0.25">
      <c r="D103" s="109"/>
      <c r="E103" s="109"/>
      <c r="F103" s="109"/>
      <c r="N103" s="192"/>
      <c r="O103" s="192"/>
      <c r="P103" s="192"/>
      <c r="Q103" s="192"/>
      <c r="R103" s="192"/>
      <c r="S103" s="192"/>
      <c r="T103" s="192"/>
      <c r="U103" s="192"/>
      <c r="V103" s="103"/>
    </row>
    <row r="104" spans="4:22" x14ac:dyDescent="0.25">
      <c r="D104" s="131"/>
      <c r="E104" s="78"/>
      <c r="F104" s="78"/>
      <c r="G104" s="35"/>
      <c r="H104" s="35"/>
      <c r="I104" s="35"/>
      <c r="J104" s="35"/>
      <c r="K104" s="35"/>
      <c r="N104" s="192"/>
      <c r="O104" s="192"/>
      <c r="P104" s="192"/>
      <c r="Q104" s="192"/>
      <c r="R104" s="192"/>
      <c r="S104" s="192"/>
      <c r="T104" s="192"/>
      <c r="U104" s="192"/>
    </row>
    <row r="105" spans="4:22" ht="15" customHeight="1" x14ac:dyDescent="0.25">
      <c r="D105" s="108"/>
      <c r="E105" s="108"/>
      <c r="F105" s="77"/>
      <c r="G105" s="108"/>
      <c r="H105" s="108"/>
      <c r="I105" s="108"/>
      <c r="J105" s="108"/>
      <c r="K105" s="108"/>
      <c r="N105" s="192"/>
      <c r="O105" s="192"/>
      <c r="P105" s="192"/>
      <c r="Q105" s="192"/>
      <c r="R105" s="192"/>
      <c r="S105" s="192"/>
      <c r="T105" s="192"/>
      <c r="U105" s="192"/>
    </row>
    <row r="106" spans="4:22" x14ac:dyDescent="0.25">
      <c r="D106" s="108"/>
      <c r="E106" s="108"/>
      <c r="F106" s="77"/>
      <c r="G106" s="108"/>
      <c r="H106" s="108"/>
      <c r="I106" s="108"/>
      <c r="J106" s="108"/>
      <c r="K106" s="108"/>
      <c r="N106" s="192"/>
      <c r="O106" s="192"/>
      <c r="P106" s="192"/>
      <c r="Q106" s="192"/>
      <c r="R106" s="192"/>
      <c r="S106" s="192"/>
      <c r="T106" s="192"/>
      <c r="U106" s="192"/>
    </row>
    <row r="107" spans="4:22" x14ac:dyDescent="0.25">
      <c r="D107" s="122"/>
      <c r="E107" s="122"/>
      <c r="F107" s="122"/>
      <c r="G107" s="122"/>
      <c r="H107" s="122"/>
      <c r="I107" s="122"/>
      <c r="J107" s="122"/>
      <c r="K107" s="108"/>
      <c r="N107" s="192"/>
      <c r="O107" s="192"/>
      <c r="P107" s="192"/>
      <c r="Q107" s="192"/>
      <c r="R107" s="192"/>
      <c r="S107" s="192"/>
      <c r="T107" s="192"/>
      <c r="U107" s="192"/>
      <c r="V107" s="54"/>
    </row>
    <row r="108" spans="4:22" x14ac:dyDescent="0.25">
      <c r="D108" s="196"/>
      <c r="E108" s="196"/>
      <c r="F108" s="196"/>
      <c r="G108" s="196"/>
      <c r="H108" s="196"/>
      <c r="I108" s="196"/>
      <c r="J108" s="196"/>
      <c r="K108" s="60"/>
      <c r="N108" s="54"/>
      <c r="O108" s="54"/>
      <c r="P108" s="54"/>
      <c r="Q108" s="54"/>
      <c r="R108" s="54"/>
      <c r="S108" s="54"/>
      <c r="T108" s="54"/>
      <c r="U108" s="54"/>
      <c r="V108" s="54"/>
    </row>
    <row r="109" spans="4:22" x14ac:dyDescent="0.25">
      <c r="D109" s="108"/>
      <c r="E109" s="108"/>
      <c r="F109" s="79"/>
      <c r="G109" s="60"/>
      <c r="H109" s="37"/>
      <c r="I109" s="37"/>
      <c r="J109" s="37"/>
      <c r="K109" s="60"/>
      <c r="N109" s="54"/>
      <c r="O109" s="54"/>
      <c r="P109" s="54"/>
      <c r="Q109" s="54"/>
      <c r="R109" s="54"/>
      <c r="S109" s="54"/>
      <c r="T109" s="54"/>
      <c r="U109" s="54"/>
      <c r="V109" s="54"/>
    </row>
    <row r="110" spans="4:22" x14ac:dyDescent="0.25">
      <c r="D110" s="80"/>
      <c r="E110" s="80"/>
      <c r="F110" s="79"/>
      <c r="G110" s="79"/>
      <c r="H110" s="85"/>
      <c r="I110" s="85"/>
      <c r="J110" s="85"/>
      <c r="K110" s="60"/>
      <c r="N110" s="54"/>
      <c r="O110" s="54"/>
      <c r="P110" s="54"/>
      <c r="Q110" s="54"/>
      <c r="R110" s="54"/>
      <c r="S110" s="54"/>
      <c r="T110" s="54"/>
      <c r="U110" s="54"/>
      <c r="V110" s="54"/>
    </row>
    <row r="111" spans="4:22" ht="15" customHeight="1" x14ac:dyDescent="0.25">
      <c r="D111" s="196"/>
      <c r="E111" s="196"/>
      <c r="F111" s="196"/>
      <c r="G111" s="196"/>
      <c r="H111" s="196"/>
      <c r="I111" s="196"/>
      <c r="J111" s="196"/>
      <c r="K111" s="71"/>
      <c r="N111" s="54"/>
      <c r="O111" s="54"/>
      <c r="P111" s="54"/>
      <c r="Q111" s="54"/>
      <c r="R111" s="54"/>
      <c r="S111" s="54"/>
      <c r="T111" s="54"/>
      <c r="U111" s="54"/>
      <c r="V111" s="54"/>
    </row>
    <row r="112" spans="4:22" x14ac:dyDescent="0.25">
      <c r="D112" s="80"/>
      <c r="E112" s="80"/>
      <c r="F112" s="79"/>
      <c r="G112" s="60"/>
      <c r="H112" s="37"/>
      <c r="I112" s="37"/>
      <c r="J112" s="37"/>
      <c r="K112" s="60"/>
      <c r="N112" s="54"/>
      <c r="O112" s="54"/>
      <c r="P112" s="54"/>
      <c r="Q112" s="54"/>
      <c r="R112" s="54"/>
      <c r="S112" s="54"/>
      <c r="T112" s="54"/>
      <c r="U112" s="54"/>
      <c r="V112" s="54"/>
    </row>
    <row r="113" spans="4:22" x14ac:dyDescent="0.25">
      <c r="D113" s="80"/>
      <c r="E113" s="80"/>
      <c r="F113" s="79"/>
      <c r="G113" s="79"/>
      <c r="H113" s="85"/>
      <c r="I113" s="85"/>
      <c r="J113" s="85"/>
      <c r="K113" s="60"/>
      <c r="N113" s="54"/>
      <c r="O113" s="54"/>
      <c r="P113" s="54"/>
      <c r="Q113" s="54"/>
      <c r="R113" s="54"/>
      <c r="S113" s="54"/>
      <c r="T113" s="54"/>
      <c r="U113" s="54"/>
      <c r="V113" s="54"/>
    </row>
    <row r="114" spans="4:22" x14ac:dyDescent="0.25">
      <c r="D114" s="80"/>
      <c r="E114" s="80"/>
      <c r="F114" s="79"/>
      <c r="G114" s="60"/>
      <c r="H114" s="37"/>
      <c r="I114" s="37"/>
      <c r="J114" s="37"/>
      <c r="K114" s="60"/>
      <c r="N114" s="54"/>
      <c r="O114" s="54"/>
      <c r="P114" s="54"/>
      <c r="Q114" s="54"/>
      <c r="R114" s="54"/>
      <c r="S114" s="54"/>
      <c r="T114" s="54"/>
      <c r="U114" s="54"/>
      <c r="V114" s="54"/>
    </row>
    <row r="115" spans="4:22" x14ac:dyDescent="0.25">
      <c r="D115" s="31"/>
      <c r="E115" s="31"/>
      <c r="F115" s="33"/>
      <c r="G115" s="34"/>
      <c r="H115" s="32"/>
      <c r="I115" s="32"/>
      <c r="J115" s="32"/>
      <c r="K115" s="60"/>
      <c r="N115" s="54"/>
      <c r="O115" s="54"/>
      <c r="P115" s="54"/>
      <c r="Q115" s="54"/>
      <c r="R115" s="54"/>
      <c r="S115" s="54"/>
      <c r="T115" s="54"/>
      <c r="U115" s="54"/>
      <c r="V115" s="54"/>
    </row>
    <row r="116" spans="4:22" x14ac:dyDescent="0.25">
      <c r="D116" s="31"/>
      <c r="E116" s="31"/>
      <c r="F116" s="33"/>
      <c r="G116" s="34"/>
      <c r="H116" s="32"/>
      <c r="I116" s="32"/>
      <c r="J116" s="32"/>
      <c r="K116" s="37"/>
      <c r="N116" s="54"/>
      <c r="O116" s="54"/>
      <c r="P116" s="54"/>
      <c r="Q116" s="54"/>
      <c r="R116" s="54"/>
      <c r="S116" s="54"/>
      <c r="T116" s="54"/>
      <c r="U116" s="54"/>
      <c r="V116" s="54"/>
    </row>
    <row r="117" spans="4:22" ht="15" customHeight="1" x14ac:dyDescent="0.25">
      <c r="K117" s="36"/>
      <c r="N117" s="54"/>
      <c r="O117" s="54"/>
      <c r="P117" s="54"/>
      <c r="Q117" s="54"/>
      <c r="R117" s="54"/>
      <c r="S117" s="54"/>
      <c r="T117" s="54"/>
      <c r="U117" s="54"/>
      <c r="V117" s="54"/>
    </row>
    <row r="118" spans="4:22" x14ac:dyDescent="0.25">
      <c r="K118" s="37"/>
    </row>
    <row r="119" spans="4:22" x14ac:dyDescent="0.25">
      <c r="K119" s="37"/>
    </row>
    <row r="120" spans="4:22" x14ac:dyDescent="0.25">
      <c r="D120" s="31"/>
      <c r="E120" s="31"/>
      <c r="F120" s="33"/>
      <c r="G120" s="34"/>
      <c r="H120" s="32"/>
      <c r="I120" s="32"/>
      <c r="J120" s="32"/>
      <c r="K120" s="37"/>
    </row>
    <row r="121" spans="4:22" x14ac:dyDescent="0.25">
      <c r="D121" s="31"/>
      <c r="E121" s="31"/>
      <c r="F121" s="33"/>
      <c r="G121" s="34"/>
      <c r="H121" s="32"/>
      <c r="I121" s="32"/>
      <c r="J121" s="32"/>
      <c r="K121" s="37"/>
    </row>
    <row r="122" spans="4:22" x14ac:dyDescent="0.25">
      <c r="D122" s="31"/>
      <c r="E122" s="31"/>
      <c r="F122" s="33"/>
      <c r="G122" s="34"/>
      <c r="H122" s="32"/>
      <c r="I122" s="32"/>
      <c r="J122" s="32"/>
      <c r="K122" s="37"/>
    </row>
    <row r="123" spans="4:22" ht="15" customHeight="1" x14ac:dyDescent="0.25">
      <c r="K123" s="36"/>
    </row>
    <row r="124" spans="4:22" x14ac:dyDescent="0.25">
      <c r="K124" s="37"/>
    </row>
    <row r="125" spans="4:22" x14ac:dyDescent="0.25">
      <c r="K125" s="37"/>
    </row>
    <row r="126" spans="4:22" x14ac:dyDescent="0.25">
      <c r="D126" s="31"/>
      <c r="E126" s="31"/>
      <c r="F126" s="33"/>
      <c r="G126" s="34"/>
      <c r="H126" s="32"/>
      <c r="I126" s="32"/>
      <c r="J126" s="32"/>
      <c r="K126" s="37"/>
    </row>
    <row r="127" spans="4:22" x14ac:dyDescent="0.25">
      <c r="D127" s="31"/>
      <c r="E127" s="31"/>
      <c r="F127" s="33"/>
      <c r="G127" s="34"/>
      <c r="H127" s="32"/>
      <c r="I127" s="32"/>
      <c r="J127" s="32"/>
      <c r="K127" s="37"/>
    </row>
    <row r="128" spans="4:22" x14ac:dyDescent="0.25">
      <c r="D128" s="31"/>
      <c r="E128" s="31"/>
      <c r="F128" s="33"/>
      <c r="G128" s="34"/>
      <c r="H128" s="32"/>
      <c r="I128" s="32"/>
      <c r="J128" s="32"/>
      <c r="K128" s="37"/>
    </row>
    <row r="129" spans="4:11" ht="15" customHeight="1" x14ac:dyDescent="0.25">
      <c r="K129" s="36"/>
    </row>
    <row r="130" spans="4:11" x14ac:dyDescent="0.25">
      <c r="K130" s="37"/>
    </row>
    <row r="131" spans="4:11" x14ac:dyDescent="0.25">
      <c r="K131" s="37"/>
    </row>
    <row r="132" spans="4:11" x14ac:dyDescent="0.25">
      <c r="D132" s="31"/>
      <c r="E132" s="31"/>
      <c r="F132" s="33"/>
      <c r="G132" s="34"/>
      <c r="H132" s="32"/>
      <c r="I132" s="32"/>
      <c r="J132" s="32"/>
      <c r="K132" s="37"/>
    </row>
    <row r="133" spans="4:11" x14ac:dyDescent="0.25">
      <c r="D133" s="31"/>
      <c r="E133" s="31"/>
      <c r="F133" s="33"/>
      <c r="G133" s="34"/>
      <c r="H133" s="32"/>
      <c r="I133" s="32"/>
      <c r="J133" s="32"/>
      <c r="K133" s="37"/>
    </row>
    <row r="134" spans="4:11" x14ac:dyDescent="0.25">
      <c r="D134" s="31"/>
      <c r="E134" s="31"/>
      <c r="F134" s="33"/>
      <c r="G134" s="34"/>
      <c r="H134" s="32"/>
      <c r="I134" s="32"/>
      <c r="J134" s="32"/>
      <c r="K134" s="37"/>
    </row>
    <row r="135" spans="4:11" x14ac:dyDescent="0.25">
      <c r="K135" s="35"/>
    </row>
  </sheetData>
  <mergeCells count="5">
    <mergeCell ref="O93:R93"/>
    <mergeCell ref="D108:J108"/>
    <mergeCell ref="D111:J111"/>
    <mergeCell ref="N94:U107"/>
    <mergeCell ref="L3:V11"/>
  </mergeCells>
  <pageMargins left="0.7" right="0.7" top="0.75" bottom="0.75" header="0.3" footer="0.3"/>
  <pageSetup paperSize="9" scale="12" orientation="portrait" horizontalDpi="4294967293" r:id="rId1"/>
  <drawing r:id="rId2"/>
  <legacyDrawing r:id="rId3"/>
  <oleObjects>
    <mc:AlternateContent xmlns:mc="http://schemas.openxmlformats.org/markup-compatibility/2006">
      <mc:Choice Requires="x14">
        <oleObject progId="ChemDraw.Document.6.0" shapeId="27651" r:id="rId4">
          <objectPr defaultSize="0" r:id="rId5">
            <anchor moveWithCells="1">
              <from>
                <xdr:col>13</xdr:col>
                <xdr:colOff>371475</xdr:colOff>
                <xdr:row>93</xdr:row>
                <xdr:rowOff>142875</xdr:rowOff>
              </from>
              <to>
                <xdr:col>20</xdr:col>
                <xdr:colOff>333375</xdr:colOff>
                <xdr:row>105</xdr:row>
                <xdr:rowOff>104775</xdr:rowOff>
              </to>
            </anchor>
          </objectPr>
        </oleObject>
      </mc:Choice>
      <mc:Fallback>
        <oleObject progId="ChemDraw.Document.6.0" shapeId="27651" r:id="rId4"/>
      </mc:Fallback>
    </mc:AlternateContent>
    <mc:AlternateContent xmlns:mc="http://schemas.openxmlformats.org/markup-compatibility/2006">
      <mc:Choice Requires="x14">
        <oleObject progId="ChemDraw.Document.6.0" shapeId="27652" r:id="rId6">
          <objectPr defaultSize="0" r:id="rId7">
            <anchor moveWithCells="1">
              <from>
                <xdr:col>3</xdr:col>
                <xdr:colOff>447675</xdr:colOff>
                <xdr:row>1</xdr:row>
                <xdr:rowOff>104775</xdr:rowOff>
              </from>
              <to>
                <xdr:col>10</xdr:col>
                <xdr:colOff>571500</xdr:colOff>
                <xdr:row>13</xdr:row>
                <xdr:rowOff>76200</xdr:rowOff>
              </to>
            </anchor>
          </objectPr>
        </oleObject>
      </mc:Choice>
      <mc:Fallback>
        <oleObject progId="ChemDraw.Document.6.0" shapeId="27652"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307"/>
  <sheetViews>
    <sheetView zoomScale="70" zoomScaleNormal="70" workbookViewId="0">
      <selection activeCell="C249" sqref="C249"/>
    </sheetView>
  </sheetViews>
  <sheetFormatPr defaultColWidth="8.85546875" defaultRowHeight="15" x14ac:dyDescent="0.25"/>
  <cols>
    <col min="1" max="1" width="15" customWidth="1"/>
    <col min="2" max="2" width="1.7109375" customWidth="1"/>
    <col min="3" max="3" width="51.85546875" customWidth="1"/>
    <col min="4" max="4" width="13.42578125" style="58" bestFit="1" customWidth="1"/>
    <col min="5" max="5" width="23.28515625" style="58" bestFit="1" customWidth="1"/>
    <col min="6" max="6" width="12.85546875" style="58" customWidth="1"/>
    <col min="7" max="7" width="10.7109375" customWidth="1"/>
    <col min="8" max="8" width="11" bestFit="1" customWidth="1"/>
    <col min="9" max="9" width="7.42578125" bestFit="1" customWidth="1"/>
    <col min="10" max="10" width="11.42578125" bestFit="1" customWidth="1"/>
    <col min="11" max="11" width="18.42578125" bestFit="1" customWidth="1"/>
    <col min="12" max="12" width="11.7109375" bestFit="1" customWidth="1"/>
    <col min="13" max="13" width="11.7109375" customWidth="1"/>
    <col min="14" max="14" width="13.140625" customWidth="1"/>
    <col min="15" max="15" width="12.140625" customWidth="1"/>
    <col min="16" max="16" width="14" bestFit="1" customWidth="1"/>
    <col min="17" max="17" width="12.140625" bestFit="1" customWidth="1"/>
    <col min="18" max="18" width="11.42578125" bestFit="1" customWidth="1"/>
    <col min="19" max="19" width="10.28515625" bestFit="1" customWidth="1"/>
    <col min="20" max="20" width="12.28515625" customWidth="1"/>
    <col min="21" max="21" width="10.28515625" customWidth="1"/>
    <col min="22" max="22" width="12.140625" customWidth="1"/>
  </cols>
  <sheetData>
    <row r="1" spans="1:22" s="29" customFormat="1" ht="14.45" x14ac:dyDescent="0.3">
      <c r="A1" s="28" t="s">
        <v>127</v>
      </c>
      <c r="D1" s="30"/>
      <c r="E1" s="30"/>
      <c r="F1" s="30"/>
    </row>
    <row r="2" spans="1:22" ht="14.45" x14ac:dyDescent="0.3">
      <c r="B2" s="4"/>
      <c r="C2" s="6" t="s">
        <v>26</v>
      </c>
      <c r="D2" s="83"/>
      <c r="E2" s="83"/>
      <c r="F2" s="83"/>
    </row>
    <row r="3" spans="1:22" ht="30.6" x14ac:dyDescent="0.3">
      <c r="C3" s="17" t="s">
        <v>14</v>
      </c>
      <c r="D3" s="20" t="s">
        <v>21</v>
      </c>
      <c r="E3" s="20" t="s">
        <v>94</v>
      </c>
      <c r="F3" s="17" t="s">
        <v>13</v>
      </c>
      <c r="G3" s="17" t="s">
        <v>15</v>
      </c>
      <c r="H3" s="18" t="s">
        <v>1</v>
      </c>
      <c r="I3" s="19" t="s">
        <v>25</v>
      </c>
      <c r="J3" s="17" t="s">
        <v>2</v>
      </c>
      <c r="K3" s="20" t="s">
        <v>94</v>
      </c>
      <c r="L3" s="20" t="s">
        <v>22</v>
      </c>
      <c r="M3" s="19" t="s">
        <v>8</v>
      </c>
      <c r="N3" s="19" t="s">
        <v>16</v>
      </c>
      <c r="O3" s="19" t="s">
        <v>17</v>
      </c>
      <c r="P3" s="19" t="s">
        <v>18</v>
      </c>
      <c r="Q3" s="20" t="s">
        <v>10</v>
      </c>
      <c r="R3" s="20" t="s">
        <v>23</v>
      </c>
      <c r="S3" s="19" t="s">
        <v>9</v>
      </c>
      <c r="T3" s="19" t="s">
        <v>19</v>
      </c>
      <c r="U3" s="19" t="s">
        <v>20</v>
      </c>
      <c r="V3" s="19" t="s">
        <v>24</v>
      </c>
    </row>
    <row r="4" spans="1:22" ht="14.45" x14ac:dyDescent="0.3">
      <c r="A4" s="41" t="s">
        <v>184</v>
      </c>
      <c r="C4" s="176" t="s">
        <v>57</v>
      </c>
      <c r="D4" s="8">
        <v>63000</v>
      </c>
      <c r="E4" s="8">
        <v>212.2</v>
      </c>
      <c r="F4" s="8">
        <v>1</v>
      </c>
      <c r="G4" s="11">
        <f>D4/E4</f>
        <v>296.88972667295008</v>
      </c>
      <c r="H4" s="7"/>
      <c r="I4" s="7"/>
      <c r="J4" s="8" t="s">
        <v>58</v>
      </c>
      <c r="K4" s="8">
        <v>162.15</v>
      </c>
      <c r="L4" s="46">
        <v>60650</v>
      </c>
      <c r="M4" s="42" t="s">
        <v>40</v>
      </c>
      <c r="N4" s="45">
        <v>378000</v>
      </c>
      <c r="O4" s="1">
        <v>0.89500000000000002</v>
      </c>
      <c r="P4" s="11">
        <f>N4*O4</f>
        <v>338310</v>
      </c>
      <c r="Q4" s="8"/>
      <c r="R4" s="8"/>
      <c r="S4" s="7"/>
      <c r="T4" s="7"/>
      <c r="U4" s="7"/>
      <c r="V4" s="11">
        <f>T4*U4</f>
        <v>0</v>
      </c>
    </row>
    <row r="5" spans="1:22" ht="14.45" x14ac:dyDescent="0.3">
      <c r="A5" s="86" t="s">
        <v>92</v>
      </c>
      <c r="C5" s="8" t="s">
        <v>59</v>
      </c>
      <c r="D5" s="8">
        <v>63420</v>
      </c>
      <c r="E5" s="8">
        <v>194.28</v>
      </c>
      <c r="F5" s="8">
        <v>1.1399999999999999</v>
      </c>
      <c r="G5" s="11">
        <f>D5/E5</f>
        <v>326.43607164916614</v>
      </c>
      <c r="H5" s="1"/>
      <c r="I5" s="1"/>
      <c r="J5" s="25" t="s">
        <v>60</v>
      </c>
      <c r="K5" s="26">
        <v>138.21</v>
      </c>
      <c r="L5" s="46">
        <v>41000</v>
      </c>
      <c r="M5" s="42" t="s">
        <v>40</v>
      </c>
      <c r="N5" s="2">
        <v>378000</v>
      </c>
      <c r="O5" s="1">
        <v>0.89500000000000002</v>
      </c>
      <c r="P5" s="11">
        <f>N5*O5</f>
        <v>338310</v>
      </c>
      <c r="Q5" s="8"/>
      <c r="R5" s="8"/>
      <c r="S5" s="7"/>
      <c r="T5" s="7"/>
      <c r="U5" s="7"/>
      <c r="V5" s="11">
        <f t="shared" ref="V5" si="0">T5*U5</f>
        <v>0</v>
      </c>
    </row>
    <row r="6" spans="1:22" ht="14.45" x14ac:dyDescent="0.3">
      <c r="A6" s="52"/>
      <c r="C6" s="10" t="s">
        <v>4</v>
      </c>
      <c r="D6" s="11">
        <f>SUM(D4:D5)</f>
        <v>126420</v>
      </c>
      <c r="E6" s="11">
        <f>SUM(E4:E5)</f>
        <v>406.48</v>
      </c>
      <c r="F6" s="10"/>
      <c r="G6" s="165">
        <f>SUM(G4:G5)</f>
        <v>623.32579832211627</v>
      </c>
      <c r="I6" s="23">
        <f>SUM(I4:I5)</f>
        <v>0</v>
      </c>
      <c r="L6" s="47">
        <f>SUM(L4:L5)</f>
        <v>101650</v>
      </c>
      <c r="N6" s="94">
        <f>SUM(N4:N5)</f>
        <v>756000</v>
      </c>
      <c r="P6" s="23">
        <f>SUM(P4:P5)</f>
        <v>676620</v>
      </c>
      <c r="R6" s="23">
        <f>SUM(R4:R5)</f>
        <v>0</v>
      </c>
      <c r="V6" s="23">
        <f>SUM(V4:V5)</f>
        <v>0</v>
      </c>
    </row>
    <row r="7" spans="1:22" ht="14.45" x14ac:dyDescent="0.3">
      <c r="A7" s="52"/>
      <c r="C7" s="4"/>
      <c r="D7" s="3"/>
      <c r="E7" s="3"/>
      <c r="F7" s="3"/>
      <c r="G7" s="4"/>
      <c r="H7" s="4"/>
      <c r="I7" s="4"/>
      <c r="M7" s="49"/>
      <c r="N7" s="4"/>
      <c r="O7" s="4"/>
      <c r="P7" s="4"/>
      <c r="Q7" s="4"/>
      <c r="R7" s="4"/>
      <c r="S7" s="4"/>
      <c r="T7" s="4"/>
      <c r="U7" s="4"/>
      <c r="V7" s="4"/>
    </row>
    <row r="8" spans="1:22" ht="14.45" x14ac:dyDescent="0.3">
      <c r="A8" s="52"/>
      <c r="C8" s="4"/>
      <c r="D8" s="3"/>
      <c r="E8" s="3"/>
      <c r="F8" s="3"/>
      <c r="G8" s="4"/>
      <c r="H8" s="4"/>
      <c r="K8" s="162" t="s">
        <v>133</v>
      </c>
      <c r="L8" s="96">
        <f>(T10/G4)*100</f>
        <v>89.309107431951475</v>
      </c>
      <c r="M8" s="49"/>
      <c r="O8" s="4"/>
      <c r="P8" s="4"/>
      <c r="Q8" s="4"/>
      <c r="R8" s="4"/>
      <c r="S8" s="4"/>
    </row>
    <row r="9" spans="1:22" ht="14.45" x14ac:dyDescent="0.3">
      <c r="A9" s="52"/>
      <c r="C9" s="4"/>
      <c r="D9" s="3"/>
      <c r="E9" s="3"/>
      <c r="F9" s="3"/>
      <c r="G9" s="4"/>
      <c r="H9" s="4"/>
      <c r="K9" s="159" t="s">
        <v>134</v>
      </c>
      <c r="L9" s="97">
        <f>(S10/(E6)*100)</f>
        <v>95.566817555599286</v>
      </c>
      <c r="M9" s="49"/>
      <c r="R9" s="5" t="s">
        <v>11</v>
      </c>
      <c r="S9" s="5" t="s">
        <v>12</v>
      </c>
      <c r="T9" s="5" t="s">
        <v>0</v>
      </c>
    </row>
    <row r="10" spans="1:22" ht="14.45" x14ac:dyDescent="0.3">
      <c r="A10" s="52"/>
      <c r="C10" s="4"/>
      <c r="D10" s="3"/>
      <c r="E10" s="3"/>
      <c r="F10" s="3"/>
      <c r="G10" s="4"/>
      <c r="H10" s="4"/>
      <c r="K10" s="162" t="s">
        <v>135</v>
      </c>
      <c r="L10" s="96">
        <f>(R10/D6)*100</f>
        <v>81.474450245214371</v>
      </c>
      <c r="P10" s="4"/>
      <c r="Q10" s="5" t="s">
        <v>3</v>
      </c>
      <c r="R10" s="9">
        <f>103*1000</f>
        <v>103000</v>
      </c>
      <c r="S10" s="9">
        <v>388.46</v>
      </c>
      <c r="T10" s="22">
        <f>R10/S10</f>
        <v>265.14956494877208</v>
      </c>
    </row>
    <row r="11" spans="1:22" ht="16.149999999999999" x14ac:dyDescent="0.3">
      <c r="A11" s="52"/>
      <c r="C11" s="4"/>
      <c r="D11" s="3"/>
      <c r="E11" s="3"/>
      <c r="F11" s="3"/>
      <c r="G11" s="4"/>
      <c r="H11" s="4"/>
      <c r="K11" s="159" t="s">
        <v>136</v>
      </c>
      <c r="L11" s="13">
        <f>(D6+I6+L6+P6+R6+V6)/R10</f>
        <v>8.7833980582524269</v>
      </c>
      <c r="O11" s="4"/>
      <c r="P11" s="4"/>
      <c r="S11" s="83"/>
      <c r="T11" s="3"/>
    </row>
    <row r="12" spans="1:22" ht="16.149999999999999" x14ac:dyDescent="0.3">
      <c r="A12" s="52"/>
      <c r="C12" s="4"/>
      <c r="D12" s="3"/>
      <c r="E12" s="3"/>
      <c r="F12" s="3"/>
      <c r="G12" s="4"/>
      <c r="H12" s="4"/>
      <c r="I12" s="4"/>
      <c r="K12" s="163" t="s">
        <v>137</v>
      </c>
      <c r="L12" s="15">
        <f>(D6+I6+L6)/R10</f>
        <v>2.2142718446601943</v>
      </c>
      <c r="N12" s="163" t="s">
        <v>139</v>
      </c>
      <c r="O12" s="93">
        <f>G4/N6*1000</f>
        <v>0.39271127866792338</v>
      </c>
      <c r="P12" s="4"/>
      <c r="S12" s="4"/>
    </row>
    <row r="13" spans="1:22" ht="16.149999999999999" x14ac:dyDescent="0.3">
      <c r="A13" s="52"/>
      <c r="C13" s="4"/>
      <c r="D13" s="3"/>
      <c r="E13" s="3"/>
      <c r="F13" s="3"/>
      <c r="G13" s="4"/>
      <c r="H13" s="4"/>
      <c r="I13" s="4"/>
      <c r="K13" s="164" t="s">
        <v>138</v>
      </c>
      <c r="L13" s="16">
        <f>(P6+V6)/R10</f>
        <v>6.5691262135922326</v>
      </c>
      <c r="M13" s="4"/>
      <c r="N13" s="4"/>
      <c r="O13" s="4"/>
      <c r="P13" s="4"/>
      <c r="U13" s="4"/>
      <c r="V13" s="4"/>
    </row>
    <row r="14" spans="1:22" ht="14.45" x14ac:dyDescent="0.3">
      <c r="A14" s="52"/>
      <c r="C14" s="6"/>
      <c r="D14"/>
      <c r="E14" s="3"/>
      <c r="F14" s="3"/>
      <c r="G14" s="4"/>
      <c r="H14" s="4"/>
      <c r="I14" s="4"/>
      <c r="K14" s="4"/>
      <c r="L14" s="4"/>
      <c r="M14" s="4"/>
      <c r="P14" s="4"/>
      <c r="Q14" s="4"/>
      <c r="R14" s="4"/>
      <c r="S14" s="4"/>
      <c r="T14" s="4"/>
      <c r="U14" s="4"/>
      <c r="V14" s="4"/>
    </row>
    <row r="15" spans="1:22" ht="14.45" x14ac:dyDescent="0.3">
      <c r="A15" s="52"/>
      <c r="B15" s="4"/>
      <c r="C15" s="6" t="s">
        <v>26</v>
      </c>
      <c r="D15" s="83"/>
      <c r="E15" s="83"/>
      <c r="F15" s="83"/>
    </row>
    <row r="16" spans="1:22" ht="30.6" x14ac:dyDescent="0.3">
      <c r="A16" s="52"/>
      <c r="C16" s="17" t="s">
        <v>14</v>
      </c>
      <c r="D16" s="20" t="s">
        <v>21</v>
      </c>
      <c r="E16" s="20" t="s">
        <v>94</v>
      </c>
      <c r="F16" s="17" t="s">
        <v>13</v>
      </c>
      <c r="G16" s="17" t="s">
        <v>15</v>
      </c>
      <c r="H16" s="18" t="s">
        <v>1</v>
      </c>
      <c r="I16" s="19" t="s">
        <v>25</v>
      </c>
      <c r="J16" s="17" t="s">
        <v>2</v>
      </c>
      <c r="K16" s="20" t="s">
        <v>94</v>
      </c>
      <c r="L16" s="20" t="s">
        <v>22</v>
      </c>
      <c r="M16" s="19" t="s">
        <v>8</v>
      </c>
      <c r="N16" s="19" t="s">
        <v>16</v>
      </c>
      <c r="O16" s="19" t="s">
        <v>17</v>
      </c>
      <c r="P16" s="19" t="s">
        <v>18</v>
      </c>
      <c r="Q16" s="20" t="s">
        <v>10</v>
      </c>
      <c r="R16" s="20" t="s">
        <v>23</v>
      </c>
      <c r="S16" s="19" t="s">
        <v>9</v>
      </c>
      <c r="T16" s="19" t="s">
        <v>19</v>
      </c>
      <c r="U16" s="19" t="s">
        <v>20</v>
      </c>
      <c r="V16" s="19" t="s">
        <v>24</v>
      </c>
    </row>
    <row r="17" spans="1:22" ht="14.45" x14ac:dyDescent="0.3">
      <c r="A17" s="41" t="s">
        <v>197</v>
      </c>
      <c r="C17" s="172" t="s">
        <v>119</v>
      </c>
      <c r="D17" s="56">
        <v>15700</v>
      </c>
      <c r="E17" s="8">
        <v>774.73</v>
      </c>
      <c r="F17" s="8">
        <v>1</v>
      </c>
      <c r="G17" s="11">
        <f>D17/E17</f>
        <v>20.265124624062576</v>
      </c>
      <c r="H17" s="7"/>
      <c r="I17" s="7"/>
      <c r="J17" s="8" t="s">
        <v>76</v>
      </c>
      <c r="K17" s="8">
        <v>101.15</v>
      </c>
      <c r="L17" s="46">
        <f>45.6*K17</f>
        <v>4612.4400000000005</v>
      </c>
      <c r="M17" s="42" t="s">
        <v>27</v>
      </c>
      <c r="N17" s="45">
        <v>110000</v>
      </c>
      <c r="O17" s="1">
        <v>0.88300000000000001</v>
      </c>
      <c r="P17" s="11">
        <f>N17*O17</f>
        <v>97130</v>
      </c>
      <c r="Q17" s="8"/>
      <c r="R17" s="8"/>
      <c r="S17" s="7"/>
      <c r="T17" s="7"/>
      <c r="U17" s="7"/>
      <c r="V17" s="11">
        <f>T17*U17</f>
        <v>0</v>
      </c>
    </row>
    <row r="18" spans="1:22" ht="14.45" x14ac:dyDescent="0.3">
      <c r="A18" s="86" t="s">
        <v>93</v>
      </c>
      <c r="C18" s="69" t="s">
        <v>124</v>
      </c>
      <c r="D18" s="8">
        <v>7120</v>
      </c>
      <c r="E18" s="8">
        <v>313.37</v>
      </c>
      <c r="F18" s="8">
        <f>G18/G17</f>
        <v>1.1211747209145535</v>
      </c>
      <c r="G18" s="11">
        <f>D18/E18</f>
        <v>22.720745444682006</v>
      </c>
      <c r="H18" s="1"/>
      <c r="I18" s="1"/>
      <c r="J18" s="25" t="s">
        <v>87</v>
      </c>
      <c r="K18" s="26">
        <v>136.58000000000001</v>
      </c>
      <c r="L18" s="46">
        <f>22.9*K18</f>
        <v>3127.6820000000002</v>
      </c>
      <c r="M18" s="42"/>
      <c r="N18" s="2"/>
      <c r="O18" s="1"/>
      <c r="P18" s="11"/>
      <c r="Q18" s="8"/>
      <c r="R18" s="8"/>
      <c r="S18" s="7"/>
      <c r="T18" s="7"/>
      <c r="U18" s="7"/>
      <c r="V18" s="11">
        <f t="shared" ref="V18" si="1">T18*U18</f>
        <v>0</v>
      </c>
    </row>
    <row r="19" spans="1:22" ht="14.45" x14ac:dyDescent="0.3">
      <c r="C19" s="10" t="s">
        <v>4</v>
      </c>
      <c r="D19" s="11">
        <f>SUM(D17:D18)</f>
        <v>22820</v>
      </c>
      <c r="E19" s="11">
        <f>SUM(E17:E18)</f>
        <v>1088.0999999999999</v>
      </c>
      <c r="F19" s="10"/>
      <c r="G19" s="165">
        <f>SUM(G17:G18)</f>
        <v>42.985870068744582</v>
      </c>
      <c r="I19" s="23">
        <f>SUM(I17:I18)</f>
        <v>0</v>
      </c>
      <c r="L19" s="47">
        <f>SUM(L17:L18)</f>
        <v>7740.1220000000012</v>
      </c>
      <c r="N19" s="89">
        <f>SUM(N17:N18)</f>
        <v>110000</v>
      </c>
      <c r="P19" s="23">
        <f>SUM(P17:P18)</f>
        <v>97130</v>
      </c>
      <c r="R19" s="23">
        <f>SUM(R17:R18)</f>
        <v>0</v>
      </c>
      <c r="V19" s="23">
        <f>SUM(V17:V18)</f>
        <v>0</v>
      </c>
    </row>
    <row r="20" spans="1:22" ht="14.45" x14ac:dyDescent="0.3">
      <c r="C20" s="4"/>
      <c r="D20" s="3"/>
      <c r="E20" s="3"/>
      <c r="F20" s="3"/>
      <c r="G20" s="4"/>
      <c r="H20" s="4"/>
      <c r="I20" s="4"/>
      <c r="M20" s="49"/>
      <c r="N20" s="4"/>
      <c r="O20" s="4"/>
      <c r="P20" s="4"/>
      <c r="Q20" s="4"/>
      <c r="R20" s="4"/>
      <c r="S20" s="4"/>
      <c r="T20" s="4"/>
      <c r="U20" s="4"/>
      <c r="V20" s="4"/>
    </row>
    <row r="21" spans="1:22" ht="14.45" x14ac:dyDescent="0.3">
      <c r="C21" s="4"/>
      <c r="D21" s="3"/>
      <c r="E21" s="3"/>
      <c r="F21" s="3"/>
      <c r="G21" s="4"/>
      <c r="H21" s="4"/>
      <c r="K21" s="162" t="s">
        <v>133</v>
      </c>
      <c r="L21" s="96">
        <f>(T23/G17)*100</f>
        <v>84.305863862193149</v>
      </c>
      <c r="M21" s="49"/>
      <c r="O21" s="4"/>
      <c r="P21" s="4"/>
      <c r="Q21" s="4"/>
      <c r="R21" s="4"/>
      <c r="S21" s="4"/>
    </row>
    <row r="22" spans="1:22" ht="14.45" x14ac:dyDescent="0.3">
      <c r="C22" s="4"/>
      <c r="D22" s="3"/>
      <c r="E22" s="3"/>
      <c r="F22" s="3"/>
      <c r="G22" s="4"/>
      <c r="H22" s="4"/>
      <c r="K22" s="159" t="s">
        <v>134</v>
      </c>
      <c r="L22" s="97">
        <f>(S23/(E19)*100)</f>
        <v>82.518150905247694</v>
      </c>
      <c r="M22" s="49"/>
      <c r="R22" s="5" t="s">
        <v>11</v>
      </c>
      <c r="S22" s="5" t="s">
        <v>12</v>
      </c>
      <c r="T22" s="5" t="s">
        <v>0</v>
      </c>
    </row>
    <row r="23" spans="1:22" ht="14.45" x14ac:dyDescent="0.3">
      <c r="C23" s="4"/>
      <c r="D23" s="3"/>
      <c r="E23" s="3"/>
      <c r="F23" s="3"/>
      <c r="G23" s="4"/>
      <c r="H23" s="4"/>
      <c r="K23" s="162" t="s">
        <v>135</v>
      </c>
      <c r="L23" s="96">
        <f>(R23/D19)*100</f>
        <v>67.221735319894833</v>
      </c>
      <c r="P23" s="4"/>
      <c r="Q23" s="5" t="s">
        <v>3</v>
      </c>
      <c r="R23" s="9">
        <v>15340</v>
      </c>
      <c r="S23" s="9">
        <v>897.88</v>
      </c>
      <c r="T23" s="22">
        <f>R23/S23</f>
        <v>17.084688377065977</v>
      </c>
    </row>
    <row r="24" spans="1:22" ht="16.149999999999999" x14ac:dyDescent="0.3">
      <c r="C24" s="4"/>
      <c r="D24" s="3"/>
      <c r="E24" s="3"/>
      <c r="F24" s="3"/>
      <c r="G24" s="4"/>
      <c r="H24" s="4"/>
      <c r="K24" s="159" t="s">
        <v>136</v>
      </c>
      <c r="L24" s="13">
        <f>(D19+I19+L19+P19+R19+V19)/R23</f>
        <v>8.3239975228161676</v>
      </c>
      <c r="O24" s="4"/>
      <c r="P24" s="4"/>
      <c r="S24" s="83"/>
      <c r="T24" s="3"/>
    </row>
    <row r="25" spans="1:22" ht="16.149999999999999" x14ac:dyDescent="0.3">
      <c r="C25" s="4"/>
      <c r="D25" s="3"/>
      <c r="E25" s="3"/>
      <c r="F25" s="3"/>
      <c r="G25" s="4"/>
      <c r="H25" s="4"/>
      <c r="I25" s="4"/>
      <c r="K25" s="163" t="s">
        <v>137</v>
      </c>
      <c r="L25" s="15">
        <f>(D19+I19+L19)/R23</f>
        <v>1.9921852672750979</v>
      </c>
      <c r="N25" s="163" t="s">
        <v>139</v>
      </c>
      <c r="O25" s="93">
        <f>G17/N19*1000</f>
        <v>0.18422840567329615</v>
      </c>
      <c r="P25" s="4"/>
      <c r="S25" s="4"/>
    </row>
    <row r="26" spans="1:22" ht="16.149999999999999" x14ac:dyDescent="0.3">
      <c r="C26" s="4"/>
      <c r="D26" s="3"/>
      <c r="E26" s="3"/>
      <c r="F26" s="3"/>
      <c r="G26" s="4"/>
      <c r="H26" s="4"/>
      <c r="I26" s="4"/>
      <c r="K26" s="164" t="s">
        <v>138</v>
      </c>
      <c r="L26" s="16">
        <f>(P19+V19)/R23</f>
        <v>6.3318122555410694</v>
      </c>
      <c r="M26" s="4"/>
      <c r="N26" s="4"/>
      <c r="O26" s="4"/>
      <c r="P26" s="4"/>
      <c r="U26" s="4"/>
      <c r="V26" s="4"/>
    </row>
    <row r="27" spans="1:22" ht="14.45" x14ac:dyDescent="0.3">
      <c r="C27" s="6"/>
      <c r="D27"/>
      <c r="E27" s="3"/>
      <c r="F27" s="3"/>
      <c r="G27" s="4"/>
      <c r="H27" s="4"/>
      <c r="I27" s="4"/>
      <c r="K27" s="4"/>
      <c r="L27" s="4"/>
      <c r="M27" s="4"/>
      <c r="P27" s="4"/>
      <c r="Q27" s="4"/>
      <c r="R27" s="4"/>
      <c r="S27" s="4"/>
      <c r="T27" s="4"/>
      <c r="U27" s="4"/>
      <c r="V27" s="4"/>
    </row>
    <row r="28" spans="1:22" ht="14.45" x14ac:dyDescent="0.3">
      <c r="C28" s="6"/>
      <c r="D28"/>
      <c r="E28" s="3"/>
      <c r="F28" s="3"/>
      <c r="G28" s="4"/>
      <c r="H28" s="4"/>
      <c r="I28" s="4"/>
      <c r="M28" s="4"/>
      <c r="N28" s="4"/>
      <c r="O28" s="4"/>
      <c r="P28" s="4"/>
      <c r="Q28" s="4"/>
      <c r="R28" s="4"/>
      <c r="S28" s="4"/>
      <c r="T28" s="4"/>
      <c r="U28" s="4"/>
      <c r="V28" s="4"/>
    </row>
    <row r="29" spans="1:22" s="29" customFormat="1" ht="14.45" x14ac:dyDescent="0.3">
      <c r="A29" s="28" t="s">
        <v>126</v>
      </c>
      <c r="D29" s="30"/>
      <c r="E29" s="30"/>
      <c r="F29" s="30"/>
    </row>
    <row r="30" spans="1:22" ht="14.45" x14ac:dyDescent="0.3">
      <c r="B30" s="4"/>
      <c r="C30" s="6" t="s">
        <v>26</v>
      </c>
      <c r="D30" s="83"/>
      <c r="E30" s="83"/>
      <c r="F30" s="83"/>
    </row>
    <row r="31" spans="1:22" ht="30.6" x14ac:dyDescent="0.3">
      <c r="C31" s="17" t="s">
        <v>14</v>
      </c>
      <c r="D31" s="20" t="s">
        <v>21</v>
      </c>
      <c r="E31" s="20" t="s">
        <v>94</v>
      </c>
      <c r="F31" s="17" t="s">
        <v>13</v>
      </c>
      <c r="G31" s="17" t="s">
        <v>15</v>
      </c>
      <c r="H31" s="18" t="s">
        <v>1</v>
      </c>
      <c r="I31" s="19" t="s">
        <v>25</v>
      </c>
      <c r="J31" s="17" t="s">
        <v>2</v>
      </c>
      <c r="K31" s="20" t="s">
        <v>94</v>
      </c>
      <c r="L31" s="20" t="s">
        <v>22</v>
      </c>
      <c r="M31" s="19" t="s">
        <v>8</v>
      </c>
      <c r="N31" s="19" t="s">
        <v>16</v>
      </c>
      <c r="O31" s="19" t="s">
        <v>17</v>
      </c>
      <c r="P31" s="19" t="s">
        <v>18</v>
      </c>
      <c r="Q31" s="20" t="s">
        <v>10</v>
      </c>
      <c r="R31" s="20" t="s">
        <v>23</v>
      </c>
      <c r="S31" s="19" t="s">
        <v>9</v>
      </c>
      <c r="T31" s="19" t="s">
        <v>19</v>
      </c>
      <c r="U31" s="19" t="s">
        <v>20</v>
      </c>
      <c r="V31" s="19" t="s">
        <v>24</v>
      </c>
    </row>
    <row r="32" spans="1:22" ht="14.45" x14ac:dyDescent="0.3">
      <c r="A32" s="41" t="s">
        <v>184</v>
      </c>
      <c r="C32" s="176" t="s">
        <v>57</v>
      </c>
      <c r="D32" s="56">
        <v>63000</v>
      </c>
      <c r="E32" s="8">
        <v>212.2</v>
      </c>
      <c r="F32" s="8">
        <v>1</v>
      </c>
      <c r="G32" s="11">
        <v>296.88972667295008</v>
      </c>
      <c r="H32" s="7"/>
      <c r="I32" s="7"/>
      <c r="J32" s="8" t="s">
        <v>58</v>
      </c>
      <c r="K32" s="8">
        <v>162.15</v>
      </c>
      <c r="L32" s="46">
        <v>60650</v>
      </c>
      <c r="M32" s="42" t="s">
        <v>40</v>
      </c>
      <c r="N32" s="45">
        <v>371112</v>
      </c>
      <c r="O32" s="1">
        <v>0.89500000000000002</v>
      </c>
      <c r="P32" s="11">
        <v>332145.24</v>
      </c>
      <c r="Q32" s="8"/>
      <c r="R32" s="8"/>
      <c r="S32" s="7"/>
      <c r="T32" s="7"/>
      <c r="U32" s="7"/>
      <c r="V32" s="11">
        <v>0</v>
      </c>
    </row>
    <row r="33" spans="1:22" ht="14.45" x14ac:dyDescent="0.3">
      <c r="A33" s="86" t="s">
        <v>92</v>
      </c>
      <c r="C33" s="8" t="s">
        <v>59</v>
      </c>
      <c r="D33" s="8">
        <v>63420</v>
      </c>
      <c r="E33" s="8">
        <v>194.28</v>
      </c>
      <c r="F33" s="8">
        <v>1.1399999999999999</v>
      </c>
      <c r="G33" s="11">
        <v>326.43607164916614</v>
      </c>
      <c r="H33" s="1"/>
      <c r="I33" s="1"/>
      <c r="J33" s="25" t="s">
        <v>60</v>
      </c>
      <c r="K33" s="26">
        <v>138.21</v>
      </c>
      <c r="L33" s="46">
        <v>41000</v>
      </c>
      <c r="M33" s="42" t="s">
        <v>40</v>
      </c>
      <c r="N33" s="45">
        <v>371112</v>
      </c>
      <c r="O33" s="1">
        <v>0.89500000000000002</v>
      </c>
      <c r="P33" s="11">
        <v>332145.24</v>
      </c>
      <c r="Q33" s="8"/>
      <c r="R33" s="8"/>
      <c r="S33" s="7"/>
      <c r="T33" s="7"/>
      <c r="U33" s="7"/>
      <c r="V33" s="11">
        <v>0</v>
      </c>
    </row>
    <row r="34" spans="1:22" ht="14.45" x14ac:dyDescent="0.3">
      <c r="A34" s="52"/>
      <c r="C34" s="10" t="s">
        <v>4</v>
      </c>
      <c r="D34" s="11">
        <v>126420</v>
      </c>
      <c r="E34" s="11">
        <v>406.48</v>
      </c>
      <c r="F34" s="10"/>
      <c r="G34" s="165">
        <v>623.32579832211627</v>
      </c>
      <c r="I34" s="23">
        <v>0</v>
      </c>
      <c r="L34" s="47">
        <v>101650</v>
      </c>
      <c r="N34" s="95">
        <v>742224</v>
      </c>
      <c r="P34" s="23">
        <v>664290.48</v>
      </c>
      <c r="R34" s="23">
        <v>0</v>
      </c>
      <c r="V34" s="23">
        <v>0</v>
      </c>
    </row>
    <row r="35" spans="1:22" ht="14.45" x14ac:dyDescent="0.3">
      <c r="A35" s="52"/>
      <c r="C35" s="4"/>
      <c r="D35" s="3"/>
      <c r="E35" s="3"/>
      <c r="F35" s="3"/>
      <c r="G35" s="4"/>
      <c r="H35" s="4"/>
      <c r="I35" s="4"/>
      <c r="M35" s="49"/>
      <c r="N35" s="4"/>
      <c r="O35" s="4"/>
      <c r="P35" s="4"/>
      <c r="Q35" s="4"/>
      <c r="R35" s="4"/>
      <c r="S35" s="4"/>
      <c r="T35" s="4"/>
      <c r="U35" s="4"/>
      <c r="V35" s="4"/>
    </row>
    <row r="36" spans="1:22" ht="14.45" x14ac:dyDescent="0.3">
      <c r="A36" s="52"/>
      <c r="C36" s="4"/>
      <c r="D36" s="3"/>
      <c r="E36" s="3"/>
      <c r="F36" s="3"/>
      <c r="G36" s="4"/>
      <c r="H36" s="4"/>
      <c r="K36" s="162" t="s">
        <v>133</v>
      </c>
      <c r="L36" s="96">
        <f>(T38/G32)*100</f>
        <v>89.309107431951475</v>
      </c>
      <c r="M36" s="49"/>
      <c r="O36" s="4"/>
      <c r="P36" s="4"/>
      <c r="Q36" s="4"/>
      <c r="R36" s="4"/>
      <c r="S36" s="4"/>
    </row>
    <row r="37" spans="1:22" ht="14.45" x14ac:dyDescent="0.3">
      <c r="A37" s="52"/>
      <c r="C37" s="4"/>
      <c r="D37" s="3"/>
      <c r="E37" s="3"/>
      <c r="F37" s="3"/>
      <c r="G37" s="4"/>
      <c r="H37" s="4"/>
      <c r="K37" s="159" t="s">
        <v>134</v>
      </c>
      <c r="L37" s="97">
        <f>(S38/(E34)*100)</f>
        <v>95.566817555599286</v>
      </c>
      <c r="M37" s="49"/>
      <c r="R37" s="5" t="s">
        <v>11</v>
      </c>
      <c r="S37" s="5" t="s">
        <v>12</v>
      </c>
      <c r="T37" s="5" t="s">
        <v>0</v>
      </c>
    </row>
    <row r="38" spans="1:22" ht="14.45" x14ac:dyDescent="0.3">
      <c r="A38" s="52"/>
      <c r="C38" s="4"/>
      <c r="D38" s="3"/>
      <c r="E38" s="3"/>
      <c r="F38" s="3"/>
      <c r="G38" s="4"/>
      <c r="H38" s="4"/>
      <c r="K38" s="162" t="s">
        <v>135</v>
      </c>
      <c r="L38" s="96">
        <f>(R38/D34)*100</f>
        <v>81.474450245214371</v>
      </c>
      <c r="P38" s="4"/>
      <c r="Q38" s="5" t="s">
        <v>3</v>
      </c>
      <c r="R38" s="9">
        <f>103*1000</f>
        <v>103000</v>
      </c>
      <c r="S38" s="9">
        <v>388.46</v>
      </c>
      <c r="T38" s="22">
        <f>R38/S38</f>
        <v>265.14956494877208</v>
      </c>
    </row>
    <row r="39" spans="1:22" ht="16.149999999999999" x14ac:dyDescent="0.3">
      <c r="A39" s="52"/>
      <c r="C39" s="4"/>
      <c r="D39" s="3"/>
      <c r="E39" s="3"/>
      <c r="F39" s="3"/>
      <c r="G39" s="4"/>
      <c r="H39" s="4"/>
      <c r="K39" s="159" t="s">
        <v>136</v>
      </c>
      <c r="L39" s="13">
        <f>(D34+I34+L34+P34+R34+V34)/R38</f>
        <v>8.6636939805825239</v>
      </c>
      <c r="O39" s="4"/>
      <c r="P39" s="4"/>
      <c r="S39" s="83"/>
      <c r="T39" s="3"/>
    </row>
    <row r="40" spans="1:22" ht="16.149999999999999" x14ac:dyDescent="0.3">
      <c r="A40" s="52"/>
      <c r="C40" s="4"/>
      <c r="D40" s="3"/>
      <c r="E40" s="3"/>
      <c r="F40" s="3"/>
      <c r="G40" s="4"/>
      <c r="H40" s="4"/>
      <c r="I40" s="4"/>
      <c r="K40" s="163" t="s">
        <v>137</v>
      </c>
      <c r="L40" s="15">
        <f>(D34+I34+L34)/R38</f>
        <v>2.2142718446601943</v>
      </c>
      <c r="N40" s="163" t="s">
        <v>139</v>
      </c>
      <c r="O40" s="93">
        <f>G32/N34*1000</f>
        <v>0.40000017066673954</v>
      </c>
      <c r="P40" s="4"/>
      <c r="S40" s="4"/>
    </row>
    <row r="41" spans="1:22" ht="16.149999999999999" x14ac:dyDescent="0.3">
      <c r="A41" s="52"/>
      <c r="C41" s="4"/>
      <c r="D41" s="3"/>
      <c r="E41" s="3"/>
      <c r="F41" s="3"/>
      <c r="G41" s="4"/>
      <c r="H41" s="4"/>
      <c r="I41" s="4"/>
      <c r="K41" s="164" t="s">
        <v>138</v>
      </c>
      <c r="L41" s="16">
        <f>(P34+V34)/R38</f>
        <v>6.4494221359223296</v>
      </c>
      <c r="M41" s="4"/>
      <c r="N41" s="4"/>
      <c r="O41" s="4"/>
      <c r="P41" s="4"/>
      <c r="U41" s="4"/>
      <c r="V41" s="4"/>
    </row>
    <row r="42" spans="1:22" ht="14.45" x14ac:dyDescent="0.3">
      <c r="A42" s="52"/>
      <c r="C42" s="6"/>
      <c r="D42"/>
      <c r="E42" s="3"/>
      <c r="F42" s="3"/>
      <c r="G42" s="4"/>
      <c r="H42" s="4"/>
      <c r="I42" s="4"/>
      <c r="K42" s="4"/>
      <c r="L42" s="4"/>
      <c r="M42" s="4"/>
      <c r="P42" s="4"/>
      <c r="Q42" s="4"/>
      <c r="R42" s="4"/>
      <c r="S42" s="4"/>
      <c r="T42" s="4"/>
      <c r="U42" s="4"/>
      <c r="V42" s="4"/>
    </row>
    <row r="43" spans="1:22" ht="14.45" x14ac:dyDescent="0.3">
      <c r="A43" s="52"/>
      <c r="B43" s="4"/>
      <c r="C43" s="6" t="s">
        <v>26</v>
      </c>
      <c r="D43" s="83"/>
      <c r="E43" s="83"/>
      <c r="F43" s="83"/>
    </row>
    <row r="44" spans="1:22" ht="30.6" x14ac:dyDescent="0.3">
      <c r="A44" s="52"/>
      <c r="C44" s="17" t="s">
        <v>14</v>
      </c>
      <c r="D44" s="20" t="s">
        <v>21</v>
      </c>
      <c r="E44" s="20" t="s">
        <v>94</v>
      </c>
      <c r="F44" s="17" t="s">
        <v>13</v>
      </c>
      <c r="G44" s="17" t="s">
        <v>15</v>
      </c>
      <c r="H44" s="18" t="s">
        <v>1</v>
      </c>
      <c r="I44" s="19" t="s">
        <v>25</v>
      </c>
      <c r="J44" s="17" t="s">
        <v>2</v>
      </c>
      <c r="K44" s="20" t="s">
        <v>94</v>
      </c>
      <c r="L44" s="20" t="s">
        <v>22</v>
      </c>
      <c r="M44" s="19" t="s">
        <v>8</v>
      </c>
      <c r="N44" s="19" t="s">
        <v>16</v>
      </c>
      <c r="O44" s="19" t="s">
        <v>17</v>
      </c>
      <c r="P44" s="19" t="s">
        <v>18</v>
      </c>
      <c r="Q44" s="20" t="s">
        <v>10</v>
      </c>
      <c r="R44" s="20" t="s">
        <v>23</v>
      </c>
      <c r="S44" s="19" t="s">
        <v>9</v>
      </c>
      <c r="T44" s="19" t="s">
        <v>19</v>
      </c>
      <c r="U44" s="19" t="s">
        <v>20</v>
      </c>
      <c r="V44" s="19" t="s">
        <v>24</v>
      </c>
    </row>
    <row r="45" spans="1:22" ht="14.45" x14ac:dyDescent="0.3">
      <c r="A45" s="41" t="s">
        <v>197</v>
      </c>
      <c r="C45" s="172" t="s">
        <v>119</v>
      </c>
      <c r="D45" s="56">
        <v>15700</v>
      </c>
      <c r="E45" s="8">
        <v>774.73</v>
      </c>
      <c r="F45" s="8">
        <v>1</v>
      </c>
      <c r="G45" s="11">
        <f>D45/E45</f>
        <v>20.265124624062576</v>
      </c>
      <c r="H45" s="7"/>
      <c r="I45" s="7"/>
      <c r="J45" s="8" t="s">
        <v>76</v>
      </c>
      <c r="K45" s="8">
        <v>101.15</v>
      </c>
      <c r="L45" s="46">
        <f>45.6*K45</f>
        <v>4612.4400000000005</v>
      </c>
      <c r="M45" s="42" t="s">
        <v>27</v>
      </c>
      <c r="N45" s="45">
        <v>50600</v>
      </c>
      <c r="O45" s="1">
        <v>0.88300000000000001</v>
      </c>
      <c r="P45" s="11">
        <f>N45*O45</f>
        <v>44679.8</v>
      </c>
      <c r="Q45" s="8"/>
      <c r="R45" s="8"/>
      <c r="S45" s="7"/>
      <c r="T45" s="7"/>
      <c r="U45" s="7"/>
      <c r="V45" s="11">
        <f>T45*U45</f>
        <v>0</v>
      </c>
    </row>
    <row r="46" spans="1:22" ht="14.45" x14ac:dyDescent="0.3">
      <c r="A46" s="86" t="s">
        <v>93</v>
      </c>
      <c r="C46" s="69" t="s">
        <v>124</v>
      </c>
      <c r="D46" s="8">
        <v>7120</v>
      </c>
      <c r="E46" s="8">
        <v>313.37</v>
      </c>
      <c r="F46" s="8">
        <f>G46/G45</f>
        <v>1.1211747209145535</v>
      </c>
      <c r="G46" s="11">
        <f>D46/E46</f>
        <v>22.720745444682006</v>
      </c>
      <c r="H46" s="1"/>
      <c r="I46" s="1"/>
      <c r="J46" s="25" t="s">
        <v>87</v>
      </c>
      <c r="K46" s="26">
        <v>136.58000000000001</v>
      </c>
      <c r="L46" s="46">
        <f>22.9*K46</f>
        <v>3127.6820000000002</v>
      </c>
      <c r="M46" s="42"/>
      <c r="N46" s="2"/>
      <c r="O46" s="1"/>
      <c r="P46" s="11">
        <f>N46*O46</f>
        <v>0</v>
      </c>
      <c r="Q46" s="8"/>
      <c r="R46" s="8"/>
      <c r="S46" s="7"/>
      <c r="T46" s="7"/>
      <c r="U46" s="7"/>
      <c r="V46" s="11">
        <f t="shared" ref="V46" si="2">T46*U46</f>
        <v>0</v>
      </c>
    </row>
    <row r="47" spans="1:22" ht="14.45" x14ac:dyDescent="0.3">
      <c r="C47" s="10" t="s">
        <v>4</v>
      </c>
      <c r="D47" s="11">
        <f>SUM(D45:D46)</f>
        <v>22820</v>
      </c>
      <c r="E47" s="11">
        <f>SUM(E45:E46)</f>
        <v>1088.0999999999999</v>
      </c>
      <c r="F47" s="10"/>
      <c r="G47" s="165">
        <f>SUM(G45:G46)</f>
        <v>42.985870068744582</v>
      </c>
      <c r="I47" s="23">
        <f>SUM(I45:I46)</f>
        <v>0</v>
      </c>
      <c r="L47" s="47">
        <f>SUM(L45:L46)</f>
        <v>7740.1220000000012</v>
      </c>
      <c r="N47" s="89">
        <f>SUM(N45:N46)</f>
        <v>50600</v>
      </c>
      <c r="P47" s="23">
        <f>SUM(P45:P46)</f>
        <v>44679.8</v>
      </c>
      <c r="R47" s="23">
        <f>SUM(R45:R46)</f>
        <v>0</v>
      </c>
      <c r="V47" s="23">
        <f>SUM(V45:V46)</f>
        <v>0</v>
      </c>
    </row>
    <row r="48" spans="1:22" ht="14.45" x14ac:dyDescent="0.3">
      <c r="C48" s="4"/>
      <c r="D48" s="3"/>
      <c r="E48" s="3"/>
      <c r="F48" s="3"/>
      <c r="G48" s="4"/>
      <c r="H48" s="4"/>
      <c r="I48" s="4"/>
      <c r="M48" s="49"/>
      <c r="N48" s="4"/>
      <c r="O48" s="4"/>
      <c r="P48" s="4"/>
      <c r="Q48" s="4"/>
      <c r="R48" s="4"/>
      <c r="S48" s="4"/>
      <c r="T48" s="4"/>
      <c r="U48" s="4"/>
      <c r="V48" s="4"/>
    </row>
    <row r="49" spans="1:22" ht="14.45" x14ac:dyDescent="0.3">
      <c r="C49" s="4"/>
      <c r="D49" s="3"/>
      <c r="E49" s="3"/>
      <c r="F49" s="3"/>
      <c r="G49" s="4"/>
      <c r="H49" s="4"/>
      <c r="K49" s="162" t="s">
        <v>133</v>
      </c>
      <c r="L49" s="96">
        <f>(T51/G45)*100</f>
        <v>84.305863862193149</v>
      </c>
      <c r="M49" s="49"/>
      <c r="O49" s="4"/>
      <c r="P49" s="4"/>
      <c r="Q49" s="4"/>
      <c r="R49" s="4"/>
      <c r="S49" s="4"/>
    </row>
    <row r="50" spans="1:22" ht="14.45" x14ac:dyDescent="0.3">
      <c r="C50" s="4"/>
      <c r="D50" s="3"/>
      <c r="E50" s="3"/>
      <c r="F50" s="3"/>
      <c r="G50" s="4"/>
      <c r="H50" s="4"/>
      <c r="K50" s="159" t="s">
        <v>134</v>
      </c>
      <c r="L50" s="97">
        <f>(S51/(E47)*100)</f>
        <v>82.518150905247694</v>
      </c>
      <c r="M50" s="49"/>
      <c r="R50" s="5" t="s">
        <v>11</v>
      </c>
      <c r="S50" s="5" t="s">
        <v>12</v>
      </c>
      <c r="T50" s="5" t="s">
        <v>0</v>
      </c>
    </row>
    <row r="51" spans="1:22" ht="14.45" x14ac:dyDescent="0.3">
      <c r="C51" s="4"/>
      <c r="D51" s="3"/>
      <c r="E51" s="3"/>
      <c r="F51" s="3"/>
      <c r="G51" s="4"/>
      <c r="H51" s="4"/>
      <c r="K51" s="162" t="s">
        <v>135</v>
      </c>
      <c r="L51" s="96">
        <f>(R51/D47)*100</f>
        <v>67.221735319894833</v>
      </c>
      <c r="P51" s="4"/>
      <c r="Q51" s="5" t="s">
        <v>3</v>
      </c>
      <c r="R51" s="9">
        <v>15340</v>
      </c>
      <c r="S51" s="9">
        <v>897.88</v>
      </c>
      <c r="T51" s="22">
        <f>R51/S51</f>
        <v>17.084688377065977</v>
      </c>
    </row>
    <row r="52" spans="1:22" ht="16.149999999999999" x14ac:dyDescent="0.3">
      <c r="C52" s="4"/>
      <c r="D52" s="3"/>
      <c r="E52" s="3"/>
      <c r="F52" s="3"/>
      <c r="G52" s="4"/>
      <c r="H52" s="4"/>
      <c r="K52" s="159" t="s">
        <v>136</v>
      </c>
      <c r="L52" s="13">
        <f>(D47+I47+L47+P47+R47+V47)/R51</f>
        <v>4.9048189048239896</v>
      </c>
      <c r="O52" s="4"/>
      <c r="P52" s="4"/>
      <c r="S52" s="83"/>
      <c r="T52" s="3"/>
    </row>
    <row r="53" spans="1:22" ht="16.149999999999999" x14ac:dyDescent="0.3">
      <c r="C53" s="4"/>
      <c r="D53" s="3"/>
      <c r="E53" s="3"/>
      <c r="F53" s="3"/>
      <c r="G53" s="4"/>
      <c r="H53" s="4"/>
      <c r="I53" s="4"/>
      <c r="K53" s="163" t="s">
        <v>137</v>
      </c>
      <c r="L53" s="15">
        <f>(D47+I47+L47)/R51</f>
        <v>1.9921852672750979</v>
      </c>
      <c r="N53" s="163" t="s">
        <v>139</v>
      </c>
      <c r="O53" s="93">
        <f>G45/N47*1000</f>
        <v>0.40049653407238289</v>
      </c>
      <c r="P53" s="4"/>
      <c r="S53" s="4"/>
    </row>
    <row r="54" spans="1:22" ht="17.25" x14ac:dyDescent="0.25">
      <c r="C54" s="4"/>
      <c r="D54" s="3"/>
      <c r="E54" s="3"/>
      <c r="F54" s="3"/>
      <c r="G54" s="4"/>
      <c r="H54" s="4"/>
      <c r="I54" s="4"/>
      <c r="K54" s="164" t="s">
        <v>138</v>
      </c>
      <c r="L54" s="16">
        <f>(P47+V47)/R51</f>
        <v>2.9126336375488919</v>
      </c>
      <c r="M54" s="4"/>
      <c r="N54" s="4"/>
      <c r="O54" s="4"/>
      <c r="P54" s="4"/>
      <c r="U54" s="4"/>
      <c r="V54" s="4"/>
    </row>
    <row r="55" spans="1:22" x14ac:dyDescent="0.25">
      <c r="C55" s="6"/>
      <c r="D55"/>
      <c r="E55" s="3"/>
      <c r="F55" s="3"/>
      <c r="G55" s="4"/>
      <c r="H55" s="4"/>
      <c r="I55" s="4"/>
      <c r="K55" s="4"/>
      <c r="L55" s="4"/>
      <c r="M55" s="4"/>
      <c r="P55" s="4"/>
      <c r="Q55" s="4"/>
      <c r="R55" s="4"/>
      <c r="S55" s="4"/>
      <c r="T55" s="4"/>
      <c r="U55" s="4"/>
      <c r="V55" s="4"/>
    </row>
    <row r="56" spans="1:22" x14ac:dyDescent="0.25">
      <c r="C56" s="6"/>
      <c r="D56"/>
      <c r="E56" s="3"/>
      <c r="F56" s="3"/>
      <c r="G56" s="4"/>
      <c r="H56" s="4"/>
      <c r="I56" s="4"/>
      <c r="M56" s="4"/>
      <c r="N56" s="4"/>
      <c r="O56" s="4"/>
      <c r="P56" s="4"/>
      <c r="Q56" s="4"/>
      <c r="R56" s="4"/>
      <c r="S56" s="4"/>
      <c r="T56" s="4"/>
      <c r="U56" s="4"/>
      <c r="V56" s="4"/>
    </row>
    <row r="57" spans="1:22" s="29" customFormat="1" x14ac:dyDescent="0.25">
      <c r="A57" s="28" t="s">
        <v>128</v>
      </c>
      <c r="D57" s="30"/>
      <c r="E57" s="30"/>
      <c r="F57" s="30"/>
    </row>
    <row r="58" spans="1:22" x14ac:dyDescent="0.25">
      <c r="B58" s="4"/>
      <c r="C58" s="6" t="s">
        <v>26</v>
      </c>
      <c r="D58" s="83"/>
      <c r="E58" s="83"/>
      <c r="F58" s="83"/>
    </row>
    <row r="59" spans="1:22" ht="32.25" x14ac:dyDescent="0.25">
      <c r="C59" s="17" t="s">
        <v>14</v>
      </c>
      <c r="D59" s="20" t="s">
        <v>21</v>
      </c>
      <c r="E59" s="20" t="s">
        <v>94</v>
      </c>
      <c r="F59" s="17" t="s">
        <v>13</v>
      </c>
      <c r="G59" s="17" t="s">
        <v>15</v>
      </c>
      <c r="H59" s="18" t="s">
        <v>1</v>
      </c>
      <c r="I59" s="19" t="s">
        <v>25</v>
      </c>
      <c r="J59" s="17" t="s">
        <v>2</v>
      </c>
      <c r="K59" s="20" t="s">
        <v>94</v>
      </c>
      <c r="L59" s="20" t="s">
        <v>22</v>
      </c>
      <c r="M59" s="19" t="s">
        <v>8</v>
      </c>
      <c r="N59" s="19" t="s">
        <v>16</v>
      </c>
      <c r="O59" s="19" t="s">
        <v>17</v>
      </c>
      <c r="P59" s="19" t="s">
        <v>18</v>
      </c>
      <c r="Q59" s="20" t="s">
        <v>10</v>
      </c>
      <c r="R59" s="20" t="s">
        <v>23</v>
      </c>
      <c r="S59" s="19" t="s">
        <v>9</v>
      </c>
      <c r="T59" s="19" t="s">
        <v>19</v>
      </c>
      <c r="U59" s="19" t="s">
        <v>20</v>
      </c>
      <c r="V59" s="19" t="s">
        <v>24</v>
      </c>
    </row>
    <row r="60" spans="1:22" x14ac:dyDescent="0.25">
      <c r="A60" s="41" t="s">
        <v>184</v>
      </c>
      <c r="C60" s="176" t="s">
        <v>57</v>
      </c>
      <c r="D60" s="56">
        <v>63000</v>
      </c>
      <c r="E60" s="8">
        <v>212.2</v>
      </c>
      <c r="F60" s="8">
        <v>1</v>
      </c>
      <c r="G60" s="11">
        <v>296.88972667295008</v>
      </c>
      <c r="H60" s="7"/>
      <c r="I60" s="7"/>
      <c r="J60" s="8" t="s">
        <v>58</v>
      </c>
      <c r="K60" s="8">
        <v>162.15</v>
      </c>
      <c r="L60" s="46">
        <v>60650</v>
      </c>
      <c r="M60" s="42" t="s">
        <v>40</v>
      </c>
      <c r="N60" s="45">
        <v>371112</v>
      </c>
      <c r="O60" s="1">
        <v>0.89500000000000002</v>
      </c>
      <c r="P60" s="11">
        <v>332145.24</v>
      </c>
      <c r="Q60" s="8"/>
      <c r="R60" s="8"/>
      <c r="S60" s="7"/>
      <c r="T60" s="7"/>
      <c r="U60" s="7"/>
      <c r="V60" s="11">
        <v>0</v>
      </c>
    </row>
    <row r="61" spans="1:22" x14ac:dyDescent="0.25">
      <c r="A61" s="86" t="s">
        <v>92</v>
      </c>
      <c r="C61" s="8" t="s">
        <v>59</v>
      </c>
      <c r="D61" s="8">
        <v>63420</v>
      </c>
      <c r="E61" s="8">
        <v>194.28</v>
      </c>
      <c r="F61" s="8">
        <v>1.1399999999999999</v>
      </c>
      <c r="G61" s="11">
        <v>326.43607164916614</v>
      </c>
      <c r="H61" s="1"/>
      <c r="I61" s="1"/>
      <c r="J61" s="25" t="s">
        <v>60</v>
      </c>
      <c r="K61" s="26">
        <v>138.21</v>
      </c>
      <c r="L61" s="46">
        <v>41000</v>
      </c>
      <c r="M61" s="42" t="s">
        <v>40</v>
      </c>
      <c r="N61" s="45">
        <v>371112</v>
      </c>
      <c r="O61" s="1">
        <v>0.89500000000000002</v>
      </c>
      <c r="P61" s="11">
        <v>332145.24</v>
      </c>
      <c r="Q61" s="8"/>
      <c r="R61" s="8"/>
      <c r="S61" s="7"/>
      <c r="T61" s="7"/>
      <c r="U61" s="7"/>
      <c r="V61" s="11">
        <v>0</v>
      </c>
    </row>
    <row r="62" spans="1:22" x14ac:dyDescent="0.25">
      <c r="A62" s="52"/>
      <c r="C62" s="10" t="s">
        <v>4</v>
      </c>
      <c r="D62" s="11">
        <v>126420</v>
      </c>
      <c r="E62" s="11">
        <v>406.48</v>
      </c>
      <c r="F62" s="10"/>
      <c r="G62" s="165">
        <v>623.32579832211627</v>
      </c>
      <c r="I62" s="23">
        <v>0</v>
      </c>
      <c r="L62" s="47">
        <v>101650</v>
      </c>
      <c r="N62" s="95">
        <v>742224</v>
      </c>
      <c r="P62" s="23">
        <v>664290.48</v>
      </c>
      <c r="R62" s="23">
        <v>0</v>
      </c>
      <c r="V62" s="23">
        <v>0</v>
      </c>
    </row>
    <row r="63" spans="1:22" x14ac:dyDescent="0.25">
      <c r="A63" s="52"/>
      <c r="C63" s="4"/>
      <c r="D63" s="3"/>
      <c r="E63" s="3"/>
      <c r="F63" s="3"/>
      <c r="G63" s="4"/>
      <c r="H63" s="4"/>
      <c r="I63" s="4"/>
      <c r="M63" s="49"/>
      <c r="N63" s="4"/>
      <c r="O63" s="4"/>
      <c r="P63" s="4"/>
      <c r="Q63" s="4"/>
      <c r="R63" s="4"/>
      <c r="S63" s="4"/>
      <c r="T63" s="4"/>
      <c r="U63" s="4"/>
      <c r="V63" s="4"/>
    </row>
    <row r="64" spans="1:22" x14ac:dyDescent="0.25">
      <c r="A64" s="52"/>
      <c r="C64" s="4"/>
      <c r="D64" s="3"/>
      <c r="E64" s="3"/>
      <c r="F64" s="3"/>
      <c r="G64" s="4"/>
      <c r="H64" s="4"/>
      <c r="K64" s="162" t="s">
        <v>133</v>
      </c>
      <c r="L64" s="96">
        <f>(T66/G60)*100</f>
        <v>90</v>
      </c>
      <c r="M64" s="49"/>
      <c r="O64" s="4"/>
      <c r="P64" s="4"/>
      <c r="Q64" s="4"/>
      <c r="R64" s="4"/>
      <c r="S64" s="4"/>
    </row>
    <row r="65" spans="1:22" x14ac:dyDescent="0.25">
      <c r="A65" s="52"/>
      <c r="C65" s="4"/>
      <c r="D65" s="3"/>
      <c r="E65" s="3"/>
      <c r="F65" s="3"/>
      <c r="G65" s="4"/>
      <c r="H65" s="4"/>
      <c r="K65" s="159" t="s">
        <v>134</v>
      </c>
      <c r="L65" s="97">
        <f>(S66/(E62)*100)</f>
        <v>95.566817555599286</v>
      </c>
      <c r="M65" s="49"/>
      <c r="R65" s="5" t="s">
        <v>11</v>
      </c>
      <c r="S65" s="5" t="s">
        <v>12</v>
      </c>
      <c r="T65" s="5" t="s">
        <v>0</v>
      </c>
    </row>
    <row r="66" spans="1:22" x14ac:dyDescent="0.25">
      <c r="A66" s="52"/>
      <c r="C66" s="4"/>
      <c r="D66" s="3"/>
      <c r="E66" s="3"/>
      <c r="F66" s="3"/>
      <c r="G66" s="4"/>
      <c r="H66" s="4"/>
      <c r="K66" s="162" t="s">
        <v>135</v>
      </c>
      <c r="L66" s="96">
        <f>(R66/D62)*100</f>
        <v>82.104734140987787</v>
      </c>
      <c r="P66" s="4"/>
      <c r="Q66" s="5" t="s">
        <v>3</v>
      </c>
      <c r="R66" s="9">
        <f>T66*S66</f>
        <v>103796.80490103677</v>
      </c>
      <c r="S66" s="9">
        <v>388.46</v>
      </c>
      <c r="T66" s="22">
        <f>G60*0.9</f>
        <v>267.20075400565509</v>
      </c>
    </row>
    <row r="67" spans="1:22" ht="17.25" x14ac:dyDescent="0.25">
      <c r="A67" s="52"/>
      <c r="C67" s="4"/>
      <c r="D67" s="3"/>
      <c r="E67" s="3"/>
      <c r="F67" s="3"/>
      <c r="G67" s="4"/>
      <c r="H67" s="4"/>
      <c r="K67" s="159" t="s">
        <v>136</v>
      </c>
      <c r="L67" s="13">
        <f>(D62+I62+L62+P62+R62+V62)/R66</f>
        <v>8.5971864052155098</v>
      </c>
      <c r="O67" s="4"/>
      <c r="P67" s="4"/>
      <c r="S67" s="83"/>
      <c r="T67" s="3"/>
    </row>
    <row r="68" spans="1:22" ht="17.25" x14ac:dyDescent="0.25">
      <c r="A68" s="52"/>
      <c r="C68" s="4"/>
      <c r="D68" s="3"/>
      <c r="E68" s="3"/>
      <c r="F68" s="3"/>
      <c r="G68" s="4"/>
      <c r="H68" s="4"/>
      <c r="I68" s="4"/>
      <c r="K68" s="163" t="s">
        <v>137</v>
      </c>
      <c r="L68" s="15">
        <f>(D62+I62+L62)/R66</f>
        <v>2.1972738006478072</v>
      </c>
      <c r="N68" s="163" t="s">
        <v>139</v>
      </c>
      <c r="O68" s="93">
        <f>G60/N62*1000</f>
        <v>0.40000017066673954</v>
      </c>
      <c r="P68" s="4"/>
      <c r="S68" s="4"/>
    </row>
    <row r="69" spans="1:22" ht="17.25" x14ac:dyDescent="0.25">
      <c r="A69" s="52"/>
      <c r="C69" s="4"/>
      <c r="D69" s="3"/>
      <c r="E69" s="3"/>
      <c r="F69" s="3"/>
      <c r="G69" s="4"/>
      <c r="H69" s="4"/>
      <c r="I69" s="4"/>
      <c r="K69" s="164" t="s">
        <v>138</v>
      </c>
      <c r="L69" s="16">
        <f>(P62+V62)/R66</f>
        <v>6.3999126045677031</v>
      </c>
      <c r="M69" s="4"/>
      <c r="N69" s="4"/>
      <c r="O69" s="4"/>
      <c r="P69" s="4"/>
      <c r="U69" s="4"/>
      <c r="V69" s="4"/>
    </row>
    <row r="70" spans="1:22" x14ac:dyDescent="0.25">
      <c r="A70" s="52"/>
      <c r="C70" s="6"/>
      <c r="D70"/>
      <c r="E70" s="3"/>
      <c r="F70" s="3"/>
      <c r="G70" s="4"/>
      <c r="H70" s="4"/>
      <c r="I70" s="4"/>
      <c r="K70" s="4"/>
      <c r="L70" s="4"/>
      <c r="M70" s="4"/>
      <c r="P70" s="4"/>
      <c r="Q70" s="4"/>
      <c r="R70" s="4"/>
      <c r="S70" s="4"/>
      <c r="T70" s="4"/>
      <c r="U70" s="4"/>
      <c r="V70" s="4"/>
    </row>
    <row r="71" spans="1:22" x14ac:dyDescent="0.25">
      <c r="A71" s="52"/>
      <c r="B71" s="4"/>
      <c r="C71" s="6" t="s">
        <v>26</v>
      </c>
      <c r="D71" s="83"/>
      <c r="E71" s="83"/>
      <c r="F71" s="83"/>
    </row>
    <row r="72" spans="1:22" ht="32.25" x14ac:dyDescent="0.25">
      <c r="A72" s="52"/>
      <c r="C72" s="17" t="s">
        <v>14</v>
      </c>
      <c r="D72" s="20" t="s">
        <v>21</v>
      </c>
      <c r="E72" s="20" t="s">
        <v>94</v>
      </c>
      <c r="F72" s="17" t="s">
        <v>13</v>
      </c>
      <c r="G72" s="17" t="s">
        <v>15</v>
      </c>
      <c r="H72" s="18" t="s">
        <v>1</v>
      </c>
      <c r="I72" s="19" t="s">
        <v>25</v>
      </c>
      <c r="J72" s="17" t="s">
        <v>2</v>
      </c>
      <c r="K72" s="20" t="s">
        <v>94</v>
      </c>
      <c r="L72" s="20" t="s">
        <v>22</v>
      </c>
      <c r="M72" s="19" t="s">
        <v>8</v>
      </c>
      <c r="N72" s="19" t="s">
        <v>16</v>
      </c>
      <c r="O72" s="19" t="s">
        <v>17</v>
      </c>
      <c r="P72" s="19" t="s">
        <v>18</v>
      </c>
      <c r="Q72" s="20" t="s">
        <v>10</v>
      </c>
      <c r="R72" s="20" t="s">
        <v>23</v>
      </c>
      <c r="S72" s="19" t="s">
        <v>9</v>
      </c>
      <c r="T72" s="19" t="s">
        <v>19</v>
      </c>
      <c r="U72" s="19" t="s">
        <v>20</v>
      </c>
      <c r="V72" s="19" t="s">
        <v>24</v>
      </c>
    </row>
    <row r="73" spans="1:22" x14ac:dyDescent="0.25">
      <c r="A73" s="41" t="s">
        <v>197</v>
      </c>
      <c r="C73" s="172" t="s">
        <v>119</v>
      </c>
      <c r="D73" s="56">
        <v>15700</v>
      </c>
      <c r="E73" s="8">
        <v>774.73</v>
      </c>
      <c r="F73" s="8">
        <v>1</v>
      </c>
      <c r="G73" s="11">
        <f>D73/E73</f>
        <v>20.265124624062576</v>
      </c>
      <c r="H73" s="7"/>
      <c r="I73" s="7"/>
      <c r="J73" s="8" t="s">
        <v>76</v>
      </c>
      <c r="K73" s="8">
        <v>101.15</v>
      </c>
      <c r="L73" s="46">
        <f>45.6*K73</f>
        <v>4612.4400000000005</v>
      </c>
      <c r="M73" s="42" t="s">
        <v>27</v>
      </c>
      <c r="N73" s="45">
        <v>110000</v>
      </c>
      <c r="O73" s="1">
        <v>0.88300000000000001</v>
      </c>
      <c r="P73" s="11">
        <f>N73*O73</f>
        <v>97130</v>
      </c>
      <c r="Q73" s="8"/>
      <c r="R73" s="8"/>
      <c r="S73" s="7"/>
      <c r="T73" s="7"/>
      <c r="U73" s="7"/>
      <c r="V73" s="11">
        <f>T73*U73</f>
        <v>0</v>
      </c>
    </row>
    <row r="74" spans="1:22" x14ac:dyDescent="0.25">
      <c r="A74" s="86" t="s">
        <v>93</v>
      </c>
      <c r="C74" s="69" t="s">
        <v>124</v>
      </c>
      <c r="D74" s="8">
        <v>7120</v>
      </c>
      <c r="E74" s="8">
        <v>313.37</v>
      </c>
      <c r="F74" s="8">
        <f>G74/G73</f>
        <v>1.1211747209145535</v>
      </c>
      <c r="G74" s="11">
        <f>D74/E74</f>
        <v>22.720745444682006</v>
      </c>
      <c r="H74" s="1"/>
      <c r="I74" s="1"/>
      <c r="J74" s="25" t="s">
        <v>87</v>
      </c>
      <c r="K74" s="26">
        <v>136.58000000000001</v>
      </c>
      <c r="L74" s="46">
        <f>22.9*K74</f>
        <v>3127.6820000000002</v>
      </c>
      <c r="M74" s="42"/>
      <c r="N74" s="2"/>
      <c r="O74" s="1"/>
      <c r="P74" s="11"/>
      <c r="Q74" s="8"/>
      <c r="R74" s="8"/>
      <c r="S74" s="7"/>
      <c r="T74" s="7"/>
      <c r="U74" s="7"/>
      <c r="V74" s="11">
        <f t="shared" ref="V74" si="3">T74*U74</f>
        <v>0</v>
      </c>
    </row>
    <row r="75" spans="1:22" x14ac:dyDescent="0.25">
      <c r="C75" s="10" t="s">
        <v>4</v>
      </c>
      <c r="D75" s="11">
        <f>SUM(D73:D74)</f>
        <v>22820</v>
      </c>
      <c r="E75" s="11">
        <f>SUM(E73:E74)</f>
        <v>1088.0999999999999</v>
      </c>
      <c r="F75" s="10"/>
      <c r="G75" s="165">
        <f>SUM(G73:G74)</f>
        <v>42.985870068744582</v>
      </c>
      <c r="I75" s="23">
        <f>SUM(I73:I74)</f>
        <v>0</v>
      </c>
      <c r="L75" s="47">
        <f>SUM(L73:L74)</f>
        <v>7740.1220000000012</v>
      </c>
      <c r="N75" s="89">
        <f>SUM(N73:N74)</f>
        <v>110000</v>
      </c>
      <c r="P75" s="23">
        <f>SUM(P73:P74)</f>
        <v>97130</v>
      </c>
      <c r="R75" s="23">
        <f>SUM(R73:R74)</f>
        <v>0</v>
      </c>
      <c r="V75" s="23">
        <f>SUM(V73:V74)</f>
        <v>0</v>
      </c>
    </row>
    <row r="76" spans="1:22" x14ac:dyDescent="0.25">
      <c r="C76" s="4"/>
      <c r="D76" s="3"/>
      <c r="E76" s="3"/>
      <c r="F76" s="3"/>
      <c r="G76" s="4"/>
      <c r="H76" s="4"/>
      <c r="I76" s="4"/>
      <c r="M76" s="49"/>
      <c r="N76" s="4"/>
      <c r="O76" s="4"/>
      <c r="P76" s="4"/>
      <c r="Q76" s="4"/>
      <c r="R76" s="4"/>
      <c r="S76" s="4"/>
      <c r="T76" s="4"/>
      <c r="U76" s="4"/>
      <c r="V76" s="4"/>
    </row>
    <row r="77" spans="1:22" x14ac:dyDescent="0.25">
      <c r="C77" s="4"/>
      <c r="D77" s="3"/>
      <c r="E77" s="3"/>
      <c r="F77" s="3"/>
      <c r="G77" s="4"/>
      <c r="H77" s="4"/>
      <c r="K77" s="162" t="s">
        <v>133</v>
      </c>
      <c r="L77" s="96">
        <f>(T79/G73)*100</f>
        <v>90.000000000000014</v>
      </c>
      <c r="M77" s="49"/>
      <c r="O77" s="4"/>
      <c r="P77" s="4"/>
      <c r="Q77" s="4"/>
      <c r="R77" s="4"/>
      <c r="S77" s="4"/>
    </row>
    <row r="78" spans="1:22" x14ac:dyDescent="0.25">
      <c r="C78" s="4"/>
      <c r="D78" s="3"/>
      <c r="E78" s="3"/>
      <c r="F78" s="3"/>
      <c r="G78" s="4"/>
      <c r="H78" s="4"/>
      <c r="K78" s="159" t="s">
        <v>134</v>
      </c>
      <c r="L78" s="97">
        <f>(S79/(E75)*100)</f>
        <v>82.518150905247694</v>
      </c>
      <c r="M78" s="49"/>
      <c r="R78" s="5" t="s">
        <v>11</v>
      </c>
      <c r="S78" s="5" t="s">
        <v>12</v>
      </c>
      <c r="T78" s="5" t="s">
        <v>0</v>
      </c>
    </row>
    <row r="79" spans="1:22" x14ac:dyDescent="0.25">
      <c r="C79" s="4"/>
      <c r="D79" s="3"/>
      <c r="E79" s="3"/>
      <c r="F79" s="3"/>
      <c r="G79" s="4"/>
      <c r="H79" s="4"/>
      <c r="K79" s="162" t="s">
        <v>135</v>
      </c>
      <c r="L79" s="96">
        <f>(R79/D75)*100</f>
        <v>71.761985485135753</v>
      </c>
      <c r="P79" s="4"/>
      <c r="Q79" s="5" t="s">
        <v>3</v>
      </c>
      <c r="R79" s="9">
        <f>T79*S79</f>
        <v>16376.085087707977</v>
      </c>
      <c r="S79" s="9">
        <v>897.88</v>
      </c>
      <c r="T79" s="22">
        <f>G73*0.9</f>
        <v>18.23861216165632</v>
      </c>
    </row>
    <row r="80" spans="1:22" ht="17.25" x14ac:dyDescent="0.25">
      <c r="C80" s="4"/>
      <c r="D80" s="3"/>
      <c r="E80" s="3"/>
      <c r="F80" s="3"/>
      <c r="G80" s="4"/>
      <c r="H80" s="4"/>
      <c r="K80" s="159" t="s">
        <v>136</v>
      </c>
      <c r="L80" s="13">
        <f>(D75+I75+L75+P75+R75+V75)/R79</f>
        <v>7.7973533549752529</v>
      </c>
      <c r="O80" s="4"/>
      <c r="P80" s="4"/>
      <c r="S80" s="83"/>
      <c r="T80" s="3"/>
    </row>
    <row r="81" spans="1:22" ht="17.25" x14ac:dyDescent="0.25">
      <c r="C81" s="4"/>
      <c r="D81" s="3"/>
      <c r="E81" s="3"/>
      <c r="F81" s="3"/>
      <c r="G81" s="4"/>
      <c r="H81" s="4"/>
      <c r="I81" s="4"/>
      <c r="K81" s="163" t="s">
        <v>137</v>
      </c>
      <c r="L81" s="15">
        <f>(D75+I75+L75)/R79</f>
        <v>1.8661433325684587</v>
      </c>
      <c r="N81" s="163" t="s">
        <v>139</v>
      </c>
      <c r="O81" s="93">
        <f>G73/N75*1000</f>
        <v>0.18422840567329615</v>
      </c>
      <c r="P81" s="4"/>
      <c r="S81" s="4"/>
    </row>
    <row r="82" spans="1:22" ht="17.25" x14ac:dyDescent="0.25">
      <c r="C82" s="4"/>
      <c r="D82" s="3"/>
      <c r="E82" s="3"/>
      <c r="F82" s="3"/>
      <c r="G82" s="4"/>
      <c r="H82" s="4"/>
      <c r="I82" s="4"/>
      <c r="K82" s="164" t="s">
        <v>138</v>
      </c>
      <c r="L82" s="16">
        <f>(P75+V75)/R79</f>
        <v>5.9312100224067938</v>
      </c>
      <c r="M82" s="4"/>
      <c r="N82" s="4"/>
      <c r="O82" s="4"/>
      <c r="P82" s="4"/>
      <c r="U82" s="4"/>
      <c r="V82" s="4"/>
    </row>
    <row r="83" spans="1:22" x14ac:dyDescent="0.25">
      <c r="C83" s="6"/>
      <c r="D83"/>
      <c r="E83" s="3"/>
      <c r="F83" s="3"/>
      <c r="G83" s="4"/>
      <c r="H83" s="4"/>
      <c r="I83" s="4"/>
      <c r="K83" s="4"/>
      <c r="L83" s="4"/>
      <c r="M83" s="4"/>
      <c r="P83" s="4"/>
      <c r="Q83" s="4"/>
      <c r="R83" s="4"/>
      <c r="S83" s="4"/>
      <c r="T83" s="4"/>
      <c r="U83" s="4"/>
      <c r="V83" s="4"/>
    </row>
    <row r="84" spans="1:22" x14ac:dyDescent="0.25">
      <c r="C84" s="6"/>
      <c r="D84"/>
      <c r="E84" s="3"/>
      <c r="F84" s="3"/>
      <c r="G84" s="4"/>
      <c r="H84" s="4"/>
      <c r="I84" s="4"/>
      <c r="M84" s="4"/>
      <c r="N84" s="4"/>
      <c r="O84" s="4"/>
      <c r="P84" s="4"/>
      <c r="Q84" s="4"/>
      <c r="R84" s="4"/>
      <c r="S84" s="4"/>
      <c r="T84" s="4"/>
      <c r="U84" s="4"/>
      <c r="V84" s="4"/>
    </row>
    <row r="85" spans="1:22" s="29" customFormat="1" x14ac:dyDescent="0.25">
      <c r="A85" s="28" t="s">
        <v>129</v>
      </c>
      <c r="D85" s="30"/>
      <c r="E85" s="30"/>
      <c r="F85" s="30"/>
    </row>
    <row r="86" spans="1:22" x14ac:dyDescent="0.25">
      <c r="B86" s="4"/>
      <c r="C86" s="6" t="s">
        <v>26</v>
      </c>
      <c r="D86" s="83"/>
      <c r="E86" s="83"/>
      <c r="F86" s="83"/>
    </row>
    <row r="87" spans="1:22" ht="32.25" x14ac:dyDescent="0.25">
      <c r="C87" s="17" t="s">
        <v>14</v>
      </c>
      <c r="D87" s="20" t="s">
        <v>21</v>
      </c>
      <c r="E87" s="20" t="s">
        <v>94</v>
      </c>
      <c r="F87" s="17" t="s">
        <v>13</v>
      </c>
      <c r="G87" s="17" t="s">
        <v>15</v>
      </c>
      <c r="H87" s="18" t="s">
        <v>1</v>
      </c>
      <c r="I87" s="19" t="s">
        <v>25</v>
      </c>
      <c r="J87" s="17" t="s">
        <v>2</v>
      </c>
      <c r="K87" s="20" t="s">
        <v>94</v>
      </c>
      <c r="L87" s="20" t="s">
        <v>22</v>
      </c>
      <c r="M87" s="19" t="s">
        <v>8</v>
      </c>
      <c r="N87" s="19" t="s">
        <v>16</v>
      </c>
      <c r="O87" s="19" t="s">
        <v>17</v>
      </c>
      <c r="P87" s="19" t="s">
        <v>18</v>
      </c>
      <c r="Q87" s="20" t="s">
        <v>10</v>
      </c>
      <c r="R87" s="20" t="s">
        <v>23</v>
      </c>
      <c r="S87" s="19" t="s">
        <v>9</v>
      </c>
      <c r="T87" s="19" t="s">
        <v>19</v>
      </c>
      <c r="U87" s="19" t="s">
        <v>20</v>
      </c>
      <c r="V87" s="19" t="s">
        <v>24</v>
      </c>
    </row>
    <row r="88" spans="1:22" x14ac:dyDescent="0.25">
      <c r="A88" s="41" t="s">
        <v>184</v>
      </c>
      <c r="C88" s="176" t="s">
        <v>57</v>
      </c>
      <c r="D88" s="56">
        <v>63000</v>
      </c>
      <c r="E88" s="8">
        <v>212.2</v>
      </c>
      <c r="F88" s="8">
        <v>1</v>
      </c>
      <c r="G88" s="11">
        <v>296.88972667295008</v>
      </c>
      <c r="H88" s="7"/>
      <c r="I88" s="7"/>
      <c r="J88" s="8" t="s">
        <v>58</v>
      </c>
      <c r="K88" s="8">
        <v>162.15</v>
      </c>
      <c r="L88" s="46">
        <v>60650</v>
      </c>
      <c r="M88" s="42" t="s">
        <v>40</v>
      </c>
      <c r="N88" s="45">
        <v>371112</v>
      </c>
      <c r="O88" s="1">
        <v>0.89500000000000002</v>
      </c>
      <c r="P88" s="11">
        <v>332145.24</v>
      </c>
      <c r="Q88" s="8"/>
      <c r="R88" s="8"/>
      <c r="S88" s="7"/>
      <c r="T88" s="7"/>
      <c r="U88" s="7"/>
      <c r="V88" s="11">
        <v>0</v>
      </c>
    </row>
    <row r="89" spans="1:22" x14ac:dyDescent="0.25">
      <c r="A89" s="86" t="s">
        <v>92</v>
      </c>
      <c r="C89" s="8" t="s">
        <v>59</v>
      </c>
      <c r="D89" s="8">
        <v>63420</v>
      </c>
      <c r="E89" s="8">
        <v>194.28</v>
      </c>
      <c r="F89" s="8">
        <v>1.1399999999999999</v>
      </c>
      <c r="G89" s="11">
        <v>326.43607164916614</v>
      </c>
      <c r="H89" s="1"/>
      <c r="I89" s="1"/>
      <c r="J89" s="25" t="s">
        <v>60</v>
      </c>
      <c r="K89" s="26">
        <v>138.21</v>
      </c>
      <c r="L89" s="46">
        <v>41000</v>
      </c>
      <c r="M89" s="42" t="s">
        <v>40</v>
      </c>
      <c r="N89" s="45">
        <v>371112</v>
      </c>
      <c r="O89" s="1">
        <v>0.89500000000000002</v>
      </c>
      <c r="P89" s="11">
        <v>332145.24</v>
      </c>
      <c r="Q89" s="8"/>
      <c r="R89" s="8"/>
      <c r="S89" s="7"/>
      <c r="T89" s="7"/>
      <c r="U89" s="7"/>
      <c r="V89" s="11">
        <v>0</v>
      </c>
    </row>
    <row r="90" spans="1:22" x14ac:dyDescent="0.25">
      <c r="A90" s="52"/>
      <c r="C90" s="10" t="s">
        <v>4</v>
      </c>
      <c r="D90" s="11">
        <v>126420</v>
      </c>
      <c r="E90" s="11">
        <v>406.48</v>
      </c>
      <c r="F90" s="10"/>
      <c r="G90" s="165">
        <v>623.32579832211627</v>
      </c>
      <c r="I90" s="23">
        <v>0</v>
      </c>
      <c r="L90" s="47">
        <v>101650</v>
      </c>
      <c r="N90" s="95">
        <v>742224</v>
      </c>
      <c r="P90" s="23">
        <v>664290.48</v>
      </c>
      <c r="R90" s="23">
        <v>0</v>
      </c>
      <c r="V90" s="23">
        <v>0</v>
      </c>
    </row>
    <row r="91" spans="1:22" x14ac:dyDescent="0.25">
      <c r="A91" s="52"/>
      <c r="C91" s="4"/>
      <c r="D91" s="3"/>
      <c r="E91" s="3"/>
      <c r="F91" s="3"/>
      <c r="G91" s="4"/>
      <c r="H91" s="4"/>
      <c r="I91" s="4"/>
      <c r="M91" s="49"/>
      <c r="N91" s="4"/>
      <c r="O91" s="4"/>
      <c r="P91" s="4"/>
      <c r="Q91" s="4"/>
      <c r="R91" s="4"/>
      <c r="S91" s="4"/>
      <c r="T91" s="4"/>
      <c r="U91" s="4"/>
      <c r="V91" s="4"/>
    </row>
    <row r="92" spans="1:22" x14ac:dyDescent="0.25">
      <c r="A92" s="52"/>
      <c r="C92" s="4"/>
      <c r="D92" s="3"/>
      <c r="E92" s="3"/>
      <c r="F92" s="3"/>
      <c r="G92" s="4"/>
      <c r="H92" s="4"/>
      <c r="K92" s="162" t="s">
        <v>133</v>
      </c>
      <c r="L92" s="96">
        <f>(T94/G88)*100</f>
        <v>90</v>
      </c>
      <c r="M92" s="49"/>
      <c r="O92" s="4"/>
      <c r="P92" s="4"/>
      <c r="Q92" s="4"/>
      <c r="R92" s="4"/>
      <c r="S92" s="4"/>
    </row>
    <row r="93" spans="1:22" x14ac:dyDescent="0.25">
      <c r="A93" s="52"/>
      <c r="C93" s="4"/>
      <c r="D93" s="3"/>
      <c r="E93" s="3"/>
      <c r="F93" s="3"/>
      <c r="G93" s="4"/>
      <c r="H93" s="4"/>
      <c r="K93" s="159" t="s">
        <v>134</v>
      </c>
      <c r="L93" s="97">
        <f>(S94/(E90)*100)</f>
        <v>95.566817555599286</v>
      </c>
      <c r="M93" s="49"/>
      <c r="R93" s="5" t="s">
        <v>11</v>
      </c>
      <c r="S93" s="5" t="s">
        <v>12</v>
      </c>
      <c r="T93" s="5" t="s">
        <v>0</v>
      </c>
    </row>
    <row r="94" spans="1:22" x14ac:dyDescent="0.25">
      <c r="A94" s="52"/>
      <c r="C94" s="4"/>
      <c r="D94" s="3"/>
      <c r="E94" s="3"/>
      <c r="F94" s="3"/>
      <c r="G94" s="4"/>
      <c r="H94" s="4"/>
      <c r="K94" s="162" t="s">
        <v>135</v>
      </c>
      <c r="L94" s="96">
        <f>(R94/D90)*100</f>
        <v>82.104734140987787</v>
      </c>
      <c r="P94" s="4"/>
      <c r="Q94" s="5" t="s">
        <v>3</v>
      </c>
      <c r="R94" s="9">
        <f>T94*S94</f>
        <v>103796.80490103677</v>
      </c>
      <c r="S94" s="9">
        <v>388.46</v>
      </c>
      <c r="T94" s="22">
        <f>G88*0.9</f>
        <v>267.20075400565509</v>
      </c>
    </row>
    <row r="95" spans="1:22" ht="17.25" x14ac:dyDescent="0.25">
      <c r="A95" s="52"/>
      <c r="C95" s="4"/>
      <c r="D95" s="3"/>
      <c r="E95" s="3"/>
      <c r="F95" s="3"/>
      <c r="G95" s="4"/>
      <c r="H95" s="4"/>
      <c r="K95" s="159" t="s">
        <v>136</v>
      </c>
      <c r="L95" s="13">
        <f>(D90+I90+L90+P90+R90+V90)/R94</f>
        <v>8.5971864052155098</v>
      </c>
      <c r="O95" s="4"/>
      <c r="P95" s="4"/>
      <c r="S95" s="83"/>
      <c r="T95" s="3"/>
    </row>
    <row r="96" spans="1:22" ht="17.25" x14ac:dyDescent="0.25">
      <c r="A96" s="52"/>
      <c r="C96" s="4"/>
      <c r="D96" s="3"/>
      <c r="E96" s="3"/>
      <c r="F96" s="3"/>
      <c r="G96" s="4"/>
      <c r="H96" s="4"/>
      <c r="I96" s="4"/>
      <c r="K96" s="163" t="s">
        <v>137</v>
      </c>
      <c r="L96" s="15">
        <f>(D90+I90+L90)/R94</f>
        <v>2.1972738006478072</v>
      </c>
      <c r="N96" s="163" t="s">
        <v>139</v>
      </c>
      <c r="O96" s="93">
        <f>G88/N90*1000</f>
        <v>0.40000017066673954</v>
      </c>
      <c r="P96" s="4"/>
      <c r="S96" s="4"/>
    </row>
    <row r="97" spans="1:22" ht="17.25" x14ac:dyDescent="0.25">
      <c r="A97" s="52"/>
      <c r="C97" s="4"/>
      <c r="D97" s="3"/>
      <c r="E97" s="3"/>
      <c r="F97" s="3"/>
      <c r="G97" s="4"/>
      <c r="H97" s="4"/>
      <c r="I97" s="4"/>
      <c r="K97" s="164" t="s">
        <v>138</v>
      </c>
      <c r="L97" s="16">
        <f>(P90+V90)/R94</f>
        <v>6.3999126045677031</v>
      </c>
      <c r="M97" s="4"/>
      <c r="N97" s="4"/>
      <c r="O97" s="4"/>
      <c r="P97" s="4"/>
      <c r="U97" s="4"/>
      <c r="V97" s="4"/>
    </row>
    <row r="98" spans="1:22" x14ac:dyDescent="0.25">
      <c r="A98" s="52"/>
      <c r="C98" s="6"/>
      <c r="D98"/>
      <c r="E98" s="3"/>
      <c r="F98" s="3"/>
      <c r="G98" s="4"/>
      <c r="H98" s="4"/>
      <c r="I98" s="4"/>
      <c r="K98" s="4"/>
      <c r="L98" s="4"/>
      <c r="M98" s="4"/>
      <c r="P98" s="4"/>
      <c r="Q98" s="4"/>
      <c r="R98" s="4"/>
      <c r="S98" s="4"/>
      <c r="T98" s="4"/>
      <c r="U98" s="4"/>
      <c r="V98" s="4"/>
    </row>
    <row r="99" spans="1:22" x14ac:dyDescent="0.25">
      <c r="A99" s="52"/>
      <c r="B99" s="4"/>
      <c r="C99" s="6" t="s">
        <v>26</v>
      </c>
      <c r="D99" s="83"/>
      <c r="E99" s="83"/>
      <c r="F99" s="83"/>
    </row>
    <row r="100" spans="1:22" ht="32.25" x14ac:dyDescent="0.25">
      <c r="A100" s="52"/>
      <c r="C100" s="17" t="s">
        <v>14</v>
      </c>
      <c r="D100" s="20" t="s">
        <v>21</v>
      </c>
      <c r="E100" s="20" t="s">
        <v>94</v>
      </c>
      <c r="F100" s="17" t="s">
        <v>13</v>
      </c>
      <c r="G100" s="17" t="s">
        <v>15</v>
      </c>
      <c r="H100" s="18" t="s">
        <v>1</v>
      </c>
      <c r="I100" s="19" t="s">
        <v>25</v>
      </c>
      <c r="J100" s="17" t="s">
        <v>2</v>
      </c>
      <c r="K100" s="20" t="s">
        <v>94</v>
      </c>
      <c r="L100" s="20" t="s">
        <v>22</v>
      </c>
      <c r="M100" s="19" t="s">
        <v>8</v>
      </c>
      <c r="N100" s="19" t="s">
        <v>16</v>
      </c>
      <c r="O100" s="19" t="s">
        <v>17</v>
      </c>
      <c r="P100" s="19" t="s">
        <v>18</v>
      </c>
      <c r="Q100" s="20" t="s">
        <v>10</v>
      </c>
      <c r="R100" s="20" t="s">
        <v>23</v>
      </c>
      <c r="S100" s="19" t="s">
        <v>9</v>
      </c>
      <c r="T100" s="19" t="s">
        <v>19</v>
      </c>
      <c r="U100" s="19" t="s">
        <v>20</v>
      </c>
      <c r="V100" s="19" t="s">
        <v>24</v>
      </c>
    </row>
    <row r="101" spans="1:22" x14ac:dyDescent="0.25">
      <c r="A101" s="41" t="s">
        <v>197</v>
      </c>
      <c r="C101" s="172" t="s">
        <v>119</v>
      </c>
      <c r="D101" s="56">
        <v>15700</v>
      </c>
      <c r="E101" s="8">
        <v>774.73</v>
      </c>
      <c r="F101" s="8">
        <v>1</v>
      </c>
      <c r="G101" s="11">
        <f>D101/E101</f>
        <v>20.265124624062576</v>
      </c>
      <c r="H101" s="7"/>
      <c r="I101" s="7"/>
      <c r="J101" s="8" t="s">
        <v>76</v>
      </c>
      <c r="K101" s="8">
        <v>101.15</v>
      </c>
      <c r="L101" s="46">
        <f>45.6*K101</f>
        <v>4612.4400000000005</v>
      </c>
      <c r="M101" s="42" t="s">
        <v>27</v>
      </c>
      <c r="N101" s="45">
        <v>50600</v>
      </c>
      <c r="O101" s="1">
        <v>0.88300000000000001</v>
      </c>
      <c r="P101" s="11">
        <f>N101*O101</f>
        <v>44679.8</v>
      </c>
      <c r="Q101" s="8"/>
      <c r="R101" s="8"/>
      <c r="S101" s="7"/>
      <c r="T101" s="7"/>
      <c r="U101" s="7"/>
      <c r="V101" s="11">
        <f>T101*U101</f>
        <v>0</v>
      </c>
    </row>
    <row r="102" spans="1:22" x14ac:dyDescent="0.25">
      <c r="A102" s="86" t="s">
        <v>93</v>
      </c>
      <c r="C102" s="69" t="s">
        <v>124</v>
      </c>
      <c r="D102" s="8">
        <v>7120</v>
      </c>
      <c r="E102" s="8">
        <v>313.37</v>
      </c>
      <c r="F102" s="8">
        <f>G102/G101</f>
        <v>1.1211747209145535</v>
      </c>
      <c r="G102" s="11">
        <f>D102/E102</f>
        <v>22.720745444682006</v>
      </c>
      <c r="H102" s="1"/>
      <c r="I102" s="1"/>
      <c r="J102" s="25" t="s">
        <v>87</v>
      </c>
      <c r="K102" s="26">
        <v>136.58000000000001</v>
      </c>
      <c r="L102" s="46">
        <f>22.9*K102</f>
        <v>3127.6820000000002</v>
      </c>
      <c r="M102" s="42"/>
      <c r="N102" s="2"/>
      <c r="O102" s="1"/>
      <c r="P102" s="11"/>
      <c r="Q102" s="8"/>
      <c r="R102" s="8"/>
      <c r="S102" s="7"/>
      <c r="T102" s="7"/>
      <c r="U102" s="7"/>
      <c r="V102" s="11">
        <f t="shared" ref="V102" si="4">T102*U102</f>
        <v>0</v>
      </c>
    </row>
    <row r="103" spans="1:22" x14ac:dyDescent="0.25">
      <c r="C103" s="10" t="s">
        <v>4</v>
      </c>
      <c r="D103" s="11">
        <f>SUM(D101:D102)</f>
        <v>22820</v>
      </c>
      <c r="E103" s="11">
        <f>SUM(E101:E102)</f>
        <v>1088.0999999999999</v>
      </c>
      <c r="F103" s="10"/>
      <c r="G103" s="165">
        <f>SUM(G101:G102)</f>
        <v>42.985870068744582</v>
      </c>
      <c r="I103" s="23">
        <f>SUM(I101:I102)</f>
        <v>0</v>
      </c>
      <c r="L103" s="47">
        <f>SUM(L101:L102)</f>
        <v>7740.1220000000012</v>
      </c>
      <c r="N103" s="89">
        <f>SUM(N101:N102)</f>
        <v>50600</v>
      </c>
      <c r="P103" s="23">
        <f>SUM(P101:P102)</f>
        <v>44679.8</v>
      </c>
      <c r="R103" s="23">
        <f>SUM(R101:R102)</f>
        <v>0</v>
      </c>
      <c r="V103" s="23">
        <f>SUM(V101:V102)</f>
        <v>0</v>
      </c>
    </row>
    <row r="104" spans="1:22" x14ac:dyDescent="0.25">
      <c r="C104" s="4"/>
      <c r="D104" s="3"/>
      <c r="E104" s="3"/>
      <c r="F104" s="3"/>
      <c r="G104" s="4"/>
      <c r="H104" s="4"/>
      <c r="I104" s="4"/>
      <c r="M104" s="49"/>
      <c r="N104" s="4"/>
      <c r="O104" s="4"/>
      <c r="P104" s="4"/>
      <c r="Q104" s="4"/>
      <c r="R104" s="4"/>
      <c r="S104" s="4"/>
      <c r="T104" s="4"/>
      <c r="U104" s="4"/>
      <c r="V104" s="4"/>
    </row>
    <row r="105" spans="1:22" x14ac:dyDescent="0.25">
      <c r="C105" s="4"/>
      <c r="D105" s="3"/>
      <c r="E105" s="3"/>
      <c r="F105" s="3"/>
      <c r="G105" s="4"/>
      <c r="H105" s="4"/>
      <c r="K105" s="162" t="s">
        <v>133</v>
      </c>
      <c r="L105" s="96">
        <f>(T107/G101)*100</f>
        <v>90.000000000000014</v>
      </c>
      <c r="M105" s="49"/>
      <c r="O105" s="4"/>
      <c r="P105" s="4"/>
      <c r="Q105" s="4"/>
      <c r="R105" s="4"/>
      <c r="S105" s="4"/>
    </row>
    <row r="106" spans="1:22" x14ac:dyDescent="0.25">
      <c r="C106" s="4"/>
      <c r="D106" s="3"/>
      <c r="E106" s="3"/>
      <c r="F106" s="3"/>
      <c r="G106" s="4"/>
      <c r="H106" s="4"/>
      <c r="K106" s="159" t="s">
        <v>134</v>
      </c>
      <c r="L106" s="97">
        <f>(S107/(E103)*100)</f>
        <v>82.518150905247694</v>
      </c>
      <c r="M106" s="49"/>
      <c r="R106" s="5" t="s">
        <v>11</v>
      </c>
      <c r="S106" s="5" t="s">
        <v>12</v>
      </c>
      <c r="T106" s="5" t="s">
        <v>0</v>
      </c>
    </row>
    <row r="107" spans="1:22" x14ac:dyDescent="0.25">
      <c r="C107" s="4"/>
      <c r="D107" s="3"/>
      <c r="E107" s="3"/>
      <c r="F107" s="3"/>
      <c r="G107" s="4"/>
      <c r="H107" s="4"/>
      <c r="K107" s="162" t="s">
        <v>135</v>
      </c>
      <c r="L107" s="96">
        <f>(R107/D103)*100</f>
        <v>71.761985485135753</v>
      </c>
      <c r="P107" s="4"/>
      <c r="Q107" s="5" t="s">
        <v>3</v>
      </c>
      <c r="R107" s="9">
        <f>T107*S107</f>
        <v>16376.085087707977</v>
      </c>
      <c r="S107" s="9">
        <v>897.88</v>
      </c>
      <c r="T107" s="22">
        <f>G101*0.9</f>
        <v>18.23861216165632</v>
      </c>
    </row>
    <row r="108" spans="1:22" ht="17.25" x14ac:dyDescent="0.25">
      <c r="C108" s="4"/>
      <c r="D108" s="3"/>
      <c r="E108" s="3"/>
      <c r="F108" s="3"/>
      <c r="G108" s="4"/>
      <c r="H108" s="4"/>
      <c r="K108" s="159" t="s">
        <v>136</v>
      </c>
      <c r="L108" s="13">
        <f>(D103+I103+L103+P103+R103+V103)/R107</f>
        <v>4.5944999428755837</v>
      </c>
      <c r="O108" s="4"/>
      <c r="P108" s="4"/>
      <c r="S108" s="83"/>
      <c r="T108" s="3"/>
    </row>
    <row r="109" spans="1:22" ht="17.25" x14ac:dyDescent="0.25">
      <c r="C109" s="4"/>
      <c r="D109" s="3"/>
      <c r="E109" s="3"/>
      <c r="F109" s="3"/>
      <c r="G109" s="4"/>
      <c r="H109" s="4"/>
      <c r="I109" s="4"/>
      <c r="K109" s="163" t="s">
        <v>137</v>
      </c>
      <c r="L109" s="15">
        <f>(D103+I103+L103)/R107</f>
        <v>1.8661433325684587</v>
      </c>
      <c r="N109" s="163" t="s">
        <v>139</v>
      </c>
      <c r="O109" s="93">
        <f>G101/N103*1000</f>
        <v>0.40049653407238289</v>
      </c>
      <c r="P109" s="4"/>
      <c r="S109" s="4"/>
    </row>
    <row r="110" spans="1:22" ht="17.25" x14ac:dyDescent="0.25">
      <c r="C110" s="4"/>
      <c r="D110" s="3"/>
      <c r="E110" s="3"/>
      <c r="F110" s="3"/>
      <c r="G110" s="4"/>
      <c r="H110" s="4"/>
      <c r="I110" s="4"/>
      <c r="K110" s="164" t="s">
        <v>138</v>
      </c>
      <c r="L110" s="16">
        <f>(P103+V103)/R107</f>
        <v>2.7283566103071255</v>
      </c>
      <c r="M110" s="4"/>
      <c r="N110" s="4"/>
      <c r="O110" s="4"/>
      <c r="P110" s="4"/>
      <c r="U110" s="4"/>
      <c r="V110" s="4"/>
    </row>
    <row r="111" spans="1:22" x14ac:dyDescent="0.25">
      <c r="C111" s="6"/>
      <c r="D111"/>
      <c r="E111" s="3"/>
      <c r="F111" s="3"/>
      <c r="G111" s="4"/>
      <c r="H111" s="4"/>
      <c r="I111" s="4"/>
      <c r="K111" s="4"/>
      <c r="L111" s="4"/>
      <c r="M111" s="4"/>
      <c r="P111" s="4"/>
      <c r="Q111" s="4"/>
      <c r="R111" s="4"/>
      <c r="S111" s="4"/>
      <c r="T111" s="4"/>
      <c r="U111" s="4"/>
      <c r="V111" s="4"/>
    </row>
    <row r="112" spans="1:22" x14ac:dyDescent="0.25">
      <c r="C112" s="6"/>
      <c r="D112"/>
      <c r="E112" s="3"/>
      <c r="F112" s="3"/>
      <c r="G112" s="4"/>
      <c r="H112" s="4"/>
      <c r="I112" s="4"/>
      <c r="M112" s="4"/>
      <c r="N112" s="4"/>
      <c r="O112" s="4"/>
      <c r="P112" s="4"/>
      <c r="Q112" s="4"/>
      <c r="R112" s="4"/>
      <c r="S112" s="4"/>
      <c r="T112" s="4"/>
      <c r="U112" s="4"/>
      <c r="V112" s="4"/>
    </row>
    <row r="113" spans="1:22" s="29" customFormat="1" x14ac:dyDescent="0.25">
      <c r="A113" s="28" t="s">
        <v>130</v>
      </c>
      <c r="D113" s="30"/>
      <c r="E113" s="30"/>
      <c r="F113" s="30"/>
    </row>
    <row r="114" spans="1:22" x14ac:dyDescent="0.25">
      <c r="B114" s="4"/>
      <c r="C114" s="6" t="s">
        <v>26</v>
      </c>
      <c r="D114" s="83"/>
      <c r="E114" s="83"/>
      <c r="F114" s="83"/>
    </row>
    <row r="115" spans="1:22" ht="32.25" x14ac:dyDescent="0.25">
      <c r="C115" s="17" t="s">
        <v>14</v>
      </c>
      <c r="D115" s="20" t="s">
        <v>21</v>
      </c>
      <c r="E115" s="20" t="s">
        <v>94</v>
      </c>
      <c r="F115" s="17" t="s">
        <v>13</v>
      </c>
      <c r="G115" s="17" t="s">
        <v>15</v>
      </c>
      <c r="H115" s="18" t="s">
        <v>1</v>
      </c>
      <c r="I115" s="19" t="s">
        <v>25</v>
      </c>
      <c r="J115" s="17" t="s">
        <v>2</v>
      </c>
      <c r="K115" s="20" t="s">
        <v>94</v>
      </c>
      <c r="L115" s="20" t="s">
        <v>22</v>
      </c>
      <c r="M115" s="19" t="s">
        <v>8</v>
      </c>
      <c r="N115" s="19" t="s">
        <v>16</v>
      </c>
      <c r="O115" s="19" t="s">
        <v>17</v>
      </c>
      <c r="P115" s="19" t="s">
        <v>18</v>
      </c>
      <c r="Q115" s="20" t="s">
        <v>10</v>
      </c>
      <c r="R115" s="20" t="s">
        <v>23</v>
      </c>
      <c r="S115" s="19" t="s">
        <v>9</v>
      </c>
      <c r="T115" s="19" t="s">
        <v>19</v>
      </c>
      <c r="U115" s="19" t="s">
        <v>20</v>
      </c>
      <c r="V115" s="19" t="s">
        <v>24</v>
      </c>
    </row>
    <row r="116" spans="1:22" x14ac:dyDescent="0.25">
      <c r="A116" s="41" t="s">
        <v>184</v>
      </c>
      <c r="C116" s="176" t="s">
        <v>57</v>
      </c>
      <c r="D116" s="56">
        <v>63000</v>
      </c>
      <c r="E116" s="160">
        <v>212.2</v>
      </c>
      <c r="F116" s="160">
        <v>1</v>
      </c>
      <c r="G116" s="161">
        <v>296.88972667295008</v>
      </c>
      <c r="H116" s="7"/>
      <c r="I116" s="7"/>
      <c r="J116" s="160" t="s">
        <v>58</v>
      </c>
      <c r="K116" s="160">
        <v>162.15</v>
      </c>
      <c r="L116" s="46">
        <v>60650</v>
      </c>
      <c r="M116" s="42" t="s">
        <v>40</v>
      </c>
      <c r="N116" s="45">
        <v>371112</v>
      </c>
      <c r="O116" s="1">
        <v>0.89500000000000002</v>
      </c>
      <c r="P116" s="161">
        <v>332145.24</v>
      </c>
      <c r="Q116" s="8"/>
      <c r="R116" s="8"/>
      <c r="S116" s="7"/>
      <c r="T116" s="7"/>
      <c r="U116" s="7"/>
      <c r="V116" s="11">
        <f>T116*U116</f>
        <v>0</v>
      </c>
    </row>
    <row r="117" spans="1:22" x14ac:dyDescent="0.25">
      <c r="A117" s="86" t="s">
        <v>92</v>
      </c>
      <c r="C117" s="8" t="s">
        <v>59</v>
      </c>
      <c r="D117" s="160">
        <v>63420</v>
      </c>
      <c r="E117" s="160">
        <v>194.28</v>
      </c>
      <c r="F117" s="160">
        <v>1.1399999999999999</v>
      </c>
      <c r="G117" s="161">
        <v>326.43607164916614</v>
      </c>
      <c r="H117" s="1"/>
      <c r="I117" s="1"/>
      <c r="J117" s="25" t="s">
        <v>60</v>
      </c>
      <c r="K117" s="26">
        <v>138.21</v>
      </c>
      <c r="L117" s="46">
        <v>41000</v>
      </c>
      <c r="M117" s="42" t="s">
        <v>40</v>
      </c>
      <c r="N117" s="45">
        <v>371112</v>
      </c>
      <c r="O117" s="1">
        <v>0.89500000000000002</v>
      </c>
      <c r="P117" s="161">
        <v>332145.24</v>
      </c>
      <c r="Q117" s="8"/>
      <c r="R117" s="8"/>
      <c r="S117" s="7"/>
      <c r="T117" s="7"/>
      <c r="U117" s="7"/>
      <c r="V117" s="11">
        <f t="shared" ref="V117" si="5">T117*U117</f>
        <v>0</v>
      </c>
    </row>
    <row r="118" spans="1:22" x14ac:dyDescent="0.25">
      <c r="A118" s="52"/>
      <c r="C118" s="10" t="s">
        <v>4</v>
      </c>
      <c r="D118" s="11">
        <f>SUM(D116:D117)</f>
        <v>126420</v>
      </c>
      <c r="E118" s="11">
        <f>SUM(E116:E117)</f>
        <v>406.48</v>
      </c>
      <c r="F118" s="10"/>
      <c r="G118" s="165">
        <f>SUM(G116:G117)</f>
        <v>623.32579832211627</v>
      </c>
      <c r="I118" s="23">
        <f>SUM(I116:I117)</f>
        <v>0</v>
      </c>
      <c r="L118" s="47">
        <f>SUM(L116:L117)</f>
        <v>101650</v>
      </c>
      <c r="N118" s="89">
        <f>SUM(N116:N117)</f>
        <v>742224</v>
      </c>
      <c r="P118" s="23">
        <f>SUM(P116:P117)</f>
        <v>664290.48</v>
      </c>
      <c r="R118" s="23">
        <f>SUM(R116:R117)</f>
        <v>0</v>
      </c>
      <c r="V118" s="23">
        <f>SUM(V116:V117)</f>
        <v>0</v>
      </c>
    </row>
    <row r="119" spans="1:22" x14ac:dyDescent="0.25">
      <c r="A119" s="52"/>
      <c r="C119" s="4"/>
      <c r="D119" s="3"/>
      <c r="E119" s="3"/>
      <c r="F119" s="3"/>
      <c r="G119" s="4"/>
      <c r="H119" s="4"/>
      <c r="I119" s="4"/>
      <c r="M119" s="49"/>
      <c r="N119" s="4"/>
      <c r="O119" s="4"/>
      <c r="P119" s="4"/>
      <c r="Q119" s="4"/>
      <c r="R119" s="4"/>
      <c r="S119" s="4"/>
      <c r="T119" s="4"/>
      <c r="U119" s="4"/>
      <c r="V119" s="4"/>
    </row>
    <row r="120" spans="1:22" x14ac:dyDescent="0.25">
      <c r="A120" s="52"/>
      <c r="C120" s="4"/>
      <c r="D120" s="3"/>
      <c r="E120" s="3"/>
      <c r="F120" s="3"/>
      <c r="G120" s="4"/>
      <c r="H120" s="4"/>
      <c r="K120" s="162" t="s">
        <v>133</v>
      </c>
      <c r="L120" s="96">
        <f>(T122/G116)*100</f>
        <v>50</v>
      </c>
      <c r="M120" s="49"/>
      <c r="O120" s="4"/>
      <c r="P120" s="4"/>
      <c r="Q120" s="4"/>
      <c r="R120" s="4"/>
      <c r="S120" s="4"/>
    </row>
    <row r="121" spans="1:22" x14ac:dyDescent="0.25">
      <c r="A121" s="52"/>
      <c r="C121" s="4"/>
      <c r="D121" s="3"/>
      <c r="E121" s="3"/>
      <c r="F121" s="3"/>
      <c r="G121" s="4"/>
      <c r="H121" s="4"/>
      <c r="K121" s="159" t="s">
        <v>134</v>
      </c>
      <c r="L121" s="97">
        <f>(S122/(E118)*100)</f>
        <v>95.566817555599286</v>
      </c>
      <c r="M121" s="49"/>
      <c r="R121" s="5" t="s">
        <v>11</v>
      </c>
      <c r="S121" s="5" t="s">
        <v>12</v>
      </c>
      <c r="T121" s="5" t="s">
        <v>0</v>
      </c>
    </row>
    <row r="122" spans="1:22" x14ac:dyDescent="0.25">
      <c r="A122" s="52"/>
      <c r="C122" s="4"/>
      <c r="D122" s="3"/>
      <c r="E122" s="3"/>
      <c r="F122" s="3"/>
      <c r="G122" s="4"/>
      <c r="H122" s="4"/>
      <c r="K122" s="162" t="s">
        <v>135</v>
      </c>
      <c r="L122" s="96">
        <f>(R122/D118)*100</f>
        <v>45.613741189437661</v>
      </c>
      <c r="P122" s="4"/>
      <c r="Q122" s="5" t="s">
        <v>3</v>
      </c>
      <c r="R122" s="9">
        <f>T122*S122</f>
        <v>57664.89161168709</v>
      </c>
      <c r="S122" s="9">
        <v>388.46</v>
      </c>
      <c r="T122" s="22">
        <f>G116*0.5</f>
        <v>148.44486333647504</v>
      </c>
    </row>
    <row r="123" spans="1:22" ht="17.25" x14ac:dyDescent="0.25">
      <c r="A123" s="52"/>
      <c r="C123" s="4"/>
      <c r="D123" s="3"/>
      <c r="E123" s="3"/>
      <c r="F123" s="3"/>
      <c r="G123" s="4"/>
      <c r="H123" s="4"/>
      <c r="K123" s="159" t="s">
        <v>136</v>
      </c>
      <c r="L123" s="13">
        <f>(D118+I118+L118+P118+R118+V118)/R122</f>
        <v>15.47493552938792</v>
      </c>
      <c r="O123" s="4"/>
      <c r="P123" s="4"/>
      <c r="S123" s="83"/>
      <c r="T123" s="3"/>
    </row>
    <row r="124" spans="1:22" ht="17.25" x14ac:dyDescent="0.25">
      <c r="A124" s="52"/>
      <c r="C124" s="4"/>
      <c r="D124" s="3"/>
      <c r="E124" s="3"/>
      <c r="F124" s="3"/>
      <c r="G124" s="4"/>
      <c r="H124" s="4"/>
      <c r="I124" s="4"/>
      <c r="K124" s="163" t="s">
        <v>137</v>
      </c>
      <c r="L124" s="15">
        <f>(D118+I118+L118)/R122</f>
        <v>3.9550928411660533</v>
      </c>
      <c r="N124" s="163" t="s">
        <v>139</v>
      </c>
      <c r="O124" s="93">
        <f>G116/N118*1000</f>
        <v>0.40000017066673954</v>
      </c>
      <c r="P124" s="4"/>
      <c r="S124" s="4"/>
    </row>
    <row r="125" spans="1:22" ht="17.25" x14ac:dyDescent="0.25">
      <c r="A125" s="52"/>
      <c r="C125" s="4"/>
      <c r="D125" s="3"/>
      <c r="E125" s="3"/>
      <c r="F125" s="3"/>
      <c r="G125" s="4"/>
      <c r="H125" s="4"/>
      <c r="I125" s="4"/>
      <c r="K125" s="164" t="s">
        <v>138</v>
      </c>
      <c r="L125" s="16">
        <f>(P118+V118)/R122</f>
        <v>11.519842688221868</v>
      </c>
      <c r="M125" s="4"/>
      <c r="N125" s="4"/>
      <c r="O125" s="4"/>
      <c r="P125" s="4"/>
      <c r="U125" s="4"/>
      <c r="V125" s="4"/>
    </row>
    <row r="126" spans="1:22" x14ac:dyDescent="0.25">
      <c r="A126" s="52"/>
      <c r="C126" s="6"/>
      <c r="D126"/>
      <c r="E126" s="3"/>
      <c r="F126" s="3"/>
      <c r="G126" s="4"/>
      <c r="H126" s="4"/>
      <c r="I126" s="4"/>
      <c r="K126" s="4"/>
      <c r="L126" s="4"/>
      <c r="M126" s="4"/>
      <c r="P126" s="4"/>
      <c r="Q126" s="4"/>
      <c r="R126" s="4"/>
      <c r="S126" s="4"/>
      <c r="T126" s="4"/>
      <c r="U126" s="4"/>
      <c r="V126" s="4"/>
    </row>
    <row r="127" spans="1:22" x14ac:dyDescent="0.25">
      <c r="A127" s="52"/>
      <c r="B127" s="4"/>
      <c r="C127" s="6" t="s">
        <v>26</v>
      </c>
      <c r="D127" s="83"/>
      <c r="E127" s="83"/>
      <c r="F127" s="83"/>
    </row>
    <row r="128" spans="1:22" ht="32.25" x14ac:dyDescent="0.25">
      <c r="A128" s="52"/>
      <c r="C128" s="17" t="s">
        <v>14</v>
      </c>
      <c r="D128" s="20" t="s">
        <v>21</v>
      </c>
      <c r="E128" s="20" t="s">
        <v>94</v>
      </c>
      <c r="F128" s="17" t="s">
        <v>13</v>
      </c>
      <c r="G128" s="17" t="s">
        <v>15</v>
      </c>
      <c r="H128" s="18" t="s">
        <v>1</v>
      </c>
      <c r="I128" s="19" t="s">
        <v>25</v>
      </c>
      <c r="J128" s="17" t="s">
        <v>2</v>
      </c>
      <c r="K128" s="20" t="s">
        <v>94</v>
      </c>
      <c r="L128" s="20" t="s">
        <v>22</v>
      </c>
      <c r="M128" s="19" t="s">
        <v>8</v>
      </c>
      <c r="N128" s="19" t="s">
        <v>16</v>
      </c>
      <c r="O128" s="19" t="s">
        <v>17</v>
      </c>
      <c r="P128" s="19" t="s">
        <v>18</v>
      </c>
      <c r="Q128" s="20" t="s">
        <v>10</v>
      </c>
      <c r="R128" s="20" t="s">
        <v>23</v>
      </c>
      <c r="S128" s="19" t="s">
        <v>9</v>
      </c>
      <c r="T128" s="19" t="s">
        <v>19</v>
      </c>
      <c r="U128" s="19" t="s">
        <v>20</v>
      </c>
      <c r="V128" s="19" t="s">
        <v>24</v>
      </c>
    </row>
    <row r="129" spans="1:22" x14ac:dyDescent="0.25">
      <c r="A129" s="41" t="s">
        <v>197</v>
      </c>
      <c r="C129" s="172" t="s">
        <v>119</v>
      </c>
      <c r="D129" s="56">
        <v>15700</v>
      </c>
      <c r="E129" s="160">
        <v>774.73</v>
      </c>
      <c r="F129" s="160">
        <v>1</v>
      </c>
      <c r="G129" s="161">
        <f>D129/E129</f>
        <v>20.265124624062576</v>
      </c>
      <c r="H129" s="7"/>
      <c r="I129" s="7"/>
      <c r="J129" s="160" t="s">
        <v>76</v>
      </c>
      <c r="K129" s="160">
        <v>101.15</v>
      </c>
      <c r="L129" s="46">
        <f>45.6*K129</f>
        <v>4612.4400000000005</v>
      </c>
      <c r="M129" s="42" t="s">
        <v>27</v>
      </c>
      <c r="N129" s="45">
        <v>50600</v>
      </c>
      <c r="O129" s="1">
        <v>0.88300000000000001</v>
      </c>
      <c r="P129" s="161">
        <f>N129*O129</f>
        <v>44679.8</v>
      </c>
      <c r="Q129" s="8"/>
      <c r="R129" s="8"/>
      <c r="S129" s="7"/>
      <c r="T129" s="7"/>
      <c r="U129" s="7"/>
      <c r="V129" s="11">
        <f>T129*U129</f>
        <v>0</v>
      </c>
    </row>
    <row r="130" spans="1:22" x14ac:dyDescent="0.25">
      <c r="A130" s="86" t="s">
        <v>93</v>
      </c>
      <c r="C130" s="69" t="s">
        <v>124</v>
      </c>
      <c r="D130" s="160">
        <v>7120</v>
      </c>
      <c r="E130" s="160">
        <v>313.37</v>
      </c>
      <c r="F130" s="160">
        <f>G130/G129</f>
        <v>1.1211747209145535</v>
      </c>
      <c r="G130" s="161">
        <f>D130/E130</f>
        <v>22.720745444682006</v>
      </c>
      <c r="H130" s="1"/>
      <c r="I130" s="1"/>
      <c r="J130" s="25" t="s">
        <v>87</v>
      </c>
      <c r="K130" s="26">
        <v>136.58000000000001</v>
      </c>
      <c r="L130" s="46">
        <f>22.9*K130</f>
        <v>3127.6820000000002</v>
      </c>
      <c r="M130" s="42"/>
      <c r="N130" s="2"/>
      <c r="O130" s="1"/>
      <c r="P130" s="161"/>
      <c r="Q130" s="8"/>
      <c r="R130" s="8"/>
      <c r="S130" s="7"/>
      <c r="T130" s="7"/>
      <c r="U130" s="7"/>
      <c r="V130" s="11">
        <f t="shared" ref="V130" si="6">T130*U130</f>
        <v>0</v>
      </c>
    </row>
    <row r="131" spans="1:22" x14ac:dyDescent="0.25">
      <c r="C131" s="10" t="s">
        <v>4</v>
      </c>
      <c r="D131" s="11">
        <f>SUM(D129:D130)</f>
        <v>22820</v>
      </c>
      <c r="E131" s="11">
        <f>SUM(E129:E130)</f>
        <v>1088.0999999999999</v>
      </c>
      <c r="F131" s="10"/>
      <c r="G131" s="165">
        <f>SUM(G129:G130)</f>
        <v>42.985870068744582</v>
      </c>
      <c r="I131" s="23">
        <f>SUM(I129:I130)</f>
        <v>0</v>
      </c>
      <c r="L131" s="47">
        <f>SUM(L129:L130)</f>
        <v>7740.1220000000012</v>
      </c>
      <c r="N131" s="89">
        <f>SUM(N129:N130)</f>
        <v>50600</v>
      </c>
      <c r="P131" s="23">
        <f>SUM(P129:P130)</f>
        <v>44679.8</v>
      </c>
      <c r="R131" s="23">
        <f>SUM(R129:R130)</f>
        <v>0</v>
      </c>
      <c r="V131" s="23">
        <f>SUM(V129:V130)</f>
        <v>0</v>
      </c>
    </row>
    <row r="132" spans="1:22" x14ac:dyDescent="0.25">
      <c r="C132" s="4"/>
      <c r="D132" s="3"/>
      <c r="E132" s="3"/>
      <c r="F132" s="3"/>
      <c r="G132" s="4"/>
      <c r="H132" s="4"/>
      <c r="I132" s="4"/>
      <c r="M132" s="49"/>
      <c r="N132" s="4"/>
      <c r="O132" s="4"/>
      <c r="P132" s="4"/>
      <c r="Q132" s="4"/>
      <c r="R132" s="4"/>
      <c r="S132" s="4"/>
      <c r="T132" s="4"/>
      <c r="U132" s="4"/>
      <c r="V132" s="4"/>
    </row>
    <row r="133" spans="1:22" x14ac:dyDescent="0.25">
      <c r="C133" s="4"/>
      <c r="D133" s="3"/>
      <c r="E133" s="3"/>
      <c r="F133" s="3"/>
      <c r="G133" s="4"/>
      <c r="H133" s="4"/>
      <c r="K133" s="162" t="s">
        <v>133</v>
      </c>
      <c r="L133" s="96">
        <f>(T135/G129)*100</f>
        <v>50</v>
      </c>
      <c r="M133" s="49"/>
      <c r="O133" s="4"/>
      <c r="P133" s="4"/>
      <c r="Q133" s="4"/>
      <c r="R133" s="4"/>
      <c r="S133" s="4"/>
    </row>
    <row r="134" spans="1:22" x14ac:dyDescent="0.25">
      <c r="C134" s="4"/>
      <c r="D134" s="3"/>
      <c r="E134" s="3"/>
      <c r="F134" s="3"/>
      <c r="G134" s="4"/>
      <c r="H134" s="4"/>
      <c r="K134" s="159" t="s">
        <v>134</v>
      </c>
      <c r="L134" s="97">
        <f>(S135/(E131)*100)</f>
        <v>82.518150905247694</v>
      </c>
      <c r="M134" s="49"/>
      <c r="R134" s="5" t="s">
        <v>11</v>
      </c>
      <c r="S134" s="5" t="s">
        <v>12</v>
      </c>
      <c r="T134" s="5" t="s">
        <v>0</v>
      </c>
    </row>
    <row r="135" spans="1:22" x14ac:dyDescent="0.25">
      <c r="C135" s="4"/>
      <c r="D135" s="3"/>
      <c r="E135" s="3"/>
      <c r="F135" s="3"/>
      <c r="G135" s="4"/>
      <c r="H135" s="4"/>
      <c r="K135" s="162" t="s">
        <v>135</v>
      </c>
      <c r="L135" s="96">
        <f>(R135/D131)*100</f>
        <v>39.867769713964293</v>
      </c>
      <c r="P135" s="4"/>
      <c r="Q135" s="5" t="s">
        <v>3</v>
      </c>
      <c r="R135" s="9">
        <f>T135*S135</f>
        <v>9097.8250487266523</v>
      </c>
      <c r="S135" s="9">
        <v>897.88</v>
      </c>
      <c r="T135" s="22">
        <f>G129*0.5</f>
        <v>10.132562312031288</v>
      </c>
    </row>
    <row r="136" spans="1:22" ht="17.25" x14ac:dyDescent="0.25">
      <c r="C136" s="4"/>
      <c r="D136" s="3"/>
      <c r="E136" s="3"/>
      <c r="F136" s="3"/>
      <c r="G136" s="4"/>
      <c r="H136" s="4"/>
      <c r="K136" s="159" t="s">
        <v>136</v>
      </c>
      <c r="L136" s="13">
        <f>(D131+I131+L131+P131+R131+V131)/R135</f>
        <v>8.2700998971760527</v>
      </c>
      <c r="O136" s="4"/>
      <c r="P136" s="4"/>
      <c r="S136" s="83"/>
      <c r="T136" s="3"/>
    </row>
    <row r="137" spans="1:22" ht="17.25" x14ac:dyDescent="0.25">
      <c r="C137" s="4"/>
      <c r="D137" s="3"/>
      <c r="E137" s="3"/>
      <c r="F137" s="3"/>
      <c r="G137" s="4"/>
      <c r="H137" s="4"/>
      <c r="I137" s="4"/>
      <c r="K137" s="163" t="s">
        <v>137</v>
      </c>
      <c r="L137" s="15">
        <f>(D131+I131+L131)/R135</f>
        <v>3.3590579986232263</v>
      </c>
      <c r="N137" s="163" t="s">
        <v>139</v>
      </c>
      <c r="O137" s="93">
        <f>G129/N131*1000</f>
        <v>0.40049653407238289</v>
      </c>
      <c r="P137" s="4"/>
      <c r="S137" s="4"/>
    </row>
    <row r="138" spans="1:22" ht="17.25" x14ac:dyDescent="0.25">
      <c r="C138" s="4"/>
      <c r="D138" s="3"/>
      <c r="E138" s="3"/>
      <c r="F138" s="3"/>
      <c r="G138" s="4"/>
      <c r="H138" s="4"/>
      <c r="I138" s="4"/>
      <c r="K138" s="164" t="s">
        <v>138</v>
      </c>
      <c r="L138" s="16">
        <f>(P131+V131)/R135</f>
        <v>4.9110418985528268</v>
      </c>
      <c r="M138" s="4"/>
      <c r="N138" s="4"/>
      <c r="O138" s="4"/>
      <c r="P138" s="4"/>
      <c r="U138" s="4"/>
      <c r="V138" s="4"/>
    </row>
    <row r="139" spans="1:22" x14ac:dyDescent="0.25">
      <c r="C139" s="6"/>
      <c r="D139"/>
      <c r="E139" s="3"/>
      <c r="F139" s="3"/>
      <c r="G139" s="4"/>
      <c r="H139" s="4"/>
      <c r="I139" s="4"/>
      <c r="K139" s="4"/>
      <c r="L139" s="4"/>
      <c r="M139" s="4"/>
      <c r="P139" s="4"/>
      <c r="Q139" s="4"/>
      <c r="R139" s="4"/>
      <c r="S139" s="4"/>
      <c r="T139" s="4"/>
      <c r="U139" s="4"/>
      <c r="V139" s="4"/>
    </row>
    <row r="141" spans="1:22" s="29" customFormat="1" x14ac:dyDescent="0.25">
      <c r="A141" s="28" t="s">
        <v>131</v>
      </c>
      <c r="D141" s="30"/>
      <c r="E141" s="30"/>
      <c r="F141" s="30"/>
    </row>
    <row r="142" spans="1:22" x14ac:dyDescent="0.25">
      <c r="B142" s="4"/>
      <c r="C142" s="6" t="s">
        <v>26</v>
      </c>
      <c r="D142" s="83"/>
      <c r="E142" s="83"/>
      <c r="F142" s="83"/>
    </row>
    <row r="143" spans="1:22" ht="32.25" x14ac:dyDescent="0.25">
      <c r="C143" s="17" t="s">
        <v>14</v>
      </c>
      <c r="D143" s="20" t="s">
        <v>21</v>
      </c>
      <c r="E143" s="20" t="s">
        <v>94</v>
      </c>
      <c r="F143" s="17" t="s">
        <v>13</v>
      </c>
      <c r="G143" s="17" t="s">
        <v>15</v>
      </c>
      <c r="H143" s="18" t="s">
        <v>1</v>
      </c>
      <c r="I143" s="19" t="s">
        <v>25</v>
      </c>
      <c r="J143" s="17" t="s">
        <v>2</v>
      </c>
      <c r="K143" s="20" t="s">
        <v>94</v>
      </c>
      <c r="L143" s="20" t="s">
        <v>22</v>
      </c>
      <c r="M143" s="19" t="s">
        <v>8</v>
      </c>
      <c r="N143" s="19" t="s">
        <v>16</v>
      </c>
      <c r="O143" s="19" t="s">
        <v>17</v>
      </c>
      <c r="P143" s="19" t="s">
        <v>18</v>
      </c>
      <c r="Q143" s="20" t="s">
        <v>10</v>
      </c>
      <c r="R143" s="20" t="s">
        <v>23</v>
      </c>
      <c r="S143" s="19" t="s">
        <v>9</v>
      </c>
      <c r="T143" s="19" t="s">
        <v>19</v>
      </c>
      <c r="U143" s="19" t="s">
        <v>20</v>
      </c>
      <c r="V143" s="19" t="s">
        <v>24</v>
      </c>
    </row>
    <row r="144" spans="1:22" x14ac:dyDescent="0.25">
      <c r="A144" s="41" t="s">
        <v>184</v>
      </c>
      <c r="C144" s="176" t="s">
        <v>57</v>
      </c>
      <c r="D144" s="56">
        <v>63000</v>
      </c>
      <c r="E144" s="160">
        <v>212.2</v>
      </c>
      <c r="F144" s="160">
        <v>1</v>
      </c>
      <c r="G144" s="161">
        <v>296.88972667295008</v>
      </c>
      <c r="H144" s="7"/>
      <c r="I144" s="7"/>
      <c r="J144" s="160" t="s">
        <v>58</v>
      </c>
      <c r="K144" s="160">
        <v>162.15</v>
      </c>
      <c r="L144" s="46">
        <v>60650</v>
      </c>
      <c r="M144" s="42" t="s">
        <v>40</v>
      </c>
      <c r="N144" s="45">
        <v>371112</v>
      </c>
      <c r="O144" s="1">
        <v>0.89500000000000002</v>
      </c>
      <c r="P144" s="161">
        <v>332145.24</v>
      </c>
      <c r="Q144" s="8"/>
      <c r="R144" s="8"/>
      <c r="S144" s="7"/>
      <c r="T144" s="7"/>
      <c r="U144" s="7"/>
      <c r="V144" s="11">
        <f>T144*U144</f>
        <v>0</v>
      </c>
    </row>
    <row r="145" spans="1:22" x14ac:dyDescent="0.25">
      <c r="A145" s="86" t="s">
        <v>92</v>
      </c>
      <c r="C145" s="160" t="s">
        <v>59</v>
      </c>
      <c r="D145" s="160">
        <v>63420</v>
      </c>
      <c r="E145" s="160">
        <v>194.28</v>
      </c>
      <c r="F145" s="160">
        <v>1.1399999999999999</v>
      </c>
      <c r="G145" s="161">
        <v>326.43607164916614</v>
      </c>
      <c r="H145" s="1"/>
      <c r="I145" s="1"/>
      <c r="J145" s="25" t="s">
        <v>60</v>
      </c>
      <c r="K145" s="26">
        <v>138.21</v>
      </c>
      <c r="L145" s="46">
        <v>41000</v>
      </c>
      <c r="M145" s="42"/>
      <c r="N145" s="45"/>
      <c r="O145" s="1"/>
      <c r="P145" s="161"/>
      <c r="Q145" s="8"/>
      <c r="R145" s="8"/>
      <c r="S145" s="7"/>
      <c r="T145" s="7"/>
      <c r="U145" s="7"/>
      <c r="V145" s="11">
        <f t="shared" ref="V145" si="7">T145*U145</f>
        <v>0</v>
      </c>
    </row>
    <row r="146" spans="1:22" x14ac:dyDescent="0.25">
      <c r="A146" s="52"/>
      <c r="C146" s="10" t="s">
        <v>4</v>
      </c>
      <c r="D146" s="11">
        <f>SUM(D144:D145)</f>
        <v>126420</v>
      </c>
      <c r="E146" s="11">
        <f>SUM(E144:E145)</f>
        <v>406.48</v>
      </c>
      <c r="F146" s="10"/>
      <c r="G146" s="165">
        <f>SUM(G144:G145)</f>
        <v>623.32579832211627</v>
      </c>
      <c r="I146" s="23">
        <f>SUM(I144:I145)</f>
        <v>0</v>
      </c>
      <c r="L146" s="47">
        <f>SUM(L144:L145)</f>
        <v>101650</v>
      </c>
      <c r="N146" s="89">
        <f>N144+N145</f>
        <v>371112</v>
      </c>
      <c r="P146" s="23">
        <f>SUM(P144:P145)</f>
        <v>332145.24</v>
      </c>
      <c r="R146" s="23">
        <f>SUM(R144:R145)</f>
        <v>0</v>
      </c>
      <c r="V146" s="23">
        <f>SUM(V144:V145)</f>
        <v>0</v>
      </c>
    </row>
    <row r="147" spans="1:22" x14ac:dyDescent="0.25">
      <c r="A147" s="52"/>
      <c r="C147" s="4"/>
      <c r="D147" s="3"/>
      <c r="E147" s="3"/>
      <c r="F147" s="3"/>
      <c r="G147" s="4"/>
      <c r="H147" s="4"/>
      <c r="I147" s="4"/>
      <c r="M147" s="49"/>
      <c r="N147" s="4"/>
      <c r="O147" s="4"/>
      <c r="P147" s="4"/>
      <c r="Q147" s="4"/>
      <c r="R147" s="4"/>
      <c r="S147" s="4"/>
      <c r="T147" s="4"/>
      <c r="U147" s="4"/>
      <c r="V147" s="4"/>
    </row>
    <row r="148" spans="1:22" x14ac:dyDescent="0.25">
      <c r="A148" s="52"/>
      <c r="C148" s="4"/>
      <c r="D148" s="3"/>
      <c r="E148" s="3"/>
      <c r="F148" s="3"/>
      <c r="G148" s="4"/>
      <c r="H148" s="4"/>
      <c r="K148" s="162" t="s">
        <v>133</v>
      </c>
      <c r="L148" s="96">
        <f>(T150/G144)*100</f>
        <v>90</v>
      </c>
      <c r="M148" s="49"/>
      <c r="O148" s="4"/>
      <c r="P148" s="4"/>
      <c r="Q148" s="4"/>
      <c r="R148" s="4"/>
      <c r="S148" s="4"/>
    </row>
    <row r="149" spans="1:22" x14ac:dyDescent="0.25">
      <c r="A149" s="52"/>
      <c r="C149" s="4"/>
      <c r="D149" s="3"/>
      <c r="E149" s="3"/>
      <c r="F149" s="3"/>
      <c r="G149" s="4"/>
      <c r="H149" s="4"/>
      <c r="K149" s="159" t="s">
        <v>134</v>
      </c>
      <c r="L149" s="97">
        <f>(S150/(E146)*100)</f>
        <v>95.566817555599286</v>
      </c>
      <c r="M149" s="49"/>
      <c r="R149" s="5" t="s">
        <v>11</v>
      </c>
      <c r="S149" s="5" t="s">
        <v>12</v>
      </c>
      <c r="T149" s="5" t="s">
        <v>0</v>
      </c>
    </row>
    <row r="150" spans="1:22" x14ac:dyDescent="0.25">
      <c r="A150" s="52"/>
      <c r="C150" s="4"/>
      <c r="D150" s="3"/>
      <c r="E150" s="3"/>
      <c r="F150" s="3"/>
      <c r="G150" s="4"/>
      <c r="H150" s="4"/>
      <c r="K150" s="162" t="s">
        <v>135</v>
      </c>
      <c r="L150" s="96">
        <f>(R150/D146)*100</f>
        <v>82.104734140987787</v>
      </c>
      <c r="P150" s="4"/>
      <c r="Q150" s="5" t="s">
        <v>3</v>
      </c>
      <c r="R150" s="9">
        <f>T150*S150</f>
        <v>103796.80490103677</v>
      </c>
      <c r="S150" s="9">
        <v>388.46</v>
      </c>
      <c r="T150" s="22">
        <f>G144*0.9</f>
        <v>267.20075400565509</v>
      </c>
    </row>
    <row r="151" spans="1:22" ht="17.25" x14ac:dyDescent="0.25">
      <c r="A151" s="52"/>
      <c r="C151" s="4"/>
      <c r="D151" s="3"/>
      <c r="E151" s="3"/>
      <c r="F151" s="3"/>
      <c r="G151" s="4"/>
      <c r="H151" s="4"/>
      <c r="K151" s="159" t="s">
        <v>136</v>
      </c>
      <c r="L151" s="13">
        <f>(D146+I146+L146+P146+R146+V146)/R150</f>
        <v>5.3972301029316592</v>
      </c>
      <c r="O151" s="4"/>
      <c r="P151" s="4"/>
      <c r="S151" s="83"/>
      <c r="T151" s="3"/>
    </row>
    <row r="152" spans="1:22" ht="17.25" x14ac:dyDescent="0.25">
      <c r="A152" s="52"/>
      <c r="C152" s="4"/>
      <c r="D152" s="3"/>
      <c r="E152" s="3"/>
      <c r="F152" s="3"/>
      <c r="G152" s="4"/>
      <c r="H152" s="4"/>
      <c r="I152" s="4"/>
      <c r="K152" s="163" t="s">
        <v>137</v>
      </c>
      <c r="L152" s="15">
        <f>(D146+I146+L146)/R150</f>
        <v>2.1972738006478072</v>
      </c>
      <c r="N152" s="163" t="s">
        <v>139</v>
      </c>
      <c r="O152" s="93">
        <f>G144/N146*1000</f>
        <v>0.80000034133347908</v>
      </c>
      <c r="P152" s="4"/>
      <c r="S152" s="4"/>
    </row>
    <row r="153" spans="1:22" ht="17.25" x14ac:dyDescent="0.25">
      <c r="A153" s="52"/>
      <c r="C153" s="4"/>
      <c r="D153" s="3"/>
      <c r="E153" s="3"/>
      <c r="F153" s="3"/>
      <c r="G153" s="4"/>
      <c r="H153" s="4"/>
      <c r="I153" s="4"/>
      <c r="K153" s="164" t="s">
        <v>138</v>
      </c>
      <c r="L153" s="16">
        <f>(P146+V146)/R150</f>
        <v>3.1999563022838515</v>
      </c>
      <c r="M153" s="4"/>
      <c r="N153" s="4"/>
      <c r="O153" s="4"/>
      <c r="P153" s="4"/>
      <c r="U153" s="4"/>
      <c r="V153" s="4"/>
    </row>
    <row r="154" spans="1:22" x14ac:dyDescent="0.25">
      <c r="A154" s="52"/>
      <c r="C154" s="6"/>
      <c r="D154"/>
      <c r="E154" s="3"/>
      <c r="F154" s="3"/>
      <c r="G154" s="4"/>
      <c r="H154" s="4"/>
      <c r="I154" s="4"/>
      <c r="K154" s="4"/>
      <c r="L154" s="4"/>
      <c r="M154" s="4"/>
      <c r="P154" s="4"/>
      <c r="Q154" s="4"/>
      <c r="R154" s="4"/>
      <c r="S154" s="4"/>
      <c r="T154" s="4"/>
      <c r="U154" s="4"/>
      <c r="V154" s="4"/>
    </row>
    <row r="155" spans="1:22" x14ac:dyDescent="0.25">
      <c r="A155" s="52"/>
      <c r="B155" s="4"/>
      <c r="C155" s="6" t="s">
        <v>26</v>
      </c>
      <c r="D155" s="83"/>
      <c r="E155" s="83"/>
      <c r="F155" s="83"/>
    </row>
    <row r="156" spans="1:22" ht="32.25" x14ac:dyDescent="0.25">
      <c r="A156" s="52"/>
      <c r="C156" s="17" t="s">
        <v>14</v>
      </c>
      <c r="D156" s="20" t="s">
        <v>21</v>
      </c>
      <c r="E156" s="20" t="s">
        <v>94</v>
      </c>
      <c r="F156" s="17" t="s">
        <v>13</v>
      </c>
      <c r="G156" s="17" t="s">
        <v>15</v>
      </c>
      <c r="H156" s="18" t="s">
        <v>1</v>
      </c>
      <c r="I156" s="19" t="s">
        <v>25</v>
      </c>
      <c r="J156" s="17" t="s">
        <v>2</v>
      </c>
      <c r="K156" s="20" t="s">
        <v>94</v>
      </c>
      <c r="L156" s="20" t="s">
        <v>22</v>
      </c>
      <c r="M156" s="19" t="s">
        <v>8</v>
      </c>
      <c r="N156" s="19" t="s">
        <v>16</v>
      </c>
      <c r="O156" s="19" t="s">
        <v>17</v>
      </c>
      <c r="P156" s="19" t="s">
        <v>18</v>
      </c>
      <c r="Q156" s="20" t="s">
        <v>10</v>
      </c>
      <c r="R156" s="20" t="s">
        <v>23</v>
      </c>
      <c r="S156" s="19" t="s">
        <v>9</v>
      </c>
      <c r="T156" s="19" t="s">
        <v>19</v>
      </c>
      <c r="U156" s="19" t="s">
        <v>20</v>
      </c>
      <c r="V156" s="19" t="s">
        <v>24</v>
      </c>
    </row>
    <row r="157" spans="1:22" x14ac:dyDescent="0.25">
      <c r="A157" s="41" t="s">
        <v>197</v>
      </c>
      <c r="C157" s="172" t="s">
        <v>119</v>
      </c>
      <c r="D157" s="56">
        <v>15700</v>
      </c>
      <c r="E157" s="160">
        <v>774.73</v>
      </c>
      <c r="F157" s="160">
        <v>1</v>
      </c>
      <c r="G157" s="161">
        <f>D157/E157</f>
        <v>20.265124624062576</v>
      </c>
      <c r="H157" s="7"/>
      <c r="I157" s="7"/>
      <c r="J157" s="160" t="s">
        <v>76</v>
      </c>
      <c r="K157" s="160">
        <v>101.15</v>
      </c>
      <c r="L157" s="46">
        <f>45.6*K157</f>
        <v>4612.4400000000005</v>
      </c>
      <c r="M157" s="42" t="s">
        <v>27</v>
      </c>
      <c r="N157" s="45">
        <f>50600/2</f>
        <v>25300</v>
      </c>
      <c r="O157" s="1">
        <v>0.88300000000000001</v>
      </c>
      <c r="P157" s="161">
        <f>N157*O157</f>
        <v>22339.9</v>
      </c>
      <c r="Q157" s="8"/>
      <c r="R157" s="8"/>
      <c r="S157" s="7"/>
      <c r="T157" s="7"/>
      <c r="U157" s="7"/>
      <c r="V157" s="11">
        <f>T157*U157</f>
        <v>0</v>
      </c>
    </row>
    <row r="158" spans="1:22" x14ac:dyDescent="0.25">
      <c r="A158" s="86" t="s">
        <v>93</v>
      </c>
      <c r="C158" s="69" t="s">
        <v>124</v>
      </c>
      <c r="D158" s="160">
        <v>7120</v>
      </c>
      <c r="E158" s="160">
        <v>313.37</v>
      </c>
      <c r="F158" s="160">
        <f>G158/G157</f>
        <v>1.1211747209145535</v>
      </c>
      <c r="G158" s="161">
        <f>D158/E158</f>
        <v>22.720745444682006</v>
      </c>
      <c r="H158" s="1"/>
      <c r="I158" s="1"/>
      <c r="J158" s="25" t="s">
        <v>87</v>
      </c>
      <c r="K158" s="26">
        <v>136.58000000000001</v>
      </c>
      <c r="L158" s="46">
        <f>22.9*K158</f>
        <v>3127.6820000000002</v>
      </c>
      <c r="M158" s="42"/>
      <c r="N158" s="2"/>
      <c r="O158" s="1"/>
      <c r="P158" s="161"/>
      <c r="Q158" s="8"/>
      <c r="R158" s="8"/>
      <c r="S158" s="7"/>
      <c r="T158" s="7"/>
      <c r="U158" s="7"/>
      <c r="V158" s="11">
        <f t="shared" ref="V158" si="8">T158*U158</f>
        <v>0</v>
      </c>
    </row>
    <row r="159" spans="1:22" x14ac:dyDescent="0.25">
      <c r="C159" s="10" t="s">
        <v>4</v>
      </c>
      <c r="D159" s="11">
        <f>SUM(D157:D158)</f>
        <v>22820</v>
      </c>
      <c r="E159" s="11">
        <f>SUM(E157:E158)</f>
        <v>1088.0999999999999</v>
      </c>
      <c r="F159" s="10"/>
      <c r="G159" s="165">
        <f>SUM(G157:G158)</f>
        <v>42.985870068744582</v>
      </c>
      <c r="I159" s="23">
        <f>SUM(I157:I158)</f>
        <v>0</v>
      </c>
      <c r="L159" s="47">
        <f>SUM(L157:L158)</f>
        <v>7740.1220000000012</v>
      </c>
      <c r="N159" s="89">
        <f>N157+N158</f>
        <v>25300</v>
      </c>
      <c r="P159" s="23">
        <f>SUM(P157:P158)</f>
        <v>22339.9</v>
      </c>
      <c r="R159" s="23">
        <f>SUM(R157:R158)</f>
        <v>0</v>
      </c>
      <c r="V159" s="23">
        <f>SUM(V157:V158)</f>
        <v>0</v>
      </c>
    </row>
    <row r="160" spans="1:22" x14ac:dyDescent="0.25">
      <c r="C160" s="4"/>
      <c r="D160" s="3"/>
      <c r="E160" s="3"/>
      <c r="F160" s="3"/>
      <c r="G160" s="4"/>
      <c r="H160" s="4"/>
      <c r="I160" s="4"/>
      <c r="M160" s="49"/>
      <c r="N160" s="4"/>
      <c r="O160" s="4"/>
      <c r="P160" s="4"/>
      <c r="Q160" s="4"/>
      <c r="R160" s="4"/>
      <c r="S160" s="4"/>
      <c r="T160" s="4"/>
      <c r="U160" s="4"/>
      <c r="V160" s="4"/>
    </row>
    <row r="161" spans="1:22" x14ac:dyDescent="0.25">
      <c r="C161" s="4"/>
      <c r="D161" s="3"/>
      <c r="E161" s="3"/>
      <c r="F161" s="3"/>
      <c r="G161" s="4"/>
      <c r="H161" s="4"/>
      <c r="K161" s="162" t="s">
        <v>133</v>
      </c>
      <c r="L161" s="96">
        <f>(T163/G157)*100</f>
        <v>90.000000000000014</v>
      </c>
      <c r="M161" s="49"/>
      <c r="O161" s="4"/>
      <c r="P161" s="4"/>
      <c r="Q161" s="4"/>
      <c r="R161" s="4"/>
      <c r="S161" s="4"/>
    </row>
    <row r="162" spans="1:22" x14ac:dyDescent="0.25">
      <c r="C162" s="4"/>
      <c r="D162" s="3"/>
      <c r="E162" s="3"/>
      <c r="F162" s="3"/>
      <c r="G162" s="4"/>
      <c r="H162" s="4"/>
      <c r="K162" s="159" t="s">
        <v>134</v>
      </c>
      <c r="L162" s="97">
        <f>(S163/(E159)*100)</f>
        <v>82.518150905247694</v>
      </c>
      <c r="M162" s="49"/>
      <c r="R162" s="5" t="s">
        <v>11</v>
      </c>
      <c r="S162" s="5" t="s">
        <v>12</v>
      </c>
      <c r="T162" s="5" t="s">
        <v>0</v>
      </c>
    </row>
    <row r="163" spans="1:22" x14ac:dyDescent="0.25">
      <c r="C163" s="4"/>
      <c r="D163" s="3"/>
      <c r="E163" s="3"/>
      <c r="F163" s="3"/>
      <c r="G163" s="4"/>
      <c r="H163" s="4"/>
      <c r="K163" s="162" t="s">
        <v>135</v>
      </c>
      <c r="L163" s="96">
        <f>(R163/D159)*100</f>
        <v>71.761985485135753</v>
      </c>
      <c r="P163" s="4"/>
      <c r="Q163" s="5" t="s">
        <v>3</v>
      </c>
      <c r="R163" s="9">
        <f>T163*S163</f>
        <v>16376.085087707977</v>
      </c>
      <c r="S163" s="9">
        <v>897.88</v>
      </c>
      <c r="T163" s="22">
        <f>G157*0.9</f>
        <v>18.23861216165632</v>
      </c>
    </row>
    <row r="164" spans="1:22" ht="17.25" x14ac:dyDescent="0.25">
      <c r="C164" s="4"/>
      <c r="D164" s="3"/>
      <c r="E164" s="3"/>
      <c r="F164" s="3"/>
      <c r="G164" s="4"/>
      <c r="H164" s="4"/>
      <c r="K164" s="159" t="s">
        <v>136</v>
      </c>
      <c r="L164" s="13">
        <f>(D159+I159+L159+P159+R159+V159)/R163</f>
        <v>3.2303216377220214</v>
      </c>
      <c r="O164" s="4"/>
      <c r="P164" s="4"/>
      <c r="S164" s="83"/>
      <c r="T164" s="3"/>
    </row>
    <row r="165" spans="1:22" ht="17.25" x14ac:dyDescent="0.25">
      <c r="C165" s="4"/>
      <c r="D165" s="3"/>
      <c r="E165" s="3"/>
      <c r="F165" s="3"/>
      <c r="G165" s="4"/>
      <c r="H165" s="4"/>
      <c r="I165" s="4"/>
      <c r="K165" s="163" t="s">
        <v>137</v>
      </c>
      <c r="L165" s="15">
        <f>(D159+I159+L159)/R163</f>
        <v>1.8661433325684587</v>
      </c>
      <c r="N165" s="163" t="s">
        <v>139</v>
      </c>
      <c r="O165" s="93">
        <f>G157/N159*1000</f>
        <v>0.80099306814476579</v>
      </c>
      <c r="P165" s="4"/>
      <c r="S165" s="4"/>
    </row>
    <row r="166" spans="1:22" ht="17.25" x14ac:dyDescent="0.25">
      <c r="C166" s="4"/>
      <c r="D166" s="3"/>
      <c r="E166" s="3"/>
      <c r="F166" s="3"/>
      <c r="G166" s="4"/>
      <c r="H166" s="4"/>
      <c r="I166" s="4"/>
      <c r="K166" s="164" t="s">
        <v>138</v>
      </c>
      <c r="L166" s="16">
        <f>(P159+V159)/R163</f>
        <v>1.3641783051535628</v>
      </c>
      <c r="M166" s="4"/>
      <c r="N166" s="4"/>
      <c r="O166" s="59"/>
      <c r="P166" s="4"/>
      <c r="U166" s="4"/>
      <c r="V166" s="4"/>
    </row>
    <row r="167" spans="1:22" x14ac:dyDescent="0.25">
      <c r="C167" s="6"/>
      <c r="D167"/>
      <c r="E167" s="3"/>
      <c r="F167" s="3"/>
      <c r="G167" s="4"/>
      <c r="H167" s="4"/>
      <c r="I167" s="4"/>
      <c r="K167" s="4"/>
      <c r="L167" s="4"/>
      <c r="M167" s="4"/>
      <c r="P167" s="4"/>
      <c r="Q167" s="4"/>
      <c r="R167" s="4"/>
      <c r="S167" s="4"/>
      <c r="T167" s="4"/>
      <c r="U167" s="4"/>
      <c r="V167" s="4"/>
    </row>
    <row r="168" spans="1:22" ht="17.25" customHeight="1" x14ac:dyDescent="0.25">
      <c r="C168" s="6"/>
      <c r="D168"/>
      <c r="E168" s="3"/>
      <c r="F168" s="3"/>
      <c r="G168" s="4"/>
      <c r="H168" s="4"/>
      <c r="I168" s="4"/>
      <c r="M168" s="4"/>
      <c r="N168" s="4"/>
      <c r="O168" s="4"/>
      <c r="P168" s="4"/>
      <c r="Q168" s="4"/>
      <c r="R168" s="4"/>
      <c r="S168" s="4"/>
      <c r="T168" s="4"/>
      <c r="U168" s="4"/>
      <c r="V168" s="4"/>
    </row>
    <row r="169" spans="1:22" s="29" customFormat="1" x14ac:dyDescent="0.25">
      <c r="A169" s="28" t="s">
        <v>132</v>
      </c>
      <c r="D169" s="30"/>
      <c r="E169" s="30"/>
      <c r="F169" s="30"/>
    </row>
    <row r="170" spans="1:22" x14ac:dyDescent="0.25">
      <c r="B170" s="4"/>
      <c r="C170" s="6" t="s">
        <v>26</v>
      </c>
      <c r="D170" s="109"/>
      <c r="E170" s="109"/>
      <c r="F170" s="109"/>
    </row>
    <row r="171" spans="1:22" ht="32.25" x14ac:dyDescent="0.25">
      <c r="C171" s="17" t="s">
        <v>14</v>
      </c>
      <c r="D171" s="20" t="s">
        <v>21</v>
      </c>
      <c r="E171" s="20" t="s">
        <v>94</v>
      </c>
      <c r="F171" s="17" t="s">
        <v>13</v>
      </c>
      <c r="G171" s="17" t="s">
        <v>15</v>
      </c>
      <c r="H171" s="18" t="s">
        <v>1</v>
      </c>
      <c r="I171" s="19" t="s">
        <v>25</v>
      </c>
      <c r="J171" s="17" t="s">
        <v>2</v>
      </c>
      <c r="K171" s="20" t="s">
        <v>94</v>
      </c>
      <c r="L171" s="20" t="s">
        <v>22</v>
      </c>
      <c r="M171" s="19" t="s">
        <v>8</v>
      </c>
      <c r="N171" s="19" t="s">
        <v>16</v>
      </c>
      <c r="O171" s="19" t="s">
        <v>17</v>
      </c>
      <c r="P171" s="19" t="s">
        <v>18</v>
      </c>
      <c r="Q171" s="20" t="s">
        <v>10</v>
      </c>
      <c r="R171" s="20" t="s">
        <v>23</v>
      </c>
      <c r="S171" s="19" t="s">
        <v>9</v>
      </c>
      <c r="T171" s="19" t="s">
        <v>19</v>
      </c>
      <c r="U171" s="19" t="s">
        <v>20</v>
      </c>
      <c r="V171" s="19" t="s">
        <v>24</v>
      </c>
    </row>
    <row r="172" spans="1:22" x14ac:dyDescent="0.25">
      <c r="A172" s="41" t="s">
        <v>184</v>
      </c>
      <c r="C172" s="176" t="s">
        <v>57</v>
      </c>
      <c r="D172" s="56">
        <v>63000</v>
      </c>
      <c r="E172" s="160">
        <v>212.2</v>
      </c>
      <c r="F172" s="160">
        <v>1</v>
      </c>
      <c r="G172" s="161">
        <v>296.88972667295008</v>
      </c>
      <c r="H172" s="7"/>
      <c r="I172" s="7"/>
      <c r="J172" s="8" t="s">
        <v>58</v>
      </c>
      <c r="K172" s="8">
        <v>162.15</v>
      </c>
      <c r="L172" s="46">
        <f>G173*K172</f>
        <v>52931.609017912291</v>
      </c>
      <c r="M172" s="42" t="s">
        <v>40</v>
      </c>
      <c r="N172" s="45">
        <v>371112</v>
      </c>
      <c r="O172" s="1">
        <v>0.89500000000000002</v>
      </c>
      <c r="P172" s="161">
        <v>332145.24</v>
      </c>
      <c r="Q172" s="8"/>
      <c r="R172" s="8"/>
      <c r="S172" s="7"/>
      <c r="T172" s="7"/>
      <c r="U172" s="7"/>
      <c r="V172" s="11">
        <f>T172*U172</f>
        <v>0</v>
      </c>
    </row>
    <row r="173" spans="1:22" x14ac:dyDescent="0.25">
      <c r="A173" s="86" t="s">
        <v>92</v>
      </c>
      <c r="C173" s="8" t="s">
        <v>59</v>
      </c>
      <c r="D173" s="160">
        <v>63420</v>
      </c>
      <c r="E173" s="160">
        <v>194.28</v>
      </c>
      <c r="F173" s="160">
        <v>1.1399999999999999</v>
      </c>
      <c r="G173" s="161">
        <v>326.43607164916614</v>
      </c>
      <c r="H173" s="1"/>
      <c r="I173" s="1"/>
      <c r="J173" s="25" t="s">
        <v>60</v>
      </c>
      <c r="K173" s="26">
        <v>138.21</v>
      </c>
      <c r="L173" s="46">
        <f>G173*K173</f>
        <v>45116.729462631258</v>
      </c>
      <c r="M173" s="42" t="s">
        <v>40</v>
      </c>
      <c r="N173" s="45">
        <v>371112</v>
      </c>
      <c r="O173" s="1">
        <v>0.89500000000000002</v>
      </c>
      <c r="P173" s="161">
        <v>332145.24</v>
      </c>
      <c r="Q173" s="8"/>
      <c r="R173" s="8"/>
      <c r="S173" s="7"/>
      <c r="T173" s="7"/>
      <c r="U173" s="7"/>
      <c r="V173" s="11">
        <f t="shared" ref="V173" si="9">T173*U173</f>
        <v>0</v>
      </c>
    </row>
    <row r="174" spans="1:22" x14ac:dyDescent="0.25">
      <c r="A174" s="52"/>
      <c r="C174" s="10" t="s">
        <v>4</v>
      </c>
      <c r="D174" s="11">
        <f>SUM(D172:D173)</f>
        <v>126420</v>
      </c>
      <c r="E174" s="11">
        <f>SUM(E172:E173)</f>
        <v>406.48</v>
      </c>
      <c r="F174" s="10"/>
      <c r="G174" s="165">
        <f>SUM(G172:G173)</f>
        <v>623.32579832211627</v>
      </c>
      <c r="I174" s="23">
        <f>SUM(I172:I173)</f>
        <v>0</v>
      </c>
      <c r="L174" s="47">
        <f>SUM(L172:L173)</f>
        <v>98048.338480543549</v>
      </c>
      <c r="N174" s="89">
        <f>SUM(N172:N173)</f>
        <v>742224</v>
      </c>
      <c r="P174" s="23">
        <f>SUM(P172:P173)</f>
        <v>664290.48</v>
      </c>
      <c r="R174" s="23">
        <f>SUM(R172:R173)</f>
        <v>0</v>
      </c>
      <c r="V174" s="23">
        <f>SUM(V172:V173)</f>
        <v>0</v>
      </c>
    </row>
    <row r="175" spans="1:22" x14ac:dyDescent="0.25">
      <c r="A175" s="52"/>
      <c r="C175" s="4"/>
      <c r="D175" s="3"/>
      <c r="E175" s="3"/>
      <c r="F175" s="3"/>
      <c r="G175" s="4"/>
      <c r="H175" s="4"/>
      <c r="I175" s="4"/>
      <c r="M175" s="49"/>
      <c r="N175" s="4"/>
      <c r="O175" s="4"/>
      <c r="P175" s="4"/>
      <c r="Q175" s="4"/>
      <c r="R175" s="4"/>
      <c r="S175" s="4"/>
      <c r="T175" s="4"/>
      <c r="U175" s="4"/>
      <c r="V175" s="4"/>
    </row>
    <row r="176" spans="1:22" x14ac:dyDescent="0.25">
      <c r="A176" s="52"/>
      <c r="C176" s="4"/>
      <c r="D176" s="3"/>
      <c r="E176" s="3"/>
      <c r="F176" s="3"/>
      <c r="G176" s="4"/>
      <c r="H176" s="4"/>
      <c r="K176" s="162" t="s">
        <v>133</v>
      </c>
      <c r="L176" s="96">
        <f>(T178/G172)*100</f>
        <v>90</v>
      </c>
      <c r="M176" s="49"/>
      <c r="O176" s="4"/>
      <c r="P176" s="4"/>
      <c r="Q176" s="4"/>
      <c r="R176" s="4"/>
      <c r="S176" s="4"/>
    </row>
    <row r="177" spans="1:22" x14ac:dyDescent="0.25">
      <c r="A177" s="52"/>
      <c r="C177" s="4"/>
      <c r="D177" s="3"/>
      <c r="E177" s="3"/>
      <c r="F177" s="3"/>
      <c r="G177" s="4"/>
      <c r="H177" s="4"/>
      <c r="K177" s="159" t="s">
        <v>134</v>
      </c>
      <c r="L177" s="97">
        <f>(S178/(E174)*100)</f>
        <v>95.566817555599286</v>
      </c>
      <c r="M177" s="49"/>
      <c r="R177" s="5" t="s">
        <v>11</v>
      </c>
      <c r="S177" s="5" t="s">
        <v>12</v>
      </c>
      <c r="T177" s="5" t="s">
        <v>0</v>
      </c>
    </row>
    <row r="178" spans="1:22" x14ac:dyDescent="0.25">
      <c r="A178" s="52"/>
      <c r="C178" s="4"/>
      <c r="D178" s="3"/>
      <c r="E178" s="3"/>
      <c r="F178" s="3"/>
      <c r="G178" s="4"/>
      <c r="H178" s="4"/>
      <c r="K178" s="162" t="s">
        <v>135</v>
      </c>
      <c r="L178" s="96">
        <f>(R178/D174)*100</f>
        <v>82.104734140987787</v>
      </c>
      <c r="P178" s="4"/>
      <c r="Q178" s="5" t="s">
        <v>3</v>
      </c>
      <c r="R178" s="9">
        <f>T178*S178</f>
        <v>103796.80490103677</v>
      </c>
      <c r="S178" s="9">
        <v>388.46</v>
      </c>
      <c r="T178" s="22">
        <f>G172*0.9</f>
        <v>267.20075400565509</v>
      </c>
    </row>
    <row r="179" spans="1:22" ht="17.25" x14ac:dyDescent="0.25">
      <c r="A179" s="52"/>
      <c r="C179" s="4"/>
      <c r="D179" s="3"/>
      <c r="E179" s="3"/>
      <c r="F179" s="3"/>
      <c r="G179" s="4"/>
      <c r="H179" s="4"/>
      <c r="K179" s="159" t="s">
        <v>136</v>
      </c>
      <c r="L179" s="13">
        <f>(D174+I174+L174+P174+R174+V174)/R178</f>
        <v>8.5624872492743389</v>
      </c>
      <c r="O179" s="4"/>
      <c r="P179" s="4"/>
      <c r="S179" s="109"/>
      <c r="T179" s="3"/>
    </row>
    <row r="180" spans="1:22" ht="17.25" x14ac:dyDescent="0.25">
      <c r="A180" s="52"/>
      <c r="C180" s="4"/>
      <c r="D180" s="3"/>
      <c r="E180" s="3"/>
      <c r="F180" s="3"/>
      <c r="G180" s="4"/>
      <c r="H180" s="4"/>
      <c r="I180" s="4"/>
      <c r="K180" s="163" t="s">
        <v>137</v>
      </c>
      <c r="L180" s="15">
        <f>(D174+I174+L174)/R178</f>
        <v>2.1625746447066354</v>
      </c>
      <c r="N180" s="163" t="s">
        <v>139</v>
      </c>
      <c r="O180" s="93">
        <f>G172/N174*1000</f>
        <v>0.40000017066673954</v>
      </c>
      <c r="P180" s="4"/>
      <c r="S180" s="4"/>
    </row>
    <row r="181" spans="1:22" ht="17.25" x14ac:dyDescent="0.25">
      <c r="A181" s="52"/>
      <c r="C181" s="4"/>
      <c r="D181" s="3"/>
      <c r="E181" s="3"/>
      <c r="F181" s="3"/>
      <c r="G181" s="4"/>
      <c r="H181" s="4"/>
      <c r="I181" s="4"/>
      <c r="K181" s="164" t="s">
        <v>138</v>
      </c>
      <c r="L181" s="16">
        <f>(P174+V174)/R178</f>
        <v>6.3999126045677031</v>
      </c>
      <c r="M181" s="4"/>
      <c r="N181" s="4"/>
      <c r="O181" s="4"/>
      <c r="P181" s="4"/>
      <c r="U181" s="4"/>
      <c r="V181" s="4"/>
    </row>
    <row r="182" spans="1:22" x14ac:dyDescent="0.25">
      <c r="A182" s="52"/>
      <c r="C182" s="6"/>
      <c r="D182"/>
      <c r="E182" s="3"/>
      <c r="F182" s="3"/>
      <c r="G182" s="4"/>
      <c r="H182" s="4"/>
      <c r="I182" s="4"/>
      <c r="K182" s="4"/>
      <c r="L182" s="4"/>
      <c r="M182" s="4"/>
      <c r="P182" s="4"/>
      <c r="Q182" s="4"/>
      <c r="R182" s="4"/>
      <c r="S182" s="4"/>
      <c r="T182" s="4"/>
      <c r="U182" s="4"/>
      <c r="V182" s="4"/>
    </row>
    <row r="183" spans="1:22" x14ac:dyDescent="0.25">
      <c r="A183" s="52"/>
      <c r="B183" s="4"/>
      <c r="C183" s="6" t="s">
        <v>26</v>
      </c>
      <c r="D183" s="109"/>
      <c r="E183" s="109"/>
      <c r="F183" s="109"/>
    </row>
    <row r="184" spans="1:22" ht="32.25" x14ac:dyDescent="0.25">
      <c r="A184" s="52"/>
      <c r="C184" s="17" t="s">
        <v>14</v>
      </c>
      <c r="D184" s="20" t="s">
        <v>21</v>
      </c>
      <c r="E184" s="20" t="s">
        <v>94</v>
      </c>
      <c r="F184" s="17" t="s">
        <v>13</v>
      </c>
      <c r="G184" s="17" t="s">
        <v>15</v>
      </c>
      <c r="H184" s="18" t="s">
        <v>1</v>
      </c>
      <c r="I184" s="19" t="s">
        <v>25</v>
      </c>
      <c r="J184" s="17" t="s">
        <v>2</v>
      </c>
      <c r="K184" s="20" t="s">
        <v>94</v>
      </c>
      <c r="L184" s="20" t="s">
        <v>22</v>
      </c>
      <c r="M184" s="19" t="s">
        <v>8</v>
      </c>
      <c r="N184" s="19" t="s">
        <v>16</v>
      </c>
      <c r="O184" s="19" t="s">
        <v>17</v>
      </c>
      <c r="P184" s="19" t="s">
        <v>18</v>
      </c>
      <c r="Q184" s="20" t="s">
        <v>10</v>
      </c>
      <c r="R184" s="20" t="s">
        <v>23</v>
      </c>
      <c r="S184" s="19" t="s">
        <v>9</v>
      </c>
      <c r="T184" s="19" t="s">
        <v>19</v>
      </c>
      <c r="U184" s="19" t="s">
        <v>20</v>
      </c>
      <c r="V184" s="19" t="s">
        <v>24</v>
      </c>
    </row>
    <row r="185" spans="1:22" x14ac:dyDescent="0.25">
      <c r="A185" s="41" t="s">
        <v>197</v>
      </c>
      <c r="C185" s="172" t="s">
        <v>119</v>
      </c>
      <c r="D185" s="56">
        <v>15700</v>
      </c>
      <c r="E185" s="160">
        <v>774.73</v>
      </c>
      <c r="F185" s="160">
        <v>1</v>
      </c>
      <c r="G185" s="161">
        <f>D185/E185</f>
        <v>20.265124624062576</v>
      </c>
      <c r="H185" s="7"/>
      <c r="I185" s="7"/>
      <c r="J185" s="8" t="s">
        <v>58</v>
      </c>
      <c r="K185" s="8">
        <v>162.15</v>
      </c>
      <c r="L185" s="46">
        <f>G186*K185</f>
        <v>3684.1688738551875</v>
      </c>
      <c r="M185" s="42" t="s">
        <v>27</v>
      </c>
      <c r="N185" s="45">
        <v>50600</v>
      </c>
      <c r="O185" s="1">
        <v>0.88300000000000001</v>
      </c>
      <c r="P185" s="161">
        <f>N185*O185</f>
        <v>44679.8</v>
      </c>
      <c r="Q185" s="8"/>
      <c r="R185" s="8"/>
      <c r="S185" s="7"/>
      <c r="T185" s="7"/>
      <c r="U185" s="7"/>
      <c r="V185" s="11">
        <f>T185*U185</f>
        <v>0</v>
      </c>
    </row>
    <row r="186" spans="1:22" x14ac:dyDescent="0.25">
      <c r="A186" s="86" t="s">
        <v>93</v>
      </c>
      <c r="C186" s="69" t="s">
        <v>124</v>
      </c>
      <c r="D186" s="160">
        <v>7120</v>
      </c>
      <c r="E186" s="160">
        <v>313.37</v>
      </c>
      <c r="F186" s="160">
        <f>G186/G185</f>
        <v>1.1211747209145535</v>
      </c>
      <c r="G186" s="161">
        <f>D186/E186</f>
        <v>22.720745444682006</v>
      </c>
      <c r="H186" s="1"/>
      <c r="I186" s="1"/>
      <c r="J186" s="25" t="s">
        <v>60</v>
      </c>
      <c r="K186" s="26">
        <v>138.21</v>
      </c>
      <c r="L186" s="46">
        <f>G186*K186</f>
        <v>3140.2342279095001</v>
      </c>
      <c r="M186" s="42"/>
      <c r="N186" s="2"/>
      <c r="O186" s="1"/>
      <c r="P186" s="11"/>
      <c r="Q186" s="8"/>
      <c r="R186" s="8"/>
      <c r="S186" s="7"/>
      <c r="T186" s="7"/>
      <c r="U186" s="7"/>
      <c r="V186" s="11">
        <f t="shared" ref="V186" si="10">T186*U186</f>
        <v>0</v>
      </c>
    </row>
    <row r="187" spans="1:22" x14ac:dyDescent="0.25">
      <c r="C187" s="10" t="s">
        <v>4</v>
      </c>
      <c r="D187" s="11">
        <f>SUM(D185:D186)</f>
        <v>22820</v>
      </c>
      <c r="E187" s="11">
        <f>SUM(E185:E186)</f>
        <v>1088.0999999999999</v>
      </c>
      <c r="F187" s="10"/>
      <c r="G187" s="165">
        <f>SUM(G185:G186)</f>
        <v>42.985870068744582</v>
      </c>
      <c r="I187" s="23">
        <f>SUM(I185:I186)</f>
        <v>0</v>
      </c>
      <c r="L187" s="47">
        <f>SUM(L185:L186)</f>
        <v>6824.4031017646876</v>
      </c>
      <c r="N187" s="89">
        <f>SUM(N185:N186)</f>
        <v>50600</v>
      </c>
      <c r="P187" s="23">
        <f>SUM(P185:P186)</f>
        <v>44679.8</v>
      </c>
      <c r="R187" s="23">
        <f>SUM(R185:R186)</f>
        <v>0</v>
      </c>
      <c r="V187" s="23">
        <f>SUM(V185:V186)</f>
        <v>0</v>
      </c>
    </row>
    <row r="188" spans="1:22" x14ac:dyDescent="0.25">
      <c r="C188" s="4"/>
      <c r="D188" s="3"/>
      <c r="E188" s="3"/>
      <c r="F188" s="3"/>
      <c r="G188" s="4"/>
      <c r="H188" s="4"/>
      <c r="I188" s="4"/>
      <c r="M188" s="49"/>
      <c r="N188" s="4"/>
      <c r="O188" s="4"/>
      <c r="P188" s="4"/>
      <c r="Q188" s="4"/>
      <c r="R188" s="4"/>
      <c r="S188" s="4"/>
      <c r="T188" s="4"/>
      <c r="U188" s="4"/>
      <c r="V188" s="4"/>
    </row>
    <row r="189" spans="1:22" x14ac:dyDescent="0.25">
      <c r="C189" s="4"/>
      <c r="D189" s="3"/>
      <c r="E189" s="3"/>
      <c r="F189" s="3"/>
      <c r="G189" s="4"/>
      <c r="H189" s="4"/>
      <c r="K189" s="162" t="s">
        <v>133</v>
      </c>
      <c r="L189" s="96">
        <f>(T191/G185)*100</f>
        <v>90.000000000000014</v>
      </c>
      <c r="M189" s="49"/>
      <c r="O189" s="4"/>
      <c r="P189" s="4"/>
      <c r="Q189" s="4"/>
      <c r="R189" s="4"/>
      <c r="S189" s="4"/>
    </row>
    <row r="190" spans="1:22" x14ac:dyDescent="0.25">
      <c r="C190" s="4"/>
      <c r="D190" s="3"/>
      <c r="E190" s="3"/>
      <c r="F190" s="3"/>
      <c r="G190" s="4"/>
      <c r="H190" s="4"/>
      <c r="K190" s="159" t="s">
        <v>134</v>
      </c>
      <c r="L190" s="97">
        <f>(S191/(E187)*100)</f>
        <v>82.518150905247694</v>
      </c>
      <c r="M190" s="49"/>
      <c r="R190" s="5" t="s">
        <v>11</v>
      </c>
      <c r="S190" s="5" t="s">
        <v>12</v>
      </c>
      <c r="T190" s="5" t="s">
        <v>0</v>
      </c>
    </row>
    <row r="191" spans="1:22" x14ac:dyDescent="0.25">
      <c r="C191" s="4"/>
      <c r="D191" s="3"/>
      <c r="E191" s="3"/>
      <c r="F191" s="3"/>
      <c r="G191" s="4"/>
      <c r="H191" s="4"/>
      <c r="K191" s="162" t="s">
        <v>135</v>
      </c>
      <c r="L191" s="96">
        <f>(R191/D187)*100</f>
        <v>71.761985485135753</v>
      </c>
      <c r="P191" s="4"/>
      <c r="Q191" s="5" t="s">
        <v>3</v>
      </c>
      <c r="R191" s="9">
        <f>T191*S191</f>
        <v>16376.085087707977</v>
      </c>
      <c r="S191" s="9">
        <v>897.88</v>
      </c>
      <c r="T191" s="22">
        <f>G185*0.9</f>
        <v>18.23861216165632</v>
      </c>
    </row>
    <row r="192" spans="1:22" ht="17.25" x14ac:dyDescent="0.25">
      <c r="C192" s="4"/>
      <c r="D192" s="3"/>
      <c r="E192" s="3"/>
      <c r="F192" s="3"/>
      <c r="G192" s="4"/>
      <c r="H192" s="4"/>
      <c r="K192" s="159" t="s">
        <v>136</v>
      </c>
      <c r="L192" s="13">
        <f>(D187+I187+L187+P187+R187+V187)/R191</f>
        <v>4.538581883502367</v>
      </c>
      <c r="O192" s="4"/>
      <c r="P192" s="4"/>
      <c r="S192" s="109"/>
      <c r="T192" s="3"/>
    </row>
    <row r="193" spans="1:22" ht="17.25" x14ac:dyDescent="0.25">
      <c r="C193" s="4"/>
      <c r="D193" s="3"/>
      <c r="E193" s="3"/>
      <c r="F193" s="3"/>
      <c r="G193" s="4"/>
      <c r="H193" s="4"/>
      <c r="I193" s="4"/>
      <c r="K193" s="163" t="s">
        <v>137</v>
      </c>
      <c r="L193" s="15">
        <f>(D187+I187+L187)/R191</f>
        <v>1.8102252731952411</v>
      </c>
      <c r="N193" s="163" t="s">
        <v>139</v>
      </c>
      <c r="O193" s="93">
        <f>G185/N187*1000</f>
        <v>0.40049653407238289</v>
      </c>
      <c r="P193" s="4"/>
      <c r="S193" s="4"/>
    </row>
    <row r="194" spans="1:22" ht="17.25" x14ac:dyDescent="0.25">
      <c r="C194" s="4"/>
      <c r="D194" s="3"/>
      <c r="E194" s="3"/>
      <c r="F194" s="3"/>
      <c r="G194" s="4"/>
      <c r="H194" s="4"/>
      <c r="I194" s="4"/>
      <c r="K194" s="164" t="s">
        <v>138</v>
      </c>
      <c r="L194" s="16">
        <f>(P187+V187)/R191</f>
        <v>2.7283566103071255</v>
      </c>
      <c r="M194" s="4"/>
      <c r="N194" s="4"/>
      <c r="O194" s="4"/>
      <c r="P194" s="4"/>
      <c r="U194" s="4"/>
      <c r="V194" s="4"/>
    </row>
    <row r="195" spans="1:22" s="179" customFormat="1" x14ac:dyDescent="0.25">
      <c r="C195" s="4"/>
      <c r="D195" s="3"/>
      <c r="E195" s="3"/>
      <c r="F195" s="3"/>
      <c r="G195" s="4"/>
      <c r="H195" s="4"/>
      <c r="I195" s="4"/>
      <c r="K195" s="4"/>
      <c r="L195" s="4"/>
      <c r="M195" s="4"/>
      <c r="N195" s="4"/>
      <c r="O195" s="4"/>
      <c r="P195" s="4"/>
      <c r="U195" s="4"/>
      <c r="V195" s="4"/>
    </row>
    <row r="196" spans="1:22" s="180" customFormat="1" x14ac:dyDescent="0.25">
      <c r="A196" s="167" t="s">
        <v>206</v>
      </c>
      <c r="D196" s="169"/>
      <c r="E196" s="169"/>
      <c r="F196" s="169"/>
    </row>
    <row r="197" spans="1:22" s="179" customFormat="1" x14ac:dyDescent="0.25">
      <c r="B197" s="4"/>
      <c r="C197" s="6" t="s">
        <v>26</v>
      </c>
      <c r="D197" s="189"/>
      <c r="E197" s="189"/>
      <c r="F197" s="189"/>
    </row>
    <row r="198" spans="1:22" s="179" customFormat="1" ht="32.25" x14ac:dyDescent="0.25">
      <c r="C198" s="17" t="s">
        <v>14</v>
      </c>
      <c r="D198" s="20" t="s">
        <v>21</v>
      </c>
      <c r="E198" s="20" t="s">
        <v>94</v>
      </c>
      <c r="F198" s="17" t="s">
        <v>13</v>
      </c>
      <c r="G198" s="17" t="s">
        <v>15</v>
      </c>
      <c r="H198" s="18" t="s">
        <v>1</v>
      </c>
      <c r="I198" s="19" t="s">
        <v>25</v>
      </c>
      <c r="J198" s="17" t="s">
        <v>2</v>
      </c>
      <c r="K198" s="20" t="s">
        <v>94</v>
      </c>
      <c r="L198" s="20" t="s">
        <v>22</v>
      </c>
      <c r="M198" s="19" t="s">
        <v>8</v>
      </c>
      <c r="N198" s="19" t="s">
        <v>16</v>
      </c>
      <c r="O198" s="19" t="s">
        <v>17</v>
      </c>
      <c r="P198" s="19" t="s">
        <v>18</v>
      </c>
      <c r="Q198" s="20" t="s">
        <v>10</v>
      </c>
      <c r="R198" s="20" t="s">
        <v>23</v>
      </c>
      <c r="S198" s="19" t="s">
        <v>9</v>
      </c>
      <c r="T198" s="19" t="s">
        <v>19</v>
      </c>
      <c r="U198" s="19" t="s">
        <v>20</v>
      </c>
      <c r="V198" s="19" t="s">
        <v>24</v>
      </c>
    </row>
    <row r="199" spans="1:22" s="179" customFormat="1" x14ac:dyDescent="0.25">
      <c r="A199" s="41" t="s">
        <v>184</v>
      </c>
      <c r="C199" s="176" t="s">
        <v>57</v>
      </c>
      <c r="D199" s="56">
        <v>63000</v>
      </c>
      <c r="E199" s="160">
        <v>212.2</v>
      </c>
      <c r="F199" s="160">
        <v>1</v>
      </c>
      <c r="G199" s="161">
        <v>296.88972667295008</v>
      </c>
      <c r="H199" s="7"/>
      <c r="I199" s="7"/>
      <c r="J199" s="160" t="s">
        <v>58</v>
      </c>
      <c r="K199" s="160">
        <v>162.15</v>
      </c>
      <c r="L199" s="46">
        <f>G200*K199</f>
        <v>52931.609017912291</v>
      </c>
      <c r="M199" s="42" t="s">
        <v>40</v>
      </c>
      <c r="N199" s="45">
        <v>371112</v>
      </c>
      <c r="O199" s="1">
        <v>0.89500000000000002</v>
      </c>
      <c r="P199" s="161">
        <v>332145.24</v>
      </c>
      <c r="Q199" s="160"/>
      <c r="R199" s="160"/>
      <c r="S199" s="7"/>
      <c r="T199" s="7"/>
      <c r="U199" s="7"/>
      <c r="V199" s="161">
        <f>T199*U199</f>
        <v>0</v>
      </c>
    </row>
    <row r="200" spans="1:22" s="179" customFormat="1" x14ac:dyDescent="0.25">
      <c r="A200" s="86" t="s">
        <v>92</v>
      </c>
      <c r="C200" s="160" t="s">
        <v>59</v>
      </c>
      <c r="D200" s="160">
        <v>63420</v>
      </c>
      <c r="E200" s="160">
        <v>194.28</v>
      </c>
      <c r="F200" s="160">
        <v>1.1399999999999999</v>
      </c>
      <c r="G200" s="161">
        <v>326.43607164916614</v>
      </c>
      <c r="H200" s="1"/>
      <c r="I200" s="1"/>
      <c r="J200" s="25" t="s">
        <v>60</v>
      </c>
      <c r="K200" s="26">
        <v>138.21</v>
      </c>
      <c r="L200" s="46">
        <f>G200*K200</f>
        <v>45116.729462631258</v>
      </c>
      <c r="M200" s="42" t="s">
        <v>40</v>
      </c>
      <c r="N200" s="45">
        <v>371112</v>
      </c>
      <c r="O200" s="1">
        <v>0.89500000000000002</v>
      </c>
      <c r="P200" s="161">
        <v>332145.24</v>
      </c>
      <c r="Q200" s="160"/>
      <c r="R200" s="160"/>
      <c r="S200" s="7"/>
      <c r="T200" s="7"/>
      <c r="U200" s="7"/>
      <c r="V200" s="161">
        <f t="shared" ref="V200" si="11">T200*U200</f>
        <v>0</v>
      </c>
    </row>
    <row r="201" spans="1:22" s="179" customFormat="1" x14ac:dyDescent="0.25">
      <c r="A201" s="52"/>
      <c r="C201" s="10" t="s">
        <v>4</v>
      </c>
      <c r="D201" s="161">
        <f>SUM(D199:D200)</f>
        <v>126420</v>
      </c>
      <c r="E201" s="161">
        <f>SUM(E199:E200)</f>
        <v>406.48</v>
      </c>
      <c r="F201" s="10"/>
      <c r="G201" s="165">
        <f>SUM(G199:G200)</f>
        <v>623.32579832211627</v>
      </c>
      <c r="I201" s="165">
        <f>SUM(I199:I200)</f>
        <v>0</v>
      </c>
      <c r="L201" s="47">
        <f>SUM(L199:L200)</f>
        <v>98048.338480543549</v>
      </c>
      <c r="N201" s="89">
        <f>SUM(N199:N200)</f>
        <v>742224</v>
      </c>
      <c r="P201" s="165">
        <f>SUM(P199:P200)</f>
        <v>664290.48</v>
      </c>
      <c r="R201" s="165">
        <f>SUM(R199:R200)</f>
        <v>0</v>
      </c>
      <c r="V201" s="165">
        <f>SUM(V199:V200)</f>
        <v>0</v>
      </c>
    </row>
    <row r="202" spans="1:22" s="179" customFormat="1" x14ac:dyDescent="0.25">
      <c r="A202" s="52"/>
      <c r="C202" s="4"/>
      <c r="D202" s="3"/>
      <c r="E202" s="3"/>
      <c r="F202" s="3"/>
      <c r="G202" s="4"/>
      <c r="H202" s="4"/>
      <c r="I202" s="4"/>
      <c r="M202" s="182"/>
      <c r="N202" s="4"/>
      <c r="O202" s="4"/>
      <c r="P202" s="4"/>
      <c r="Q202" s="4"/>
      <c r="R202" s="4"/>
      <c r="S202" s="4"/>
      <c r="T202" s="4"/>
      <c r="U202" s="4"/>
      <c r="V202" s="4"/>
    </row>
    <row r="203" spans="1:22" s="179" customFormat="1" x14ac:dyDescent="0.25">
      <c r="A203" s="52"/>
      <c r="C203" s="4"/>
      <c r="D203" s="3"/>
      <c r="E203" s="3"/>
      <c r="F203" s="3"/>
      <c r="G203" s="4"/>
      <c r="H203" s="4"/>
      <c r="K203" s="162" t="s">
        <v>133</v>
      </c>
      <c r="L203" s="96">
        <f>(T205/G199)*100</f>
        <v>50</v>
      </c>
      <c r="M203" s="182"/>
      <c r="O203" s="4"/>
      <c r="P203" s="4"/>
      <c r="Q203" s="4"/>
      <c r="R203" s="4"/>
      <c r="S203" s="4"/>
    </row>
    <row r="204" spans="1:22" s="179" customFormat="1" x14ac:dyDescent="0.25">
      <c r="A204" s="52"/>
      <c r="C204" s="4"/>
      <c r="D204" s="3"/>
      <c r="E204" s="3"/>
      <c r="F204" s="3"/>
      <c r="G204" s="4"/>
      <c r="H204" s="4"/>
      <c r="K204" s="159" t="s">
        <v>134</v>
      </c>
      <c r="L204" s="97">
        <f>(S205/(E201)*100)</f>
        <v>95.566817555599286</v>
      </c>
      <c r="M204" s="182"/>
      <c r="R204" s="5" t="s">
        <v>11</v>
      </c>
      <c r="S204" s="5" t="s">
        <v>12</v>
      </c>
      <c r="T204" s="5" t="s">
        <v>0</v>
      </c>
    </row>
    <row r="205" spans="1:22" s="179" customFormat="1" x14ac:dyDescent="0.25">
      <c r="A205" s="52"/>
      <c r="C205" s="4"/>
      <c r="D205" s="3"/>
      <c r="E205" s="3"/>
      <c r="F205" s="3"/>
      <c r="G205" s="4"/>
      <c r="H205" s="4"/>
      <c r="K205" s="162" t="s">
        <v>135</v>
      </c>
      <c r="L205" s="96">
        <f>(R205/D201)*100</f>
        <v>45.613741189437661</v>
      </c>
      <c r="P205" s="4"/>
      <c r="Q205" s="5" t="s">
        <v>3</v>
      </c>
      <c r="R205" s="9">
        <f>T205*S205</f>
        <v>57664.89161168709</v>
      </c>
      <c r="S205" s="9">
        <v>388.46</v>
      </c>
      <c r="T205" s="22">
        <f>G199*0.5</f>
        <v>148.44486333647504</v>
      </c>
    </row>
    <row r="206" spans="1:22" s="179" customFormat="1" ht="17.25" x14ac:dyDescent="0.25">
      <c r="A206" s="52"/>
      <c r="C206" s="4"/>
      <c r="D206" s="3"/>
      <c r="E206" s="3"/>
      <c r="F206" s="3"/>
      <c r="G206" s="4"/>
      <c r="H206" s="4"/>
      <c r="K206" s="159" t="s">
        <v>136</v>
      </c>
      <c r="L206" s="13">
        <f>(D201+I201+L201+P201+R201+V201)/R205</f>
        <v>15.412477048693811</v>
      </c>
      <c r="O206" s="4"/>
      <c r="P206" s="4"/>
      <c r="S206" s="189"/>
      <c r="T206" s="3"/>
    </row>
    <row r="207" spans="1:22" s="179" customFormat="1" ht="17.25" x14ac:dyDescent="0.25">
      <c r="A207" s="52"/>
      <c r="C207" s="4"/>
      <c r="D207" s="3"/>
      <c r="E207" s="3"/>
      <c r="F207" s="3"/>
      <c r="G207" s="4"/>
      <c r="H207" s="4"/>
      <c r="I207" s="4"/>
      <c r="K207" s="163" t="s">
        <v>137</v>
      </c>
      <c r="L207" s="15">
        <f>(D201+I201+L201)/R205</f>
        <v>3.892634360471944</v>
      </c>
      <c r="N207" s="163" t="s">
        <v>139</v>
      </c>
      <c r="O207" s="93">
        <f>G199/N201*1000</f>
        <v>0.40000017066673954</v>
      </c>
      <c r="P207" s="4"/>
      <c r="S207" s="4"/>
    </row>
    <row r="208" spans="1:22" s="179" customFormat="1" ht="17.25" x14ac:dyDescent="0.25">
      <c r="A208" s="52"/>
      <c r="C208" s="4"/>
      <c r="D208" s="3"/>
      <c r="E208" s="3"/>
      <c r="F208" s="3"/>
      <c r="G208" s="4"/>
      <c r="H208" s="4"/>
      <c r="I208" s="4"/>
      <c r="K208" s="164" t="s">
        <v>138</v>
      </c>
      <c r="L208" s="16">
        <f>(P201+V201)/R205</f>
        <v>11.519842688221868</v>
      </c>
      <c r="M208" s="4"/>
      <c r="N208" s="4"/>
      <c r="O208" s="4"/>
      <c r="P208" s="4"/>
      <c r="U208" s="4"/>
      <c r="V208" s="4"/>
    </row>
    <row r="209" spans="1:22" s="179" customFormat="1" x14ac:dyDescent="0.25">
      <c r="A209" s="52"/>
      <c r="C209" s="6"/>
      <c r="E209" s="3"/>
      <c r="F209" s="3"/>
      <c r="G209" s="4"/>
      <c r="H209" s="4"/>
      <c r="I209" s="4"/>
      <c r="K209" s="4"/>
      <c r="L209" s="4"/>
      <c r="M209" s="4"/>
      <c r="P209" s="4"/>
      <c r="Q209" s="4"/>
      <c r="R209" s="4"/>
      <c r="S209" s="4"/>
      <c r="T209" s="4"/>
      <c r="U209" s="4"/>
      <c r="V209" s="4"/>
    </row>
    <row r="210" spans="1:22" s="179" customFormat="1" x14ac:dyDescent="0.25">
      <c r="A210" s="52"/>
      <c r="B210" s="4"/>
      <c r="C210" s="6" t="s">
        <v>26</v>
      </c>
      <c r="D210" s="189"/>
      <c r="E210" s="189"/>
      <c r="F210" s="189"/>
    </row>
    <row r="211" spans="1:22" s="179" customFormat="1" ht="32.25" x14ac:dyDescent="0.25">
      <c r="A211" s="52"/>
      <c r="C211" s="17" t="s">
        <v>14</v>
      </c>
      <c r="D211" s="20" t="s">
        <v>21</v>
      </c>
      <c r="E211" s="20" t="s">
        <v>94</v>
      </c>
      <c r="F211" s="17" t="s">
        <v>13</v>
      </c>
      <c r="G211" s="17" t="s">
        <v>15</v>
      </c>
      <c r="H211" s="18" t="s">
        <v>1</v>
      </c>
      <c r="I211" s="19" t="s">
        <v>25</v>
      </c>
      <c r="J211" s="17" t="s">
        <v>2</v>
      </c>
      <c r="K211" s="20" t="s">
        <v>94</v>
      </c>
      <c r="L211" s="20" t="s">
        <v>22</v>
      </c>
      <c r="M211" s="19" t="s">
        <v>8</v>
      </c>
      <c r="N211" s="19" t="s">
        <v>16</v>
      </c>
      <c r="O211" s="19" t="s">
        <v>17</v>
      </c>
      <c r="P211" s="19" t="s">
        <v>18</v>
      </c>
      <c r="Q211" s="20" t="s">
        <v>10</v>
      </c>
      <c r="R211" s="20" t="s">
        <v>23</v>
      </c>
      <c r="S211" s="19" t="s">
        <v>9</v>
      </c>
      <c r="T211" s="19" t="s">
        <v>19</v>
      </c>
      <c r="U211" s="19" t="s">
        <v>20</v>
      </c>
      <c r="V211" s="19" t="s">
        <v>24</v>
      </c>
    </row>
    <row r="212" spans="1:22" s="179" customFormat="1" x14ac:dyDescent="0.25">
      <c r="A212" s="41" t="s">
        <v>197</v>
      </c>
      <c r="C212" s="172" t="s">
        <v>119</v>
      </c>
      <c r="D212" s="56">
        <v>15700</v>
      </c>
      <c r="E212" s="160">
        <v>774.73</v>
      </c>
      <c r="F212" s="160">
        <v>1</v>
      </c>
      <c r="G212" s="161">
        <f>D212/E212</f>
        <v>20.265124624062576</v>
      </c>
      <c r="H212" s="7"/>
      <c r="I212" s="7"/>
      <c r="J212" s="160" t="s">
        <v>58</v>
      </c>
      <c r="K212" s="160">
        <v>162.15</v>
      </c>
      <c r="L212" s="46">
        <f>G213*K212</f>
        <v>3684.1688738551875</v>
      </c>
      <c r="M212" s="42" t="s">
        <v>27</v>
      </c>
      <c r="N212" s="45">
        <v>50600</v>
      </c>
      <c r="O212" s="1">
        <v>0.88300000000000001</v>
      </c>
      <c r="P212" s="161">
        <f>N212*O212</f>
        <v>44679.8</v>
      </c>
      <c r="Q212" s="160"/>
      <c r="R212" s="160"/>
      <c r="S212" s="7"/>
      <c r="T212" s="7"/>
      <c r="U212" s="7"/>
      <c r="V212" s="161">
        <f>T212*U212</f>
        <v>0</v>
      </c>
    </row>
    <row r="213" spans="1:22" s="179" customFormat="1" x14ac:dyDescent="0.25">
      <c r="A213" s="86" t="s">
        <v>93</v>
      </c>
      <c r="C213" s="69" t="s">
        <v>124</v>
      </c>
      <c r="D213" s="160">
        <v>7120</v>
      </c>
      <c r="E213" s="160">
        <v>313.37</v>
      </c>
      <c r="F213" s="160">
        <f>G213/G212</f>
        <v>1.1211747209145535</v>
      </c>
      <c r="G213" s="161">
        <f>D213/E213</f>
        <v>22.720745444682006</v>
      </c>
      <c r="H213" s="1"/>
      <c r="I213" s="1"/>
      <c r="J213" s="25" t="s">
        <v>60</v>
      </c>
      <c r="K213" s="26">
        <v>138.21</v>
      </c>
      <c r="L213" s="46">
        <f>G213*K213</f>
        <v>3140.2342279095001</v>
      </c>
      <c r="M213" s="42"/>
      <c r="N213" s="2"/>
      <c r="O213" s="1"/>
      <c r="P213" s="161"/>
      <c r="Q213" s="160"/>
      <c r="R213" s="160"/>
      <c r="S213" s="7"/>
      <c r="T213" s="7"/>
      <c r="U213" s="7"/>
      <c r="V213" s="161">
        <f t="shared" ref="V213" si="12">T213*U213</f>
        <v>0</v>
      </c>
    </row>
    <row r="214" spans="1:22" s="179" customFormat="1" x14ac:dyDescent="0.25">
      <c r="C214" s="10" t="s">
        <v>4</v>
      </c>
      <c r="D214" s="161">
        <f>SUM(D212:D213)</f>
        <v>22820</v>
      </c>
      <c r="E214" s="161">
        <f>SUM(E212:E213)</f>
        <v>1088.0999999999999</v>
      </c>
      <c r="F214" s="10"/>
      <c r="G214" s="165">
        <f>SUM(G212:G213)</f>
        <v>42.985870068744582</v>
      </c>
      <c r="I214" s="165">
        <f>SUM(I212:I213)</f>
        <v>0</v>
      </c>
      <c r="L214" s="47">
        <f>SUM(L212:L213)</f>
        <v>6824.4031017646876</v>
      </c>
      <c r="N214" s="89">
        <f>SUM(N212:N213)</f>
        <v>50600</v>
      </c>
      <c r="P214" s="165">
        <f>SUM(P212:P213)</f>
        <v>44679.8</v>
      </c>
      <c r="R214" s="165">
        <f>SUM(R212:R213)</f>
        <v>0</v>
      </c>
      <c r="V214" s="165">
        <f>SUM(V212:V213)</f>
        <v>0</v>
      </c>
    </row>
    <row r="215" spans="1:22" s="179" customFormat="1" x14ac:dyDescent="0.25">
      <c r="C215" s="4"/>
      <c r="D215" s="3"/>
      <c r="E215" s="3"/>
      <c r="F215" s="3"/>
      <c r="G215" s="4"/>
      <c r="H215" s="4"/>
      <c r="I215" s="4"/>
      <c r="M215" s="182"/>
      <c r="N215" s="4"/>
      <c r="O215" s="4"/>
      <c r="P215" s="4"/>
      <c r="Q215" s="4"/>
      <c r="R215" s="4"/>
      <c r="S215" s="4"/>
      <c r="T215" s="4"/>
      <c r="U215" s="4"/>
      <c r="V215" s="4"/>
    </row>
    <row r="216" spans="1:22" s="179" customFormat="1" x14ac:dyDescent="0.25">
      <c r="C216" s="4"/>
      <c r="D216" s="3"/>
      <c r="E216" s="3"/>
      <c r="F216" s="3"/>
      <c r="G216" s="4"/>
      <c r="H216" s="4"/>
      <c r="K216" s="162" t="s">
        <v>133</v>
      </c>
      <c r="L216" s="96">
        <f>(T218/G212)*100</f>
        <v>50</v>
      </c>
      <c r="M216" s="182"/>
      <c r="O216" s="4"/>
      <c r="P216" s="4"/>
      <c r="Q216" s="4"/>
      <c r="R216" s="4"/>
      <c r="S216" s="4"/>
    </row>
    <row r="217" spans="1:22" s="179" customFormat="1" x14ac:dyDescent="0.25">
      <c r="C217" s="4"/>
      <c r="D217" s="3"/>
      <c r="E217" s="3"/>
      <c r="F217" s="3"/>
      <c r="G217" s="4"/>
      <c r="H217" s="4"/>
      <c r="K217" s="159" t="s">
        <v>134</v>
      </c>
      <c r="L217" s="97">
        <f>(S218/(E214)*100)</f>
        <v>82.518150905247694</v>
      </c>
      <c r="M217" s="182"/>
      <c r="R217" s="5" t="s">
        <v>11</v>
      </c>
      <c r="S217" s="5" t="s">
        <v>12</v>
      </c>
      <c r="T217" s="5" t="s">
        <v>0</v>
      </c>
    </row>
    <row r="218" spans="1:22" s="179" customFormat="1" x14ac:dyDescent="0.25">
      <c r="C218" s="4"/>
      <c r="D218" s="3"/>
      <c r="E218" s="3"/>
      <c r="F218" s="3"/>
      <c r="G218" s="4"/>
      <c r="H218" s="4"/>
      <c r="K218" s="162" t="s">
        <v>135</v>
      </c>
      <c r="L218" s="96">
        <f>(R218/D214)*100</f>
        <v>39.867769713964293</v>
      </c>
      <c r="P218" s="4"/>
      <c r="Q218" s="5" t="s">
        <v>3</v>
      </c>
      <c r="R218" s="9">
        <f>T218*S218</f>
        <v>9097.8250487266523</v>
      </c>
      <c r="S218" s="9">
        <v>897.88</v>
      </c>
      <c r="T218" s="22">
        <f>G212*0.5</f>
        <v>10.132562312031288</v>
      </c>
    </row>
    <row r="219" spans="1:22" s="179" customFormat="1" ht="17.25" x14ac:dyDescent="0.25">
      <c r="C219" s="4"/>
      <c r="D219" s="3"/>
      <c r="E219" s="3"/>
      <c r="F219" s="3"/>
      <c r="G219" s="4"/>
      <c r="H219" s="4"/>
      <c r="K219" s="159" t="s">
        <v>136</v>
      </c>
      <c r="L219" s="13">
        <f>(D214+I214+L214+P214+R214+V214)/R218</f>
        <v>8.1694473903042617</v>
      </c>
      <c r="O219" s="4"/>
      <c r="P219" s="4"/>
      <c r="S219" s="189"/>
      <c r="T219" s="3"/>
    </row>
    <row r="220" spans="1:22" s="179" customFormat="1" ht="17.25" x14ac:dyDescent="0.25">
      <c r="C220" s="4"/>
      <c r="D220" s="3"/>
      <c r="E220" s="3"/>
      <c r="F220" s="3"/>
      <c r="G220" s="4"/>
      <c r="H220" s="4"/>
      <c r="I220" s="4"/>
      <c r="K220" s="163" t="s">
        <v>137</v>
      </c>
      <c r="L220" s="15">
        <f>(D214+I214+L214)/R218</f>
        <v>3.2584054917514349</v>
      </c>
      <c r="N220" s="163" t="s">
        <v>139</v>
      </c>
      <c r="O220" s="93">
        <f>G212/N214*1000</f>
        <v>0.40049653407238289</v>
      </c>
      <c r="P220" s="4"/>
      <c r="S220" s="4"/>
    </row>
    <row r="221" spans="1:22" s="179" customFormat="1" ht="17.25" x14ac:dyDescent="0.25">
      <c r="C221" s="4"/>
      <c r="D221" s="3"/>
      <c r="E221" s="3"/>
      <c r="F221" s="3"/>
      <c r="G221" s="4"/>
      <c r="H221" s="4"/>
      <c r="I221" s="4"/>
      <c r="K221" s="164" t="s">
        <v>138</v>
      </c>
      <c r="L221" s="16">
        <f>(P214+V214)/R218</f>
        <v>4.9110418985528268</v>
      </c>
      <c r="M221" s="4"/>
      <c r="N221" s="4"/>
      <c r="O221" s="4"/>
      <c r="P221" s="4"/>
      <c r="U221" s="4"/>
      <c r="V221" s="4"/>
    </row>
    <row r="222" spans="1:22" s="179" customFormat="1" x14ac:dyDescent="0.25">
      <c r="C222" s="6"/>
      <c r="E222" s="3"/>
      <c r="F222" s="3"/>
      <c r="G222" s="4"/>
      <c r="H222" s="4"/>
      <c r="I222" s="4"/>
      <c r="K222" s="4"/>
      <c r="L222" s="4"/>
      <c r="M222" s="4"/>
      <c r="P222" s="4"/>
      <c r="Q222" s="4"/>
      <c r="R222" s="4"/>
      <c r="S222" s="4"/>
      <c r="T222" s="4"/>
      <c r="U222" s="4"/>
      <c r="V222" s="4"/>
    </row>
    <row r="223" spans="1:22" x14ac:dyDescent="0.25">
      <c r="C223" s="6"/>
      <c r="D223"/>
      <c r="E223" s="3"/>
      <c r="F223" s="3"/>
      <c r="G223" s="4"/>
      <c r="H223" s="4"/>
      <c r="I223" s="4"/>
      <c r="K223" s="4"/>
      <c r="L223" s="4"/>
      <c r="M223" s="4"/>
      <c r="P223" s="4"/>
      <c r="Q223" s="4"/>
      <c r="R223" s="4"/>
      <c r="S223" s="4"/>
      <c r="T223" s="4"/>
      <c r="U223" s="4"/>
      <c r="V223" s="4"/>
    </row>
    <row r="224" spans="1:22" x14ac:dyDescent="0.25">
      <c r="N224" s="54"/>
      <c r="O224" s="54"/>
      <c r="P224" s="54"/>
      <c r="Q224" s="54"/>
      <c r="R224" s="54"/>
      <c r="S224" s="54"/>
      <c r="T224" s="54"/>
      <c r="U224" s="54"/>
      <c r="V224" s="54"/>
    </row>
    <row r="225" spans="1:22" s="29" customFormat="1" x14ac:dyDescent="0.25">
      <c r="A225" s="28" t="s">
        <v>207</v>
      </c>
      <c r="D225" s="30"/>
      <c r="E225" s="30"/>
      <c r="F225" s="30"/>
    </row>
    <row r="226" spans="1:22" x14ac:dyDescent="0.25">
      <c r="B226" s="4"/>
      <c r="C226" s="6" t="s">
        <v>26</v>
      </c>
      <c r="D226" s="109"/>
      <c r="E226" s="109"/>
      <c r="F226" s="109"/>
    </row>
    <row r="227" spans="1:22" ht="32.25" x14ac:dyDescent="0.25">
      <c r="C227" s="17" t="s">
        <v>14</v>
      </c>
      <c r="D227" s="20" t="s">
        <v>21</v>
      </c>
      <c r="E227" s="20" t="s">
        <v>94</v>
      </c>
      <c r="F227" s="17" t="s">
        <v>13</v>
      </c>
      <c r="G227" s="17" t="s">
        <v>15</v>
      </c>
      <c r="H227" s="18" t="s">
        <v>1</v>
      </c>
      <c r="I227" s="19" t="s">
        <v>25</v>
      </c>
      <c r="J227" s="17" t="s">
        <v>2</v>
      </c>
      <c r="K227" s="20" t="s">
        <v>94</v>
      </c>
      <c r="L227" s="20" t="s">
        <v>22</v>
      </c>
      <c r="M227" s="19" t="s">
        <v>8</v>
      </c>
      <c r="N227" s="19" t="s">
        <v>16</v>
      </c>
      <c r="O227" s="19" t="s">
        <v>17</v>
      </c>
      <c r="P227" s="19" t="s">
        <v>18</v>
      </c>
      <c r="Q227" s="20" t="s">
        <v>10</v>
      </c>
      <c r="R227" s="20" t="s">
        <v>23</v>
      </c>
      <c r="S227" s="19" t="s">
        <v>9</v>
      </c>
      <c r="T227" s="19" t="s">
        <v>19</v>
      </c>
      <c r="U227" s="19" t="s">
        <v>20</v>
      </c>
      <c r="V227" s="19" t="s">
        <v>24</v>
      </c>
    </row>
    <row r="228" spans="1:22" x14ac:dyDescent="0.25">
      <c r="A228" s="41" t="s">
        <v>184</v>
      </c>
      <c r="C228" s="176" t="s">
        <v>57</v>
      </c>
      <c r="D228" s="56">
        <v>63000</v>
      </c>
      <c r="E228" s="160">
        <v>212.2</v>
      </c>
      <c r="F228" s="160">
        <v>1</v>
      </c>
      <c r="G228" s="161">
        <v>296.88972667295008</v>
      </c>
      <c r="H228" s="7"/>
      <c r="I228" s="7"/>
      <c r="J228" s="8" t="s">
        <v>76</v>
      </c>
      <c r="K228" s="8">
        <v>101.15</v>
      </c>
      <c r="L228" s="46">
        <f>G229*K228</f>
        <v>33019.00864731316</v>
      </c>
      <c r="M228" s="42" t="s">
        <v>40</v>
      </c>
      <c r="N228" s="45">
        <v>371112</v>
      </c>
      <c r="O228" s="1">
        <v>0.89500000000000002</v>
      </c>
      <c r="P228" s="161">
        <v>332145.24</v>
      </c>
      <c r="Q228" s="8"/>
      <c r="R228" s="8"/>
      <c r="S228" s="7"/>
      <c r="T228" s="7"/>
      <c r="U228" s="7"/>
      <c r="V228" s="11">
        <f>T228*U228</f>
        <v>0</v>
      </c>
    </row>
    <row r="229" spans="1:22" x14ac:dyDescent="0.25">
      <c r="A229" s="86" t="s">
        <v>92</v>
      </c>
      <c r="C229" s="160" t="s">
        <v>59</v>
      </c>
      <c r="D229" s="160">
        <v>63420</v>
      </c>
      <c r="E229" s="160">
        <v>194.28</v>
      </c>
      <c r="F229" s="160">
        <v>1.1399999999999999</v>
      </c>
      <c r="G229" s="161">
        <v>326.43607164916614</v>
      </c>
      <c r="H229" s="1"/>
      <c r="I229" s="1"/>
      <c r="J229" s="25" t="s">
        <v>87</v>
      </c>
      <c r="K229" s="26">
        <v>136.58000000000001</v>
      </c>
      <c r="L229" s="46">
        <f>G229*K229</f>
        <v>44584.638665843115</v>
      </c>
      <c r="M229" s="42" t="s">
        <v>40</v>
      </c>
      <c r="N229" s="45">
        <v>371112</v>
      </c>
      <c r="O229" s="1">
        <v>0.89500000000000002</v>
      </c>
      <c r="P229" s="161">
        <v>332145.24</v>
      </c>
      <c r="Q229" s="8"/>
      <c r="R229" s="8"/>
      <c r="S229" s="7"/>
      <c r="T229" s="7"/>
      <c r="U229" s="7"/>
      <c r="V229" s="11">
        <f t="shared" ref="V229" si="13">T229*U229</f>
        <v>0</v>
      </c>
    </row>
    <row r="230" spans="1:22" x14ac:dyDescent="0.25">
      <c r="A230" s="52"/>
      <c r="C230" s="10" t="s">
        <v>4</v>
      </c>
      <c r="D230" s="11">
        <f>SUM(D228:D229)</f>
        <v>126420</v>
      </c>
      <c r="E230" s="11">
        <f>SUM(E228:E229)</f>
        <v>406.48</v>
      </c>
      <c r="F230" s="10"/>
      <c r="G230" s="165">
        <f>SUM(G228:G229)</f>
        <v>623.32579832211627</v>
      </c>
      <c r="I230" s="23">
        <f>SUM(I228:I229)</f>
        <v>0</v>
      </c>
      <c r="L230" s="47">
        <f>SUM(L228:L229)</f>
        <v>77603.647313156282</v>
      </c>
      <c r="N230" s="89">
        <f>SUM(N228:N229)</f>
        <v>742224</v>
      </c>
      <c r="P230" s="23">
        <f>SUM(P228:P229)</f>
        <v>664290.48</v>
      </c>
      <c r="R230" s="23">
        <f>SUM(R228:R229)</f>
        <v>0</v>
      </c>
      <c r="V230" s="23">
        <f>SUM(V228:V229)</f>
        <v>0</v>
      </c>
    </row>
    <row r="231" spans="1:22" x14ac:dyDescent="0.25">
      <c r="A231" s="52"/>
      <c r="C231" s="4"/>
      <c r="D231" s="3"/>
      <c r="E231" s="3"/>
      <c r="F231" s="3"/>
      <c r="G231" s="4"/>
      <c r="H231" s="4"/>
      <c r="I231" s="4"/>
      <c r="M231" s="49"/>
      <c r="N231" s="4"/>
      <c r="O231" s="4"/>
      <c r="P231" s="4"/>
      <c r="Q231" s="4"/>
      <c r="R231" s="4"/>
      <c r="S231" s="4"/>
      <c r="T231" s="4"/>
      <c r="U231" s="4"/>
      <c r="V231" s="4"/>
    </row>
    <row r="232" spans="1:22" x14ac:dyDescent="0.25">
      <c r="A232" s="52"/>
      <c r="C232" s="4"/>
      <c r="D232" s="3"/>
      <c r="E232" s="3"/>
      <c r="F232" s="3"/>
      <c r="G232" s="4"/>
      <c r="H232" s="4"/>
      <c r="K232" s="162" t="s">
        <v>133</v>
      </c>
      <c r="L232" s="96">
        <f>(T234/G228)*100</f>
        <v>90</v>
      </c>
      <c r="M232" s="49"/>
      <c r="O232" s="4"/>
      <c r="P232" s="4"/>
      <c r="Q232" s="4"/>
      <c r="R232" s="4"/>
      <c r="S232" s="4"/>
    </row>
    <row r="233" spans="1:22" x14ac:dyDescent="0.25">
      <c r="A233" s="52"/>
      <c r="C233" s="4"/>
      <c r="D233" s="3"/>
      <c r="E233" s="3"/>
      <c r="F233" s="3"/>
      <c r="G233" s="4"/>
      <c r="H233" s="4"/>
      <c r="K233" s="159" t="s">
        <v>134</v>
      </c>
      <c r="L233" s="97">
        <f>(S234/(E230)*100)</f>
        <v>95.566817555599286</v>
      </c>
      <c r="M233" s="49"/>
      <c r="R233" s="5" t="s">
        <v>11</v>
      </c>
      <c r="S233" s="5" t="s">
        <v>12</v>
      </c>
      <c r="T233" s="5" t="s">
        <v>0</v>
      </c>
    </row>
    <row r="234" spans="1:22" x14ac:dyDescent="0.25">
      <c r="A234" s="52"/>
      <c r="C234" s="4"/>
      <c r="D234" s="3"/>
      <c r="E234" s="3"/>
      <c r="F234" s="3"/>
      <c r="G234" s="4"/>
      <c r="H234" s="4"/>
      <c r="K234" s="162" t="s">
        <v>135</v>
      </c>
      <c r="L234" s="96">
        <f>(R234/D230)*100</f>
        <v>82.104734140987787</v>
      </c>
      <c r="P234" s="4"/>
      <c r="Q234" s="5" t="s">
        <v>3</v>
      </c>
      <c r="R234" s="9">
        <f>T234*S234</f>
        <v>103796.80490103677</v>
      </c>
      <c r="S234" s="9">
        <v>388.46</v>
      </c>
      <c r="T234" s="22">
        <f>G228*0.9</f>
        <v>267.20075400565509</v>
      </c>
    </row>
    <row r="235" spans="1:22" ht="17.25" x14ac:dyDescent="0.25">
      <c r="A235" s="52"/>
      <c r="C235" s="4"/>
      <c r="D235" s="3"/>
      <c r="E235" s="3"/>
      <c r="F235" s="3"/>
      <c r="G235" s="4"/>
      <c r="H235" s="4"/>
      <c r="K235" s="159" t="s">
        <v>136</v>
      </c>
      <c r="L235" s="13">
        <f>(D230+I230+L230+P230+R230+V230)/R234</f>
        <v>8.3655188436776555</v>
      </c>
      <c r="O235" s="4"/>
      <c r="P235" s="4"/>
      <c r="S235" s="109"/>
      <c r="T235" s="3"/>
    </row>
    <row r="236" spans="1:22" ht="17.25" x14ac:dyDescent="0.25">
      <c r="A236" s="52"/>
      <c r="C236" s="4"/>
      <c r="D236" s="3"/>
      <c r="E236" s="3"/>
      <c r="F236" s="3"/>
      <c r="G236" s="4"/>
      <c r="H236" s="4"/>
      <c r="I236" s="4"/>
      <c r="K236" s="163" t="s">
        <v>137</v>
      </c>
      <c r="L236" s="15">
        <f>(D230+I230+L230)/R234</f>
        <v>1.9656062391099516</v>
      </c>
      <c r="N236" s="163" t="s">
        <v>139</v>
      </c>
      <c r="O236" s="93">
        <f>G228/N230*1000</f>
        <v>0.40000017066673954</v>
      </c>
      <c r="P236" s="4"/>
      <c r="S236" s="4"/>
    </row>
    <row r="237" spans="1:22" ht="17.25" x14ac:dyDescent="0.25">
      <c r="A237" s="52"/>
      <c r="C237" s="4"/>
      <c r="D237" s="3"/>
      <c r="E237" s="3"/>
      <c r="F237" s="3"/>
      <c r="G237" s="4"/>
      <c r="H237" s="4"/>
      <c r="I237" s="4"/>
      <c r="K237" s="164" t="s">
        <v>138</v>
      </c>
      <c r="L237" s="16">
        <f>(P230+V230)/R234</f>
        <v>6.3999126045677031</v>
      </c>
      <c r="M237" s="4"/>
      <c r="N237" s="4"/>
      <c r="O237" s="4"/>
      <c r="P237" s="4"/>
      <c r="U237" s="4"/>
      <c r="V237" s="4"/>
    </row>
    <row r="238" spans="1:22" x14ac:dyDescent="0.25">
      <c r="A238" s="52"/>
      <c r="C238" s="6"/>
      <c r="D238"/>
      <c r="E238" s="3"/>
      <c r="F238" s="3"/>
      <c r="G238" s="4"/>
      <c r="H238" s="4"/>
      <c r="I238" s="4"/>
      <c r="K238" s="4"/>
      <c r="L238" s="4"/>
      <c r="M238" s="4"/>
      <c r="P238" s="4"/>
      <c r="Q238" s="4"/>
      <c r="R238" s="4"/>
      <c r="S238" s="4"/>
      <c r="T238" s="4"/>
      <c r="U238" s="4"/>
      <c r="V238" s="4"/>
    </row>
    <row r="239" spans="1:22" x14ac:dyDescent="0.25">
      <c r="A239" s="52"/>
      <c r="B239" s="4"/>
      <c r="C239" s="6" t="s">
        <v>26</v>
      </c>
      <c r="D239" s="109"/>
      <c r="E239" s="109"/>
      <c r="F239" s="109"/>
    </row>
    <row r="240" spans="1:22" ht="32.25" x14ac:dyDescent="0.25">
      <c r="A240" s="52"/>
      <c r="C240" s="17" t="s">
        <v>14</v>
      </c>
      <c r="D240" s="20" t="s">
        <v>21</v>
      </c>
      <c r="E240" s="20" t="s">
        <v>94</v>
      </c>
      <c r="F240" s="17" t="s">
        <v>13</v>
      </c>
      <c r="G240" s="17" t="s">
        <v>15</v>
      </c>
      <c r="H240" s="18" t="s">
        <v>1</v>
      </c>
      <c r="I240" s="19" t="s">
        <v>25</v>
      </c>
      <c r="J240" s="17" t="s">
        <v>2</v>
      </c>
      <c r="K240" s="20" t="s">
        <v>94</v>
      </c>
      <c r="L240" s="20" t="s">
        <v>22</v>
      </c>
      <c r="M240" s="19" t="s">
        <v>8</v>
      </c>
      <c r="N240" s="19" t="s">
        <v>16</v>
      </c>
      <c r="O240" s="19" t="s">
        <v>17</v>
      </c>
      <c r="P240" s="19" t="s">
        <v>18</v>
      </c>
      <c r="Q240" s="20" t="s">
        <v>10</v>
      </c>
      <c r="R240" s="20" t="s">
        <v>23</v>
      </c>
      <c r="S240" s="19" t="s">
        <v>9</v>
      </c>
      <c r="T240" s="19" t="s">
        <v>19</v>
      </c>
      <c r="U240" s="19" t="s">
        <v>20</v>
      </c>
      <c r="V240" s="19" t="s">
        <v>24</v>
      </c>
    </row>
    <row r="241" spans="1:22" x14ac:dyDescent="0.25">
      <c r="A241" s="41" t="s">
        <v>197</v>
      </c>
      <c r="C241" s="172" t="s">
        <v>119</v>
      </c>
      <c r="D241" s="56">
        <v>15700</v>
      </c>
      <c r="E241" s="160">
        <v>774.73</v>
      </c>
      <c r="F241" s="160">
        <v>1</v>
      </c>
      <c r="G241" s="161">
        <f>D241/E241</f>
        <v>20.265124624062576</v>
      </c>
      <c r="H241" s="7"/>
      <c r="I241" s="7"/>
      <c r="J241" s="8" t="s">
        <v>76</v>
      </c>
      <c r="K241" s="8">
        <v>101.15</v>
      </c>
      <c r="L241" s="46">
        <f>G242*K241</f>
        <v>2298.203401729585</v>
      </c>
      <c r="M241" s="42" t="s">
        <v>27</v>
      </c>
      <c r="N241" s="45">
        <v>50600</v>
      </c>
      <c r="O241" s="1">
        <v>0.88300000000000001</v>
      </c>
      <c r="P241" s="161">
        <f>N241*O241</f>
        <v>44679.8</v>
      </c>
      <c r="Q241" s="8"/>
      <c r="R241" s="8"/>
      <c r="S241" s="7"/>
      <c r="T241" s="7"/>
      <c r="U241" s="7"/>
      <c r="V241" s="11">
        <f>T241*U241</f>
        <v>0</v>
      </c>
    </row>
    <row r="242" spans="1:22" x14ac:dyDescent="0.25">
      <c r="A242" s="86" t="s">
        <v>93</v>
      </c>
      <c r="C242" s="69" t="s">
        <v>124</v>
      </c>
      <c r="D242" s="160">
        <v>7120</v>
      </c>
      <c r="E242" s="160">
        <v>313.37</v>
      </c>
      <c r="F242" s="160">
        <f>G242/G241</f>
        <v>1.1211747209145535</v>
      </c>
      <c r="G242" s="161">
        <f>D242/E242</f>
        <v>22.720745444682006</v>
      </c>
      <c r="H242" s="1"/>
      <c r="I242" s="1"/>
      <c r="J242" s="25" t="s">
        <v>87</v>
      </c>
      <c r="K242" s="26">
        <v>136.58000000000001</v>
      </c>
      <c r="L242" s="46">
        <f>G242*K242</f>
        <v>3103.1994128346687</v>
      </c>
      <c r="M242" s="42"/>
      <c r="N242" s="2"/>
      <c r="O242" s="1"/>
      <c r="P242" s="11"/>
      <c r="Q242" s="8"/>
      <c r="R242" s="8"/>
      <c r="S242" s="7"/>
      <c r="T242" s="7"/>
      <c r="U242" s="7"/>
      <c r="V242" s="11">
        <f t="shared" ref="V242" si="14">T242*U242</f>
        <v>0</v>
      </c>
    </row>
    <row r="243" spans="1:22" x14ac:dyDescent="0.25">
      <c r="C243" s="10" t="s">
        <v>4</v>
      </c>
      <c r="D243" s="11">
        <f>SUM(D241:D242)</f>
        <v>22820</v>
      </c>
      <c r="E243" s="11">
        <f>SUM(E241:E242)</f>
        <v>1088.0999999999999</v>
      </c>
      <c r="F243" s="10"/>
      <c r="G243" s="165">
        <f>SUM(G241:G242)</f>
        <v>42.985870068744582</v>
      </c>
      <c r="I243" s="23">
        <f>SUM(I241:I242)</f>
        <v>0</v>
      </c>
      <c r="L243" s="47">
        <f>SUM(L241:L242)</f>
        <v>5401.4028145642533</v>
      </c>
      <c r="N243" s="89">
        <f>SUM(N241:N242)</f>
        <v>50600</v>
      </c>
      <c r="P243" s="23">
        <f>SUM(P241:P242)</f>
        <v>44679.8</v>
      </c>
      <c r="R243" s="23">
        <f>SUM(R241:R242)</f>
        <v>0</v>
      </c>
      <c r="V243" s="23">
        <f>SUM(V241:V242)</f>
        <v>0</v>
      </c>
    </row>
    <row r="244" spans="1:22" x14ac:dyDescent="0.25">
      <c r="C244" s="4"/>
      <c r="D244" s="3"/>
      <c r="E244" s="3"/>
      <c r="F244" s="3"/>
      <c r="G244" s="4"/>
      <c r="H244" s="4"/>
      <c r="I244" s="4"/>
      <c r="M244" s="49"/>
      <c r="N244" s="4"/>
      <c r="O244" s="4"/>
      <c r="P244" s="4"/>
      <c r="Q244" s="4"/>
      <c r="R244" s="4"/>
      <c r="S244" s="4"/>
      <c r="T244" s="4"/>
      <c r="U244" s="4"/>
      <c r="V244" s="4"/>
    </row>
    <row r="245" spans="1:22" x14ac:dyDescent="0.25">
      <c r="C245" s="4"/>
      <c r="D245" s="3"/>
      <c r="E245" s="3"/>
      <c r="F245" s="3"/>
      <c r="G245" s="4"/>
      <c r="H245" s="4"/>
      <c r="K245" s="162" t="s">
        <v>133</v>
      </c>
      <c r="L245" s="96">
        <f>(T247/G241)*100</f>
        <v>90.000000000000014</v>
      </c>
      <c r="M245" s="49"/>
      <c r="O245" s="4"/>
      <c r="P245" s="4"/>
      <c r="Q245" s="4"/>
      <c r="R245" s="4"/>
      <c r="S245" s="4"/>
    </row>
    <row r="246" spans="1:22" x14ac:dyDescent="0.25">
      <c r="C246" s="4"/>
      <c r="D246" s="3"/>
      <c r="E246" s="3"/>
      <c r="F246" s="3"/>
      <c r="G246" s="4"/>
      <c r="H246" s="4"/>
      <c r="K246" s="159" t="s">
        <v>134</v>
      </c>
      <c r="L246" s="97">
        <f>(S247/(E243)*100)</f>
        <v>82.518150905247694</v>
      </c>
      <c r="M246" s="49"/>
      <c r="R246" s="5" t="s">
        <v>11</v>
      </c>
      <c r="S246" s="5" t="s">
        <v>12</v>
      </c>
      <c r="T246" s="5" t="s">
        <v>0</v>
      </c>
    </row>
    <row r="247" spans="1:22" x14ac:dyDescent="0.25">
      <c r="C247" s="4"/>
      <c r="D247" s="3"/>
      <c r="E247" s="3"/>
      <c r="F247" s="3"/>
      <c r="G247" s="4"/>
      <c r="H247" s="4"/>
      <c r="K247" s="162" t="s">
        <v>135</v>
      </c>
      <c r="L247" s="96">
        <f>(R247/D243)*100</f>
        <v>71.761985485135753</v>
      </c>
      <c r="P247" s="4"/>
      <c r="Q247" s="5" t="s">
        <v>3</v>
      </c>
      <c r="R247" s="9">
        <f>T247*S247</f>
        <v>16376.085087707977</v>
      </c>
      <c r="S247" s="9">
        <v>897.88</v>
      </c>
      <c r="T247" s="22">
        <f>G241*0.9</f>
        <v>18.23861216165632</v>
      </c>
    </row>
    <row r="248" spans="1:22" ht="17.25" x14ac:dyDescent="0.25">
      <c r="C248" s="4"/>
      <c r="D248" s="3"/>
      <c r="E248" s="3"/>
      <c r="F248" s="3"/>
      <c r="G248" s="4"/>
      <c r="H248" s="4"/>
      <c r="K248" s="159" t="s">
        <v>136</v>
      </c>
      <c r="L248" s="13">
        <f>(D243+I243+L243+P243+R243+V243)/R247</f>
        <v>4.4516868606944699</v>
      </c>
      <c r="O248" s="4"/>
      <c r="P248" s="4"/>
      <c r="S248" s="109"/>
      <c r="T248" s="3"/>
    </row>
    <row r="249" spans="1:22" ht="17.25" x14ac:dyDescent="0.25">
      <c r="C249" s="4"/>
      <c r="D249" s="3"/>
      <c r="E249" s="3"/>
      <c r="F249" s="3"/>
      <c r="G249" s="4"/>
      <c r="H249" s="4"/>
      <c r="I249" s="4"/>
      <c r="K249" s="163" t="s">
        <v>137</v>
      </c>
      <c r="L249" s="15">
        <f>(D243+I243+L243)/R247</f>
        <v>1.7233302503873447</v>
      </c>
      <c r="N249" s="163" t="s">
        <v>139</v>
      </c>
      <c r="O249" s="93">
        <f>G241/N243*1000</f>
        <v>0.40049653407238289</v>
      </c>
      <c r="P249" s="4"/>
      <c r="S249" s="4"/>
    </row>
    <row r="250" spans="1:22" ht="17.25" x14ac:dyDescent="0.25">
      <c r="C250" s="4"/>
      <c r="D250" s="3"/>
      <c r="E250" s="3"/>
      <c r="F250" s="3"/>
      <c r="G250" s="4"/>
      <c r="H250" s="4"/>
      <c r="I250" s="4"/>
      <c r="K250" s="164" t="s">
        <v>138</v>
      </c>
      <c r="L250" s="16">
        <f>(P243+V243)/R247</f>
        <v>2.7283566103071255</v>
      </c>
      <c r="M250" s="4"/>
      <c r="N250" s="4"/>
      <c r="O250" s="59"/>
      <c r="P250" s="4"/>
      <c r="U250" s="4"/>
      <c r="V250" s="4"/>
    </row>
    <row r="251" spans="1:22" s="179" customFormat="1" x14ac:dyDescent="0.25">
      <c r="D251" s="189"/>
      <c r="E251" s="189"/>
      <c r="F251" s="189"/>
      <c r="N251" s="54"/>
      <c r="O251" s="54"/>
      <c r="P251" s="54"/>
      <c r="Q251" s="54"/>
      <c r="R251" s="54"/>
      <c r="S251" s="54"/>
      <c r="T251" s="54"/>
      <c r="U251" s="54"/>
      <c r="V251" s="54"/>
    </row>
    <row r="252" spans="1:22" s="180" customFormat="1" x14ac:dyDescent="0.25">
      <c r="A252" s="167" t="s">
        <v>208</v>
      </c>
      <c r="D252" s="169"/>
      <c r="E252" s="169"/>
      <c r="F252" s="169"/>
    </row>
    <row r="253" spans="1:22" s="179" customFormat="1" x14ac:dyDescent="0.25">
      <c r="B253" s="4"/>
      <c r="C253" s="6" t="s">
        <v>26</v>
      </c>
      <c r="D253" s="189"/>
      <c r="E253" s="189"/>
      <c r="F253" s="189"/>
    </row>
    <row r="254" spans="1:22" s="179" customFormat="1" ht="32.25" x14ac:dyDescent="0.25">
      <c r="C254" s="17" t="s">
        <v>14</v>
      </c>
      <c r="D254" s="20" t="s">
        <v>21</v>
      </c>
      <c r="E254" s="20" t="s">
        <v>94</v>
      </c>
      <c r="F254" s="17" t="s">
        <v>13</v>
      </c>
      <c r="G254" s="17" t="s">
        <v>15</v>
      </c>
      <c r="H254" s="18" t="s">
        <v>1</v>
      </c>
      <c r="I254" s="19" t="s">
        <v>25</v>
      </c>
      <c r="J254" s="17" t="s">
        <v>2</v>
      </c>
      <c r="K254" s="20" t="s">
        <v>94</v>
      </c>
      <c r="L254" s="20" t="s">
        <v>22</v>
      </c>
      <c r="M254" s="19" t="s">
        <v>8</v>
      </c>
      <c r="N254" s="19" t="s">
        <v>16</v>
      </c>
      <c r="O254" s="19" t="s">
        <v>17</v>
      </c>
      <c r="P254" s="19" t="s">
        <v>18</v>
      </c>
      <c r="Q254" s="20" t="s">
        <v>10</v>
      </c>
      <c r="R254" s="20" t="s">
        <v>23</v>
      </c>
      <c r="S254" s="19" t="s">
        <v>9</v>
      </c>
      <c r="T254" s="19" t="s">
        <v>19</v>
      </c>
      <c r="U254" s="19" t="s">
        <v>20</v>
      </c>
      <c r="V254" s="19" t="s">
        <v>24</v>
      </c>
    </row>
    <row r="255" spans="1:22" s="179" customFormat="1" x14ac:dyDescent="0.25">
      <c r="A255" s="41" t="s">
        <v>184</v>
      </c>
      <c r="C255" s="176" t="s">
        <v>57</v>
      </c>
      <c r="D255" s="56">
        <v>63000</v>
      </c>
      <c r="E255" s="160">
        <v>212.2</v>
      </c>
      <c r="F255" s="160">
        <v>1</v>
      </c>
      <c r="G255" s="161">
        <v>296.88972667295008</v>
      </c>
      <c r="H255" s="7"/>
      <c r="I255" s="7"/>
      <c r="J255" s="160" t="s">
        <v>76</v>
      </c>
      <c r="K255" s="160">
        <v>101.15</v>
      </c>
      <c r="L255" s="46">
        <f>G256*K255</f>
        <v>33019.00864731316</v>
      </c>
      <c r="M255" s="42" t="s">
        <v>40</v>
      </c>
      <c r="N255" s="45">
        <v>371112</v>
      </c>
      <c r="O255" s="1">
        <v>0.89500000000000002</v>
      </c>
      <c r="P255" s="161">
        <v>332145.24</v>
      </c>
      <c r="Q255" s="160"/>
      <c r="R255" s="160"/>
      <c r="S255" s="7"/>
      <c r="T255" s="7"/>
      <c r="U255" s="7"/>
      <c r="V255" s="161">
        <f>T255*U255</f>
        <v>0</v>
      </c>
    </row>
    <row r="256" spans="1:22" s="179" customFormat="1" x14ac:dyDescent="0.25">
      <c r="A256" s="86" t="s">
        <v>92</v>
      </c>
      <c r="C256" s="160" t="s">
        <v>59</v>
      </c>
      <c r="D256" s="160">
        <v>63420</v>
      </c>
      <c r="E256" s="160">
        <v>194.28</v>
      </c>
      <c r="F256" s="160">
        <v>1.1399999999999999</v>
      </c>
      <c r="G256" s="161">
        <v>326.43607164916614</v>
      </c>
      <c r="H256" s="1"/>
      <c r="I256" s="1"/>
      <c r="J256" s="25" t="s">
        <v>87</v>
      </c>
      <c r="K256" s="26">
        <v>136.58000000000001</v>
      </c>
      <c r="L256" s="46">
        <f>G256*K256</f>
        <v>44584.638665843115</v>
      </c>
      <c r="M256" s="42" t="s">
        <v>40</v>
      </c>
      <c r="N256" s="45">
        <v>371112</v>
      </c>
      <c r="O256" s="1">
        <v>0.89500000000000002</v>
      </c>
      <c r="P256" s="161">
        <v>332145.24</v>
      </c>
      <c r="Q256" s="160"/>
      <c r="R256" s="160"/>
      <c r="S256" s="7"/>
      <c r="T256" s="7"/>
      <c r="U256" s="7"/>
      <c r="V256" s="161">
        <f t="shared" ref="V256" si="15">T256*U256</f>
        <v>0</v>
      </c>
    </row>
    <row r="257" spans="1:22" s="179" customFormat="1" x14ac:dyDescent="0.25">
      <c r="A257" s="52"/>
      <c r="C257" s="10" t="s">
        <v>4</v>
      </c>
      <c r="D257" s="161">
        <f>SUM(D255:D256)</f>
        <v>126420</v>
      </c>
      <c r="E257" s="161">
        <f>SUM(E255:E256)</f>
        <v>406.48</v>
      </c>
      <c r="F257" s="10"/>
      <c r="G257" s="165">
        <f>SUM(G255:G256)</f>
        <v>623.32579832211627</v>
      </c>
      <c r="I257" s="165">
        <f>SUM(I255:I256)</f>
        <v>0</v>
      </c>
      <c r="L257" s="47">
        <f>SUM(L255:L256)</f>
        <v>77603.647313156282</v>
      </c>
      <c r="N257" s="89">
        <f>SUM(N255:N256)</f>
        <v>742224</v>
      </c>
      <c r="P257" s="165">
        <f>SUM(P255:P256)</f>
        <v>664290.48</v>
      </c>
      <c r="R257" s="165">
        <f>SUM(R255:R256)</f>
        <v>0</v>
      </c>
      <c r="V257" s="165">
        <f>SUM(V255:V256)</f>
        <v>0</v>
      </c>
    </row>
    <row r="258" spans="1:22" s="179" customFormat="1" x14ac:dyDescent="0.25">
      <c r="A258" s="52"/>
      <c r="C258" s="4"/>
      <c r="D258" s="3"/>
      <c r="E258" s="3"/>
      <c r="F258" s="3"/>
      <c r="G258" s="4"/>
      <c r="H258" s="4"/>
      <c r="I258" s="4"/>
      <c r="M258" s="182"/>
      <c r="N258" s="4"/>
      <c r="O258" s="4"/>
      <c r="P258" s="4"/>
      <c r="Q258" s="4"/>
      <c r="R258" s="4"/>
      <c r="S258" s="4"/>
      <c r="T258" s="4"/>
      <c r="U258" s="4"/>
      <c r="V258" s="4"/>
    </row>
    <row r="259" spans="1:22" s="179" customFormat="1" x14ac:dyDescent="0.25">
      <c r="A259" s="52"/>
      <c r="C259" s="4"/>
      <c r="D259" s="3"/>
      <c r="E259" s="3"/>
      <c r="F259" s="3"/>
      <c r="G259" s="4"/>
      <c r="H259" s="4"/>
      <c r="K259" s="162" t="s">
        <v>133</v>
      </c>
      <c r="L259" s="96">
        <f>(T261/G255)*100</f>
        <v>50</v>
      </c>
      <c r="M259" s="182"/>
      <c r="O259" s="4"/>
      <c r="P259" s="4"/>
      <c r="Q259" s="4"/>
      <c r="R259" s="4"/>
      <c r="S259" s="4"/>
    </row>
    <row r="260" spans="1:22" s="179" customFormat="1" x14ac:dyDescent="0.25">
      <c r="A260" s="52"/>
      <c r="C260" s="4"/>
      <c r="D260" s="3"/>
      <c r="E260" s="3"/>
      <c r="F260" s="3"/>
      <c r="G260" s="4"/>
      <c r="H260" s="4"/>
      <c r="K260" s="159" t="s">
        <v>134</v>
      </c>
      <c r="L260" s="97">
        <f>(S261/(E257)*100)</f>
        <v>95.566817555599286</v>
      </c>
      <c r="M260" s="182"/>
      <c r="R260" s="5" t="s">
        <v>11</v>
      </c>
      <c r="S260" s="5" t="s">
        <v>12</v>
      </c>
      <c r="T260" s="5" t="s">
        <v>0</v>
      </c>
    </row>
    <row r="261" spans="1:22" s="179" customFormat="1" x14ac:dyDescent="0.25">
      <c r="A261" s="52"/>
      <c r="C261" s="4"/>
      <c r="D261" s="3"/>
      <c r="E261" s="3"/>
      <c r="F261" s="3"/>
      <c r="G261" s="4"/>
      <c r="H261" s="4"/>
      <c r="K261" s="162" t="s">
        <v>135</v>
      </c>
      <c r="L261" s="96">
        <f>(R261/D257)*100</f>
        <v>45.613741189437661</v>
      </c>
      <c r="P261" s="4"/>
      <c r="Q261" s="5" t="s">
        <v>3</v>
      </c>
      <c r="R261" s="9">
        <f>T261*S261</f>
        <v>57664.89161168709</v>
      </c>
      <c r="S261" s="9">
        <v>388.46</v>
      </c>
      <c r="T261" s="22">
        <f>G255*0.5</f>
        <v>148.44486333647504</v>
      </c>
    </row>
    <row r="262" spans="1:22" s="179" customFormat="1" ht="17.25" x14ac:dyDescent="0.25">
      <c r="A262" s="52"/>
      <c r="C262" s="4"/>
      <c r="D262" s="3"/>
      <c r="E262" s="3"/>
      <c r="F262" s="3"/>
      <c r="G262" s="4"/>
      <c r="H262" s="4"/>
      <c r="K262" s="159" t="s">
        <v>136</v>
      </c>
      <c r="L262" s="13">
        <f>(D257+I257+L257+P257+R257+V257)/R261</f>
        <v>15.05793391861978</v>
      </c>
      <c r="O262" s="4"/>
      <c r="P262" s="4"/>
      <c r="S262" s="189"/>
      <c r="T262" s="3"/>
    </row>
    <row r="263" spans="1:22" s="179" customFormat="1" ht="17.25" x14ac:dyDescent="0.25">
      <c r="A263" s="52"/>
      <c r="C263" s="4"/>
      <c r="D263" s="3"/>
      <c r="E263" s="3"/>
      <c r="F263" s="3"/>
      <c r="G263" s="4"/>
      <c r="H263" s="4"/>
      <c r="I263" s="4"/>
      <c r="K263" s="163" t="s">
        <v>137</v>
      </c>
      <c r="L263" s="15">
        <f>(D257+I257+L257)/R261</f>
        <v>3.5380912303979133</v>
      </c>
      <c r="N263" s="163" t="s">
        <v>139</v>
      </c>
      <c r="O263" s="93">
        <f>G255/N257*1000</f>
        <v>0.40000017066673954</v>
      </c>
      <c r="P263" s="4"/>
      <c r="S263" s="4"/>
    </row>
    <row r="264" spans="1:22" s="179" customFormat="1" ht="17.25" x14ac:dyDescent="0.25">
      <c r="A264" s="52"/>
      <c r="C264" s="4"/>
      <c r="D264" s="3"/>
      <c r="E264" s="3"/>
      <c r="F264" s="3"/>
      <c r="G264" s="4"/>
      <c r="H264" s="4"/>
      <c r="I264" s="4"/>
      <c r="K264" s="164" t="s">
        <v>138</v>
      </c>
      <c r="L264" s="16">
        <f>(P257+V257)/R261</f>
        <v>11.519842688221868</v>
      </c>
      <c r="M264" s="4"/>
      <c r="N264" s="4"/>
      <c r="O264" s="4"/>
      <c r="P264" s="4"/>
      <c r="U264" s="4"/>
      <c r="V264" s="4"/>
    </row>
    <row r="265" spans="1:22" s="179" customFormat="1" x14ac:dyDescent="0.25">
      <c r="A265" s="52"/>
      <c r="C265" s="6"/>
      <c r="E265" s="3"/>
      <c r="F265" s="3"/>
      <c r="G265" s="4"/>
      <c r="H265" s="4"/>
      <c r="I265" s="4"/>
      <c r="K265" s="4"/>
      <c r="L265" s="4"/>
      <c r="M265" s="4"/>
      <c r="P265" s="4"/>
      <c r="Q265" s="4"/>
      <c r="R265" s="4"/>
      <c r="S265" s="4"/>
      <c r="T265" s="4"/>
      <c r="U265" s="4"/>
      <c r="V265" s="4"/>
    </row>
    <row r="266" spans="1:22" s="179" customFormat="1" x14ac:dyDescent="0.25">
      <c r="A266" s="52"/>
      <c r="B266" s="4"/>
      <c r="C266" s="6" t="s">
        <v>26</v>
      </c>
      <c r="D266" s="189"/>
      <c r="E266" s="189"/>
      <c r="F266" s="189"/>
    </row>
    <row r="267" spans="1:22" s="179" customFormat="1" ht="32.25" x14ac:dyDescent="0.25">
      <c r="A267" s="52"/>
      <c r="C267" s="17" t="s">
        <v>14</v>
      </c>
      <c r="D267" s="20" t="s">
        <v>21</v>
      </c>
      <c r="E267" s="20" t="s">
        <v>94</v>
      </c>
      <c r="F267" s="17" t="s">
        <v>13</v>
      </c>
      <c r="G267" s="17" t="s">
        <v>15</v>
      </c>
      <c r="H267" s="18" t="s">
        <v>1</v>
      </c>
      <c r="I267" s="19" t="s">
        <v>25</v>
      </c>
      <c r="J267" s="17" t="s">
        <v>2</v>
      </c>
      <c r="K267" s="20" t="s">
        <v>94</v>
      </c>
      <c r="L267" s="20" t="s">
        <v>22</v>
      </c>
      <c r="M267" s="19" t="s">
        <v>8</v>
      </c>
      <c r="N267" s="19" t="s">
        <v>16</v>
      </c>
      <c r="O267" s="19" t="s">
        <v>17</v>
      </c>
      <c r="P267" s="19" t="s">
        <v>18</v>
      </c>
      <c r="Q267" s="20" t="s">
        <v>10</v>
      </c>
      <c r="R267" s="20" t="s">
        <v>23</v>
      </c>
      <c r="S267" s="19" t="s">
        <v>9</v>
      </c>
      <c r="T267" s="19" t="s">
        <v>19</v>
      </c>
      <c r="U267" s="19" t="s">
        <v>20</v>
      </c>
      <c r="V267" s="19" t="s">
        <v>24</v>
      </c>
    </row>
    <row r="268" spans="1:22" s="179" customFormat="1" x14ac:dyDescent="0.25">
      <c r="A268" s="41" t="s">
        <v>197</v>
      </c>
      <c r="C268" s="172" t="s">
        <v>119</v>
      </c>
      <c r="D268" s="56">
        <v>15700</v>
      </c>
      <c r="E268" s="160">
        <v>774.73</v>
      </c>
      <c r="F268" s="160">
        <v>1</v>
      </c>
      <c r="G268" s="161">
        <f>D268/E268</f>
        <v>20.265124624062576</v>
      </c>
      <c r="H268" s="7"/>
      <c r="I268" s="7"/>
      <c r="J268" s="160" t="s">
        <v>76</v>
      </c>
      <c r="K268" s="160">
        <v>101.15</v>
      </c>
      <c r="L268" s="46">
        <f>G269*K268</f>
        <v>2298.203401729585</v>
      </c>
      <c r="M268" s="42" t="s">
        <v>27</v>
      </c>
      <c r="N268" s="45">
        <v>50600</v>
      </c>
      <c r="O268" s="1">
        <v>0.88300000000000001</v>
      </c>
      <c r="P268" s="161">
        <f>N268*O268</f>
        <v>44679.8</v>
      </c>
      <c r="Q268" s="160"/>
      <c r="R268" s="160"/>
      <c r="S268" s="7"/>
      <c r="T268" s="7"/>
      <c r="U268" s="7"/>
      <c r="V268" s="161">
        <f>T268*U268</f>
        <v>0</v>
      </c>
    </row>
    <row r="269" spans="1:22" s="179" customFormat="1" x14ac:dyDescent="0.25">
      <c r="A269" s="86" t="s">
        <v>93</v>
      </c>
      <c r="C269" s="69" t="s">
        <v>124</v>
      </c>
      <c r="D269" s="160">
        <v>7120</v>
      </c>
      <c r="E269" s="160">
        <v>313.37</v>
      </c>
      <c r="F269" s="160">
        <f>G269/G268</f>
        <v>1.1211747209145535</v>
      </c>
      <c r="G269" s="161">
        <f>D269/E269</f>
        <v>22.720745444682006</v>
      </c>
      <c r="H269" s="1"/>
      <c r="I269" s="1"/>
      <c r="J269" s="25" t="s">
        <v>87</v>
      </c>
      <c r="K269" s="26">
        <v>136.58000000000001</v>
      </c>
      <c r="L269" s="46">
        <f>G269*K269</f>
        <v>3103.1994128346687</v>
      </c>
      <c r="M269" s="42"/>
      <c r="N269" s="2"/>
      <c r="O269" s="1"/>
      <c r="P269" s="161"/>
      <c r="Q269" s="160"/>
      <c r="R269" s="160"/>
      <c r="S269" s="7"/>
      <c r="T269" s="7"/>
      <c r="U269" s="7"/>
      <c r="V269" s="161">
        <f t="shared" ref="V269" si="16">T269*U269</f>
        <v>0</v>
      </c>
    </row>
    <row r="270" spans="1:22" s="179" customFormat="1" x14ac:dyDescent="0.25">
      <c r="C270" s="10" t="s">
        <v>4</v>
      </c>
      <c r="D270" s="161">
        <f>SUM(D268:D269)</f>
        <v>22820</v>
      </c>
      <c r="E270" s="161">
        <f>SUM(E268:E269)</f>
        <v>1088.0999999999999</v>
      </c>
      <c r="F270" s="10"/>
      <c r="G270" s="165">
        <f>SUM(G268:G269)</f>
        <v>42.985870068744582</v>
      </c>
      <c r="I270" s="165">
        <f>SUM(I268:I269)</f>
        <v>0</v>
      </c>
      <c r="L270" s="47">
        <f>SUM(L268:L269)</f>
        <v>5401.4028145642533</v>
      </c>
      <c r="N270" s="89">
        <f>SUM(N268:N269)</f>
        <v>50600</v>
      </c>
      <c r="P270" s="165">
        <f>SUM(P268:P269)</f>
        <v>44679.8</v>
      </c>
      <c r="R270" s="165">
        <f>SUM(R268:R269)</f>
        <v>0</v>
      </c>
      <c r="V270" s="165">
        <f>SUM(V268:V269)</f>
        <v>0</v>
      </c>
    </row>
    <row r="271" spans="1:22" s="179" customFormat="1" x14ac:dyDescent="0.25">
      <c r="C271" s="4"/>
      <c r="D271" s="3"/>
      <c r="E271" s="3"/>
      <c r="F271" s="3"/>
      <c r="G271" s="4"/>
      <c r="H271" s="4"/>
      <c r="I271" s="4"/>
      <c r="M271" s="182"/>
      <c r="N271" s="4"/>
      <c r="O271" s="4"/>
      <c r="P271" s="4"/>
      <c r="Q271" s="4"/>
      <c r="R271" s="4"/>
      <c r="S271" s="4"/>
      <c r="T271" s="4"/>
      <c r="U271" s="4"/>
      <c r="V271" s="4"/>
    </row>
    <row r="272" spans="1:22" s="179" customFormat="1" x14ac:dyDescent="0.25">
      <c r="C272" s="4"/>
      <c r="D272" s="3"/>
      <c r="E272" s="3"/>
      <c r="F272" s="3"/>
      <c r="G272" s="4"/>
      <c r="H272" s="4"/>
      <c r="K272" s="162" t="s">
        <v>133</v>
      </c>
      <c r="L272" s="96">
        <f>(T274/G268)*100</f>
        <v>50</v>
      </c>
      <c r="M272" s="182"/>
      <c r="O272" s="4"/>
      <c r="P272" s="4"/>
      <c r="Q272" s="4"/>
      <c r="R272" s="4"/>
      <c r="S272" s="4"/>
    </row>
    <row r="273" spans="1:22" s="179" customFormat="1" x14ac:dyDescent="0.25">
      <c r="C273" s="4"/>
      <c r="D273" s="3"/>
      <c r="E273" s="3"/>
      <c r="F273" s="3"/>
      <c r="G273" s="4"/>
      <c r="H273" s="4"/>
      <c r="K273" s="159" t="s">
        <v>134</v>
      </c>
      <c r="L273" s="97">
        <f>(S274/(E270)*100)</f>
        <v>82.518150905247694</v>
      </c>
      <c r="M273" s="182"/>
      <c r="R273" s="5" t="s">
        <v>11</v>
      </c>
      <c r="S273" s="5" t="s">
        <v>12</v>
      </c>
      <c r="T273" s="5" t="s">
        <v>0</v>
      </c>
    </row>
    <row r="274" spans="1:22" s="179" customFormat="1" x14ac:dyDescent="0.25">
      <c r="C274" s="4"/>
      <c r="D274" s="3"/>
      <c r="E274" s="3"/>
      <c r="F274" s="3"/>
      <c r="G274" s="4"/>
      <c r="H274" s="4"/>
      <c r="K274" s="162" t="s">
        <v>135</v>
      </c>
      <c r="L274" s="96">
        <f>(R274/D270)*100</f>
        <v>39.867769713964293</v>
      </c>
      <c r="P274" s="4"/>
      <c r="Q274" s="5" t="s">
        <v>3</v>
      </c>
      <c r="R274" s="9">
        <f>T274*S274</f>
        <v>9097.8250487266523</v>
      </c>
      <c r="S274" s="9">
        <v>897.88</v>
      </c>
      <c r="T274" s="22">
        <f>G268*0.5</f>
        <v>10.132562312031288</v>
      </c>
    </row>
    <row r="275" spans="1:22" s="179" customFormat="1" ht="17.25" x14ac:dyDescent="0.25">
      <c r="C275" s="4"/>
      <c r="D275" s="3"/>
      <c r="E275" s="3"/>
      <c r="F275" s="3"/>
      <c r="G275" s="4"/>
      <c r="H275" s="4"/>
      <c r="K275" s="159" t="s">
        <v>136</v>
      </c>
      <c r="L275" s="13">
        <f>(D270+I270+L270+P270+R270+V270)/R274</f>
        <v>8.0130363492500472</v>
      </c>
      <c r="O275" s="4"/>
      <c r="P275" s="4"/>
      <c r="S275" s="189"/>
      <c r="T275" s="3"/>
    </row>
    <row r="276" spans="1:22" s="179" customFormat="1" ht="17.25" x14ac:dyDescent="0.25">
      <c r="C276" s="4"/>
      <c r="D276" s="3"/>
      <c r="E276" s="3"/>
      <c r="F276" s="3"/>
      <c r="G276" s="4"/>
      <c r="H276" s="4"/>
      <c r="I276" s="4"/>
      <c r="K276" s="163" t="s">
        <v>137</v>
      </c>
      <c r="L276" s="15">
        <f>(D270+I270+L270)/R274</f>
        <v>3.1019944506972212</v>
      </c>
      <c r="N276" s="163" t="s">
        <v>139</v>
      </c>
      <c r="O276" s="93">
        <f>G268/N270*1000</f>
        <v>0.40049653407238289</v>
      </c>
      <c r="P276" s="4"/>
      <c r="S276" s="4"/>
    </row>
    <row r="277" spans="1:22" s="179" customFormat="1" ht="17.25" x14ac:dyDescent="0.25">
      <c r="C277" s="4"/>
      <c r="D277" s="3"/>
      <c r="E277" s="3"/>
      <c r="F277" s="3"/>
      <c r="G277" s="4"/>
      <c r="H277" s="4"/>
      <c r="I277" s="4"/>
      <c r="K277" s="164" t="s">
        <v>138</v>
      </c>
      <c r="L277" s="16">
        <f>(P270+V270)/R274</f>
        <v>4.9110418985528268</v>
      </c>
      <c r="M277" s="4"/>
      <c r="N277" s="4"/>
      <c r="O277" s="183"/>
      <c r="P277" s="4"/>
      <c r="U277" s="4"/>
      <c r="V277" s="4"/>
    </row>
    <row r="280" spans="1:22" s="168" customFormat="1" x14ac:dyDescent="0.25">
      <c r="A280" s="167" t="s">
        <v>140</v>
      </c>
      <c r="C280" s="169"/>
      <c r="D280" s="169"/>
      <c r="E280" s="169"/>
    </row>
    <row r="281" spans="1:22" s="177" customFormat="1" x14ac:dyDescent="0.25">
      <c r="D281" s="178"/>
      <c r="E281" s="178"/>
      <c r="F281" s="178"/>
    </row>
    <row r="282" spans="1:22" ht="15.75" x14ac:dyDescent="0.25">
      <c r="D282" s="112" t="s">
        <v>29</v>
      </c>
      <c r="E282" s="112" t="s">
        <v>30</v>
      </c>
      <c r="F282" s="111" t="s">
        <v>6</v>
      </c>
      <c r="G282" s="112" t="s">
        <v>7</v>
      </c>
      <c r="H282" s="112" t="s">
        <v>32</v>
      </c>
      <c r="I282" s="112" t="s">
        <v>34</v>
      </c>
      <c r="J282" s="112" t="s">
        <v>35</v>
      </c>
      <c r="K282" s="112" t="s">
        <v>5</v>
      </c>
    </row>
    <row r="283" spans="1:22" x14ac:dyDescent="0.25">
      <c r="D283" s="114"/>
      <c r="E283" s="114"/>
      <c r="F283" s="113" t="s">
        <v>31</v>
      </c>
      <c r="G283" s="114" t="s">
        <v>31</v>
      </c>
      <c r="H283" s="114" t="s">
        <v>33</v>
      </c>
      <c r="I283" s="114" t="s">
        <v>33</v>
      </c>
      <c r="J283" s="114" t="s">
        <v>33</v>
      </c>
      <c r="K283" s="114" t="s">
        <v>31</v>
      </c>
    </row>
    <row r="284" spans="1:22" x14ac:dyDescent="0.25">
      <c r="D284" s="127" t="str">
        <f>A1</f>
        <v>Literature data reported</v>
      </c>
      <c r="E284" s="127"/>
      <c r="F284" s="127"/>
      <c r="G284" s="127"/>
      <c r="H284" s="127"/>
      <c r="I284" s="127"/>
      <c r="J284" s="127"/>
      <c r="K284" s="128"/>
    </row>
    <row r="285" spans="1:22" x14ac:dyDescent="0.25">
      <c r="D285" s="90"/>
      <c r="E285" s="77" t="s">
        <v>200</v>
      </c>
      <c r="F285" s="91">
        <f>L9</f>
        <v>95.566817555599286</v>
      </c>
      <c r="G285" s="91">
        <f>L10</f>
        <v>81.474450245214371</v>
      </c>
      <c r="H285" s="92">
        <f>L11</f>
        <v>8.7833980582524269</v>
      </c>
      <c r="I285" s="92">
        <f>L12</f>
        <v>2.2142718446601943</v>
      </c>
      <c r="J285" s="92">
        <f>L13</f>
        <v>6.5691262135922326</v>
      </c>
      <c r="K285" s="60">
        <f>L8</f>
        <v>89.309107431951475</v>
      </c>
    </row>
    <row r="286" spans="1:22" x14ac:dyDescent="0.25">
      <c r="D286" s="115"/>
      <c r="E286" s="77" t="s">
        <v>201</v>
      </c>
      <c r="F286" s="116">
        <f>L22</f>
        <v>82.518150905247694</v>
      </c>
      <c r="G286" s="116">
        <f>L23</f>
        <v>67.221735319894833</v>
      </c>
      <c r="H286" s="117">
        <f>L24</f>
        <v>8.3239975228161676</v>
      </c>
      <c r="I286" s="117">
        <f>L25</f>
        <v>1.9921852672750979</v>
      </c>
      <c r="J286" s="117">
        <f>L26</f>
        <v>6.3318122555410694</v>
      </c>
      <c r="K286" s="118">
        <f>L21</f>
        <v>84.305863862193149</v>
      </c>
    </row>
    <row r="287" spans="1:22" x14ac:dyDescent="0.25">
      <c r="D287" s="123" t="str">
        <f>A29</f>
        <v>Simulation A: [Acid] = 0.4 M, Literature data yield</v>
      </c>
      <c r="E287" s="123"/>
      <c r="F287" s="123"/>
      <c r="G287" s="123"/>
      <c r="H287" s="123"/>
      <c r="I287" s="123"/>
      <c r="J287" s="123"/>
      <c r="K287" s="129"/>
    </row>
    <row r="288" spans="1:22" x14ac:dyDescent="0.25">
      <c r="D288" s="102"/>
      <c r="E288" s="102" t="s">
        <v>184</v>
      </c>
      <c r="F288" s="99">
        <f>L37</f>
        <v>95.566817555599286</v>
      </c>
      <c r="G288" s="100">
        <f>L38</f>
        <v>81.474450245214371</v>
      </c>
      <c r="H288" s="101">
        <f>L39</f>
        <v>8.6636939805825239</v>
      </c>
      <c r="I288" s="101">
        <f>L40</f>
        <v>2.2142718446601943</v>
      </c>
      <c r="J288" s="101">
        <f>L41</f>
        <v>6.4494221359223296</v>
      </c>
      <c r="K288" s="60">
        <f>L36</f>
        <v>89.309107431951475</v>
      </c>
    </row>
    <row r="289" spans="4:11" x14ac:dyDescent="0.25">
      <c r="D289" s="102"/>
      <c r="E289" s="102" t="s">
        <v>202</v>
      </c>
      <c r="F289" s="99">
        <f>L50</f>
        <v>82.518150905247694</v>
      </c>
      <c r="G289" s="100">
        <f>L51</f>
        <v>67.221735319894833</v>
      </c>
      <c r="H289" s="101">
        <f>L52</f>
        <v>4.9048189048239896</v>
      </c>
      <c r="I289" s="101">
        <f>L53</f>
        <v>1.9921852672750979</v>
      </c>
      <c r="J289" s="101">
        <f>L54</f>
        <v>2.9126336375488919</v>
      </c>
      <c r="K289" s="60">
        <f>L49</f>
        <v>84.305863862193149</v>
      </c>
    </row>
    <row r="290" spans="4:11" x14ac:dyDescent="0.25">
      <c r="D290" s="123" t="str">
        <f>A57</f>
        <v>Simulation B: [Acid] = Literature data, Yield = 90%</v>
      </c>
      <c r="E290" s="123"/>
      <c r="F290" s="123"/>
      <c r="G290" s="123"/>
      <c r="H290" s="123"/>
      <c r="I290" s="123"/>
      <c r="J290" s="123"/>
      <c r="K290" s="119"/>
    </row>
    <row r="291" spans="4:11" x14ac:dyDescent="0.25">
      <c r="D291" s="102"/>
      <c r="E291" s="102" t="s">
        <v>184</v>
      </c>
      <c r="F291" s="99">
        <f>L65</f>
        <v>95.566817555599286</v>
      </c>
      <c r="G291" s="100">
        <f>L66</f>
        <v>82.104734140987787</v>
      </c>
      <c r="H291" s="101">
        <f>L67</f>
        <v>8.5971864052155098</v>
      </c>
      <c r="I291" s="101">
        <f>L68</f>
        <v>2.1972738006478072</v>
      </c>
      <c r="J291" s="101">
        <f>L69</f>
        <v>6.3999126045677031</v>
      </c>
      <c r="K291" s="60">
        <f>L64</f>
        <v>90</v>
      </c>
    </row>
    <row r="292" spans="4:11" x14ac:dyDescent="0.25">
      <c r="D292" s="102"/>
      <c r="E292" s="102" t="s">
        <v>202</v>
      </c>
      <c r="F292" s="99">
        <f>L78</f>
        <v>82.518150905247694</v>
      </c>
      <c r="G292" s="100">
        <f>L79</f>
        <v>71.761985485135753</v>
      </c>
      <c r="H292" s="101">
        <f>L80</f>
        <v>7.7973533549752529</v>
      </c>
      <c r="I292" s="101">
        <f>L81</f>
        <v>1.8661433325684587</v>
      </c>
      <c r="J292" s="101">
        <f>L82</f>
        <v>5.9312100224067938</v>
      </c>
      <c r="K292" s="60">
        <f>L77</f>
        <v>90.000000000000014</v>
      </c>
    </row>
    <row r="293" spans="4:11" x14ac:dyDescent="0.25">
      <c r="D293" s="123" t="str">
        <f>A85</f>
        <v>Simulation C: [Acid] =0.4 M, Yield = 90%</v>
      </c>
      <c r="E293" s="123"/>
      <c r="F293" s="123"/>
      <c r="G293" s="123"/>
      <c r="H293" s="123"/>
      <c r="I293" s="123"/>
      <c r="J293" s="123"/>
      <c r="K293" s="119"/>
    </row>
    <row r="294" spans="4:11" x14ac:dyDescent="0.25">
      <c r="D294" s="102"/>
      <c r="E294" s="102" t="s">
        <v>184</v>
      </c>
      <c r="F294" s="99">
        <f>L93</f>
        <v>95.566817555599286</v>
      </c>
      <c r="G294" s="100">
        <f>L94</f>
        <v>82.104734140987787</v>
      </c>
      <c r="H294" s="101">
        <f>L95</f>
        <v>8.5971864052155098</v>
      </c>
      <c r="I294" s="101">
        <f>L96</f>
        <v>2.1972738006478072</v>
      </c>
      <c r="J294" s="101">
        <f>L97</f>
        <v>6.3999126045677031</v>
      </c>
      <c r="K294" s="60">
        <f>L92</f>
        <v>90</v>
      </c>
    </row>
    <row r="295" spans="4:11" x14ac:dyDescent="0.25">
      <c r="D295" s="102"/>
      <c r="E295" s="102" t="s">
        <v>202</v>
      </c>
      <c r="F295" s="99">
        <f>L106</f>
        <v>82.518150905247694</v>
      </c>
      <c r="G295" s="100">
        <f>L107</f>
        <v>71.761985485135753</v>
      </c>
      <c r="H295" s="101">
        <f>L108</f>
        <v>4.5944999428755837</v>
      </c>
      <c r="I295" s="101">
        <f>L109</f>
        <v>1.8661433325684587</v>
      </c>
      <c r="J295" s="101">
        <f>L110</f>
        <v>2.7283566103071255</v>
      </c>
      <c r="K295" s="60">
        <f>L105</f>
        <v>90.000000000000014</v>
      </c>
    </row>
    <row r="296" spans="4:11" x14ac:dyDescent="0.25">
      <c r="D296" s="123" t="str">
        <f>A113</f>
        <v>Simulation D:  [Acid] =0.4 M, Yield = 50%</v>
      </c>
      <c r="E296" s="123"/>
      <c r="F296" s="123"/>
      <c r="G296" s="123"/>
      <c r="H296" s="123"/>
      <c r="I296" s="123"/>
      <c r="J296" s="123"/>
      <c r="K296" s="119"/>
    </row>
    <row r="297" spans="4:11" x14ac:dyDescent="0.25">
      <c r="D297" s="108"/>
      <c r="E297" s="102" t="s">
        <v>184</v>
      </c>
      <c r="F297" s="79">
        <f>L121</f>
        <v>95.566817555599286</v>
      </c>
      <c r="G297" s="60">
        <f>L122</f>
        <v>45.613741189437661</v>
      </c>
      <c r="H297" s="37">
        <f>L123</f>
        <v>15.47493552938792</v>
      </c>
      <c r="I297" s="37">
        <f>L124</f>
        <v>3.9550928411660533</v>
      </c>
      <c r="J297" s="37">
        <f>L125</f>
        <v>11.519842688221868</v>
      </c>
      <c r="K297" s="60">
        <f>L120</f>
        <v>50</v>
      </c>
    </row>
    <row r="298" spans="4:11" x14ac:dyDescent="0.25">
      <c r="D298" s="108"/>
      <c r="E298" s="102" t="s">
        <v>202</v>
      </c>
      <c r="F298" s="79">
        <f>L134</f>
        <v>82.518150905247694</v>
      </c>
      <c r="G298" s="60">
        <f>L135</f>
        <v>39.867769713964293</v>
      </c>
      <c r="H298" s="37">
        <f>L136</f>
        <v>8.2700998971760527</v>
      </c>
      <c r="I298" s="37">
        <f>L137</f>
        <v>3.3590579986232263</v>
      </c>
      <c r="J298" s="37">
        <f>L138</f>
        <v>4.9110418985528268</v>
      </c>
      <c r="K298" s="60">
        <f>L133</f>
        <v>50</v>
      </c>
    </row>
    <row r="299" spans="4:11" x14ac:dyDescent="0.25">
      <c r="D299" s="143" t="str">
        <f>A141</f>
        <v>Simulation E:  [Acid] =0.8 M, Yield = 90%</v>
      </c>
      <c r="E299" s="144"/>
      <c r="F299" s="144"/>
      <c r="G299" s="145"/>
      <c r="H299" s="145"/>
      <c r="I299" s="145"/>
      <c r="J299" s="145"/>
      <c r="K299" s="145"/>
    </row>
    <row r="300" spans="4:11" x14ac:dyDescent="0.25">
      <c r="D300" s="112"/>
      <c r="E300" s="102" t="s">
        <v>184</v>
      </c>
      <c r="F300" s="136">
        <f>L149</f>
        <v>95.566817555599286</v>
      </c>
      <c r="G300" s="132">
        <f>L150</f>
        <v>82.104734140987787</v>
      </c>
      <c r="H300" s="134">
        <f>L151</f>
        <v>5.3972301029316592</v>
      </c>
      <c r="I300" s="134">
        <f>L152</f>
        <v>2.1972738006478072</v>
      </c>
      <c r="J300" s="134">
        <f>L153</f>
        <v>3.1999563022838515</v>
      </c>
      <c r="K300" s="112">
        <f>L148</f>
        <v>90</v>
      </c>
    </row>
    <row r="301" spans="4:11" x14ac:dyDescent="0.25">
      <c r="D301" s="114"/>
      <c r="E301" s="102" t="s">
        <v>202</v>
      </c>
      <c r="F301" s="137">
        <f>L162</f>
        <v>82.518150905247694</v>
      </c>
      <c r="G301" s="138">
        <f>L163</f>
        <v>71.761985485135753</v>
      </c>
      <c r="H301" s="135">
        <f>L164</f>
        <v>3.2303216377220214</v>
      </c>
      <c r="I301" s="135">
        <f>L165</f>
        <v>1.8661433325684587</v>
      </c>
      <c r="J301" s="135">
        <f>L166</f>
        <v>1.3641783051535628</v>
      </c>
      <c r="K301" s="114">
        <f>L161</f>
        <v>90.000000000000014</v>
      </c>
    </row>
    <row r="302" spans="4:11" x14ac:dyDescent="0.25">
      <c r="D302" s="198" t="str">
        <f>A169</f>
        <v>Simulation F: Both CDI (1.1eq) as coupling reagent, [Acid] = 0.4M in THF, Yield = 90%</v>
      </c>
      <c r="E302" s="198"/>
      <c r="F302" s="198"/>
      <c r="G302" s="198"/>
      <c r="H302" s="198"/>
      <c r="I302" s="198"/>
      <c r="J302" s="198"/>
      <c r="K302" s="198"/>
    </row>
    <row r="303" spans="4:11" x14ac:dyDescent="0.25">
      <c r="E303" s="102" t="s">
        <v>184</v>
      </c>
      <c r="F303" s="146">
        <f>L177</f>
        <v>95.566817555599286</v>
      </c>
      <c r="G303" s="146">
        <f>L178</f>
        <v>82.104734140987787</v>
      </c>
      <c r="H303" s="147">
        <f>L179</f>
        <v>8.5624872492743389</v>
      </c>
      <c r="I303" s="147">
        <f>L180</f>
        <v>2.1625746447066354</v>
      </c>
      <c r="J303" s="147">
        <f>L181</f>
        <v>6.3999126045677031</v>
      </c>
      <c r="K303" s="146">
        <f>L176</f>
        <v>90</v>
      </c>
    </row>
    <row r="304" spans="4:11" x14ac:dyDescent="0.25">
      <c r="E304" s="102" t="s">
        <v>202</v>
      </c>
      <c r="F304" s="146">
        <f>L190</f>
        <v>82.518150905247694</v>
      </c>
      <c r="G304" s="146">
        <f>L191</f>
        <v>71.761985485135753</v>
      </c>
      <c r="H304" s="147">
        <f>L192</f>
        <v>4.538581883502367</v>
      </c>
      <c r="I304" s="147">
        <f>L193</f>
        <v>1.8102252731952411</v>
      </c>
      <c r="J304" s="147">
        <f>L194</f>
        <v>2.7283566103071255</v>
      </c>
      <c r="K304" s="146">
        <f>L189</f>
        <v>90.000000000000014</v>
      </c>
    </row>
    <row r="305" spans="4:11" x14ac:dyDescent="0.25">
      <c r="D305" s="198" t="str">
        <f>A225</f>
        <v>Simulation H: Both ICBF (1.1eq) as coupling reagent, [Acid] = 0.4M in THF, Yield = 90%</v>
      </c>
      <c r="E305" s="198"/>
      <c r="F305" s="198"/>
      <c r="G305" s="198"/>
      <c r="H305" s="198"/>
      <c r="I305" s="198"/>
      <c r="J305" s="198"/>
      <c r="K305" s="198"/>
    </row>
    <row r="306" spans="4:11" x14ac:dyDescent="0.25">
      <c r="E306" s="102" t="s">
        <v>184</v>
      </c>
      <c r="F306" s="146">
        <f>L233</f>
        <v>95.566817555599286</v>
      </c>
      <c r="G306" s="146">
        <f>L234</f>
        <v>82.104734140987787</v>
      </c>
      <c r="H306" s="147">
        <f>L235</f>
        <v>8.3655188436776555</v>
      </c>
      <c r="I306" s="147">
        <f>L236</f>
        <v>1.9656062391099516</v>
      </c>
      <c r="J306" s="147">
        <f>L237</f>
        <v>6.3999126045677031</v>
      </c>
      <c r="K306" s="146">
        <f>L232</f>
        <v>90</v>
      </c>
    </row>
    <row r="307" spans="4:11" x14ac:dyDescent="0.25">
      <c r="E307" s="102" t="s">
        <v>202</v>
      </c>
      <c r="F307" s="146">
        <f>L246</f>
        <v>82.518150905247694</v>
      </c>
      <c r="G307" s="146">
        <f>L247</f>
        <v>71.761985485135753</v>
      </c>
      <c r="H307" s="147">
        <f>L248</f>
        <v>4.4516868606944699</v>
      </c>
      <c r="I307" s="147">
        <f>L249</f>
        <v>1.7233302503873447</v>
      </c>
      <c r="J307" s="147">
        <f>L250</f>
        <v>2.7283566103071255</v>
      </c>
      <c r="K307" s="146">
        <f>L245</f>
        <v>90.000000000000014</v>
      </c>
    </row>
  </sheetData>
  <mergeCells count="2">
    <mergeCell ref="D302:K302"/>
    <mergeCell ref="D305:K305"/>
  </mergeCells>
  <pageMargins left="0.7" right="0.7" top="0.75" bottom="0.75" header="0.3" footer="0.3"/>
  <pageSetup paperSize="9" scale="10"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 SOCl2</vt:lpstr>
      <vt:lpstr>(COCl)2</vt:lpstr>
      <vt:lpstr>CDI</vt:lpstr>
      <vt:lpstr>DCC</vt:lpstr>
      <vt:lpstr>EDC</vt:lpstr>
      <vt:lpstr>PivCl</vt:lpstr>
      <vt:lpstr>ICBF</vt:lpstr>
      <vt:lpstr>T3P</vt:lpstr>
      <vt:lpstr>Example 5 vs 13</vt:lpstr>
      <vt:lpstr>Different coupling reagents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Mc</dc:creator>
  <cp:lastModifiedBy>Pieter Mampuys</cp:lastModifiedBy>
  <cp:lastPrinted>2019-03-22T15:58:01Z</cp:lastPrinted>
  <dcterms:created xsi:type="dcterms:W3CDTF">2014-01-14T15:43:16Z</dcterms:created>
  <dcterms:modified xsi:type="dcterms:W3CDTF">2019-11-12T10:14:26Z</dcterms:modified>
</cp:coreProperties>
</file>