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 checkCompatibility="1"/>
  <mc:AlternateContent xmlns:mc="http://schemas.openxmlformats.org/markup-compatibility/2006">
    <mc:Choice Requires="x15">
      <x15ac:absPath xmlns:x15ac="http://schemas.microsoft.com/office/spreadsheetml/2010/11/ac" url="/Users/mathieudellinger/Dropbox/Figures - papiers/Article Re isotope method/"/>
    </mc:Choice>
  </mc:AlternateContent>
  <bookViews>
    <workbookView xWindow="1420" yWindow="1620" windowWidth="24180" windowHeight="15940" tabRatio="500" activeTab="2"/>
  </bookViews>
  <sheets>
    <sheet name="Table 2" sheetId="8" r:id="rId1"/>
    <sheet name="Table 3" sheetId="2" r:id="rId2"/>
    <sheet name="Table 4" sheetId="10" r:id="rId3"/>
    <sheet name="Table S1" sheetId="1" r:id="rId4"/>
    <sheet name="Table S2" sheetId="3" r:id="rId5"/>
    <sheet name="Table S3" sheetId="4" r:id="rId6"/>
    <sheet name="Table S4" sheetId="5" r:id="rId7"/>
    <sheet name="Table S5" sheetId="6" r:id="rId8"/>
    <sheet name="Table S6" sheetId="7" r:id="rId9"/>
  </sheets>
  <definedNames>
    <definedName name="_xlnm.Print_Area" localSheetId="0">'Table 2'!$A$1:$L$16</definedName>
    <definedName name="_xlnm.Print_Area" localSheetId="1">'Table 3'!$A$1:$M$15</definedName>
    <definedName name="_xlnm.Print_Area" localSheetId="2">'Table 4'!$A$1:$I$9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5" l="1"/>
  <c r="D26" i="5"/>
  <c r="C26" i="5"/>
  <c r="M54" i="5"/>
  <c r="M55" i="5"/>
  <c r="M56" i="5"/>
  <c r="M57" i="5"/>
  <c r="M58" i="5"/>
  <c r="M59" i="5"/>
  <c r="M60" i="5"/>
  <c r="M61" i="5"/>
  <c r="M53" i="5"/>
  <c r="F63" i="5"/>
  <c r="E63" i="5"/>
  <c r="D63" i="5"/>
  <c r="C63" i="5"/>
  <c r="H37" i="5"/>
  <c r="D37" i="5"/>
  <c r="D15" i="5"/>
  <c r="D16" i="5"/>
  <c r="D17" i="5"/>
  <c r="D18" i="5"/>
  <c r="D19" i="5"/>
  <c r="D21" i="5"/>
  <c r="D9" i="5"/>
  <c r="D10" i="5"/>
  <c r="D11" i="5"/>
  <c r="D13" i="5"/>
  <c r="D2" i="5"/>
  <c r="D3" i="5"/>
  <c r="D4" i="5"/>
  <c r="D5" i="5"/>
  <c r="D7" i="5"/>
  <c r="I21" i="5"/>
  <c r="H21" i="5"/>
  <c r="I13" i="5"/>
  <c r="H13" i="5"/>
  <c r="I7" i="5"/>
  <c r="H7" i="5"/>
  <c r="O74" i="7"/>
  <c r="O75" i="7"/>
  <c r="O76" i="7"/>
  <c r="O77" i="7"/>
  <c r="O78" i="7"/>
  <c r="O79" i="7"/>
  <c r="I80" i="7"/>
  <c r="O80" i="7"/>
  <c r="O81" i="7"/>
  <c r="O82" i="7"/>
  <c r="O83" i="7"/>
  <c r="O85" i="7"/>
  <c r="N74" i="7"/>
  <c r="N75" i="7"/>
  <c r="N76" i="7"/>
  <c r="N77" i="7"/>
  <c r="N78" i="7"/>
  <c r="N79" i="7"/>
  <c r="N80" i="7"/>
  <c r="N81" i="7"/>
  <c r="N82" i="7"/>
  <c r="N83" i="7"/>
  <c r="N85" i="7"/>
  <c r="E72" i="7"/>
  <c r="O72" i="7"/>
  <c r="N72" i="7"/>
  <c r="G72" i="7"/>
  <c r="F72" i="7"/>
  <c r="N70" i="7"/>
  <c r="N69" i="7"/>
  <c r="N68" i="7"/>
  <c r="N67" i="7"/>
  <c r="N66" i="7"/>
  <c r="E64" i="7"/>
  <c r="O64" i="7"/>
  <c r="N64" i="7"/>
  <c r="G64" i="7"/>
  <c r="F64" i="7"/>
  <c r="N61" i="7"/>
  <c r="N60" i="7"/>
  <c r="N59" i="7"/>
  <c r="N58" i="7"/>
  <c r="N57" i="7"/>
  <c r="E55" i="7"/>
  <c r="O55" i="7"/>
  <c r="N55" i="7"/>
  <c r="J55" i="7"/>
  <c r="G55" i="7"/>
  <c r="F55" i="7"/>
  <c r="N53" i="7"/>
  <c r="N52" i="7"/>
  <c r="N51" i="7"/>
  <c r="N50" i="7"/>
  <c r="N49" i="7"/>
  <c r="N48" i="7"/>
  <c r="N47" i="7"/>
  <c r="N46" i="7"/>
  <c r="N45" i="7"/>
  <c r="O43" i="7"/>
  <c r="E43" i="7"/>
  <c r="N43" i="7"/>
  <c r="G43" i="7"/>
  <c r="F43" i="7"/>
  <c r="N40" i="7"/>
  <c r="N39" i="7"/>
  <c r="N38" i="7"/>
  <c r="N37" i="7"/>
  <c r="N36" i="7"/>
  <c r="N35" i="7"/>
  <c r="N34" i="7"/>
  <c r="N33" i="7"/>
  <c r="N32" i="7"/>
  <c r="O26" i="7"/>
  <c r="N26" i="7"/>
  <c r="J26" i="7"/>
  <c r="O24" i="7"/>
  <c r="N24" i="7"/>
  <c r="O22" i="7"/>
  <c r="N22" i="7"/>
  <c r="J22" i="7"/>
  <c r="O20" i="7"/>
  <c r="N20" i="7"/>
  <c r="O18" i="7"/>
  <c r="N18" i="7"/>
  <c r="J18" i="7"/>
  <c r="O16" i="7"/>
  <c r="N16" i="7"/>
  <c r="O14" i="7"/>
  <c r="N14" i="7"/>
  <c r="E12" i="7"/>
  <c r="O12" i="7"/>
  <c r="N12" i="7"/>
  <c r="G12" i="7"/>
  <c r="F12" i="7"/>
  <c r="N10" i="7"/>
  <c r="N9" i="7"/>
  <c r="N8" i="7"/>
  <c r="N7" i="7"/>
  <c r="N6" i="7"/>
  <c r="N5" i="7"/>
  <c r="D5" i="7"/>
  <c r="N4" i="7"/>
  <c r="D4" i="7"/>
  <c r="N3" i="7"/>
  <c r="D3" i="7"/>
  <c r="D50" i="5"/>
  <c r="D48" i="5"/>
  <c r="D46" i="5"/>
  <c r="D44" i="5"/>
  <c r="D42" i="5"/>
  <c r="D40" i="5"/>
  <c r="D32" i="5"/>
  <c r="L30" i="5"/>
  <c r="M30" i="5"/>
  <c r="D30" i="5"/>
  <c r="E37" i="5"/>
  <c r="C37" i="5"/>
  <c r="F37" i="5"/>
  <c r="L35" i="5"/>
  <c r="M35" i="5"/>
  <c r="D28" i="5"/>
  <c r="D23" i="5"/>
  <c r="M23" i="5"/>
  <c r="M28" i="5"/>
  <c r="L19" i="5"/>
  <c r="L18" i="5"/>
  <c r="M16" i="5"/>
  <c r="M17" i="5"/>
  <c r="L15" i="5"/>
  <c r="M15" i="5"/>
  <c r="L11" i="5"/>
  <c r="M11" i="5"/>
  <c r="M10" i="5"/>
  <c r="M9" i="5"/>
  <c r="M3" i="5"/>
  <c r="M4" i="5"/>
  <c r="M5" i="5"/>
  <c r="M2" i="5"/>
  <c r="E21" i="5"/>
  <c r="F21" i="5"/>
  <c r="C21" i="5"/>
  <c r="F13" i="5"/>
  <c r="E13" i="5"/>
  <c r="C13" i="5"/>
  <c r="E7" i="5"/>
  <c r="F7" i="5"/>
  <c r="C7" i="5"/>
  <c r="E24" i="4"/>
  <c r="E41" i="4"/>
  <c r="E40" i="4"/>
  <c r="E39" i="4"/>
  <c r="E37" i="4"/>
  <c r="E36" i="4"/>
  <c r="E35" i="4"/>
  <c r="E34" i="4"/>
  <c r="E33" i="4"/>
  <c r="E29" i="4"/>
  <c r="E30" i="4"/>
  <c r="E31" i="4"/>
  <c r="E28" i="4"/>
  <c r="E26" i="4"/>
  <c r="E25" i="4"/>
  <c r="E22" i="4"/>
  <c r="E21" i="4"/>
  <c r="E20" i="4"/>
  <c r="E18" i="4"/>
  <c r="E17" i="4"/>
  <c r="E15" i="4"/>
  <c r="E14" i="4"/>
  <c r="E13" i="4"/>
  <c r="E10" i="4"/>
  <c r="E11" i="4"/>
  <c r="E9" i="4"/>
  <c r="E3" i="4"/>
  <c r="E4" i="4"/>
  <c r="E5" i="4"/>
  <c r="E6" i="4"/>
  <c r="E7" i="4"/>
  <c r="E2" i="4"/>
  <c r="C10" i="3"/>
  <c r="C8" i="3"/>
  <c r="C13" i="3"/>
  <c r="C12" i="3"/>
  <c r="C11" i="3"/>
  <c r="C9" i="3"/>
  <c r="C4" i="3"/>
  <c r="C5" i="3"/>
  <c r="C3" i="3"/>
</calcChain>
</file>

<file path=xl/sharedStrings.xml><?xml version="1.0" encoding="utf-8"?>
<sst xmlns="http://schemas.openxmlformats.org/spreadsheetml/2006/main" count="510" uniqueCount="321">
  <si>
    <t>Measurement ID</t>
  </si>
  <si>
    <r>
      <t>(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Re)</t>
    </r>
    <r>
      <rPr>
        <vertAlign val="subscript"/>
        <sz val="10"/>
        <color theme="1"/>
        <rFont val="Arial"/>
      </rPr>
      <t>smp</t>
    </r>
    <r>
      <rPr>
        <sz val="10"/>
        <color theme="1"/>
        <rFont val="Arial"/>
        <family val="2"/>
      </rPr>
      <t xml:space="preserve"> / (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Re)</t>
    </r>
    <r>
      <rPr>
        <vertAlign val="subscript"/>
        <sz val="10"/>
        <color theme="1"/>
        <rFont val="Arial"/>
      </rPr>
      <t>std</t>
    </r>
  </si>
  <si>
    <r>
      <t>(</t>
    </r>
    <r>
      <rPr>
        <vertAlign val="superscript"/>
        <sz val="10"/>
        <color theme="1"/>
        <rFont val="Arial"/>
      </rPr>
      <t>186</t>
    </r>
    <r>
      <rPr>
        <sz val="10"/>
        <color theme="1"/>
        <rFont val="Arial"/>
        <family val="2"/>
      </rPr>
      <t>W)</t>
    </r>
    <r>
      <rPr>
        <vertAlign val="subscript"/>
        <sz val="10"/>
        <color theme="1"/>
        <rFont val="Arial"/>
      </rPr>
      <t>smp</t>
    </r>
    <r>
      <rPr>
        <sz val="10"/>
        <color theme="1"/>
        <rFont val="Arial"/>
        <family val="2"/>
      </rPr>
      <t xml:space="preserve"> / (</t>
    </r>
    <r>
      <rPr>
        <vertAlign val="superscript"/>
        <sz val="10"/>
        <color theme="1"/>
        <rFont val="Arial"/>
      </rPr>
      <t>184</t>
    </r>
    <r>
      <rPr>
        <sz val="10"/>
        <color theme="1"/>
        <rFont val="Arial"/>
        <family val="2"/>
      </rPr>
      <t>W)</t>
    </r>
    <r>
      <rPr>
        <vertAlign val="subscript"/>
        <sz val="10"/>
        <color theme="1"/>
        <rFont val="Arial"/>
      </rPr>
      <t>std</t>
    </r>
  </si>
  <si>
    <r>
      <t>(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Re/</t>
    </r>
    <r>
      <rPr>
        <vertAlign val="superscript"/>
        <sz val="10"/>
        <color theme="1"/>
        <rFont val="Arial"/>
      </rPr>
      <t>186</t>
    </r>
    <r>
      <rPr>
        <sz val="10"/>
        <color theme="1"/>
        <rFont val="Arial"/>
        <family val="2"/>
      </rPr>
      <t>W)</t>
    </r>
    <r>
      <rPr>
        <vertAlign val="subscript"/>
        <sz val="10"/>
        <color theme="1"/>
        <rFont val="Arial"/>
      </rPr>
      <t>smp</t>
    </r>
    <r>
      <rPr>
        <sz val="10"/>
        <color theme="1"/>
        <rFont val="Arial"/>
        <family val="2"/>
      </rPr>
      <t xml:space="preserve"> / (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Re/</t>
    </r>
    <r>
      <rPr>
        <vertAlign val="superscript"/>
        <sz val="10"/>
        <color theme="1"/>
        <rFont val="Arial"/>
      </rPr>
      <t>186</t>
    </r>
    <r>
      <rPr>
        <sz val="10"/>
        <color theme="1"/>
        <rFont val="Arial"/>
        <family val="2"/>
      </rPr>
      <t>W)</t>
    </r>
    <r>
      <rPr>
        <vertAlign val="subscript"/>
        <sz val="10"/>
        <color theme="1"/>
        <rFont val="Arial"/>
      </rPr>
      <t>std</t>
    </r>
  </si>
  <si>
    <t>Overall uncertainty (2SD)</t>
  </si>
  <si>
    <t>W/Re=10</t>
  </si>
  <si>
    <t>W/Re=20</t>
  </si>
  <si>
    <t>Re/W=0.71</t>
  </si>
  <si>
    <t>Re/W=0.91</t>
  </si>
  <si>
    <t>Re/W=1.10</t>
  </si>
  <si>
    <t>Re/W=1.30</t>
  </si>
  <si>
    <t>Re/W=0.50</t>
  </si>
  <si>
    <t>Re/W=0.79</t>
  </si>
  <si>
    <t>Re/W=1.00</t>
  </si>
  <si>
    <t>Re/W=1.18</t>
  </si>
  <si>
    <t>Re/W=1.48</t>
  </si>
  <si>
    <t>Re/W=1.32</t>
  </si>
  <si>
    <t>Re/W=1.03</t>
  </si>
  <si>
    <t>Re/W=0.84</t>
  </si>
  <si>
    <t>Standard solution</t>
  </si>
  <si>
    <r>
      <t xml:space="preserve">Range of 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 Intensity (V)</t>
    </r>
  </si>
  <si>
    <r>
      <t xml:space="preserve">Average 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>Re Intensity (V)</t>
    </r>
  </si>
  <si>
    <r>
      <t>δ</t>
    </r>
    <r>
      <rPr>
        <vertAlign val="superscript"/>
        <sz val="10"/>
        <color theme="1"/>
        <rFont val="Arial"/>
      </rPr>
      <t>187</t>
    </r>
    <r>
      <rPr>
        <sz val="10"/>
        <color theme="1"/>
        <rFont val="Arial"/>
        <family val="2"/>
      </rPr>
      <t xml:space="preserve">Re </t>
    </r>
    <r>
      <rPr>
        <vertAlign val="subscript"/>
        <sz val="10"/>
        <color theme="1"/>
        <rFont val="Arial"/>
      </rPr>
      <t>SRM989</t>
    </r>
    <r>
      <rPr>
        <sz val="10"/>
        <color theme="1"/>
        <rFont val="Arial"/>
        <family val="2"/>
      </rPr>
      <t xml:space="preserve"> (‰)</t>
    </r>
  </si>
  <si>
    <t>Internal error (± 2SE)</t>
  </si>
  <si>
    <t>Intermediate error (± 2SD)</t>
  </si>
  <si>
    <t>External error (± 2SD)</t>
  </si>
  <si>
    <t>Number of analysis</t>
  </si>
  <si>
    <t>HReO4</t>
  </si>
  <si>
    <t>0.45 - 0.50</t>
  </si>
  <si>
    <t>0.40 - 0.45</t>
  </si>
  <si>
    <t>0.35 - 0.40</t>
  </si>
  <si>
    <t>0.25 - 0.30</t>
  </si>
  <si>
    <t>0.20 - 0.25</t>
  </si>
  <si>
    <t>0.15 - 0.20</t>
  </si>
  <si>
    <t>0.10 - 0.15</t>
  </si>
  <si>
    <t>0.08 - 0.10</t>
  </si>
  <si>
    <t>0.04 - 0.08</t>
  </si>
  <si>
    <t>SRM 3141</t>
  </si>
  <si>
    <t>0.48 - 0.52</t>
  </si>
  <si>
    <t>2 replicate analysis</t>
  </si>
  <si>
    <t>1 analysis</t>
  </si>
  <si>
    <r>
      <t>δ</t>
    </r>
    <r>
      <rPr>
        <b/>
        <vertAlign val="superscript"/>
        <sz val="10"/>
        <color theme="1"/>
        <rFont val="Arial"/>
      </rPr>
      <t>187</t>
    </r>
    <r>
      <rPr>
        <b/>
        <sz val="10"/>
        <color theme="1"/>
        <rFont val="Arial"/>
      </rPr>
      <t xml:space="preserve">Re </t>
    </r>
    <r>
      <rPr>
        <b/>
        <vertAlign val="subscript"/>
        <sz val="10"/>
        <color theme="1"/>
        <rFont val="Arial"/>
      </rPr>
      <t>SRM989</t>
    </r>
    <r>
      <rPr>
        <b/>
        <sz val="10"/>
        <color theme="1"/>
        <rFont val="Arial"/>
      </rPr>
      <t xml:space="preserve"> (‰)</t>
    </r>
  </si>
  <si>
    <t>Yield 15%</t>
  </si>
  <si>
    <t>Yield 4%</t>
  </si>
  <si>
    <t>Yield 78%</t>
  </si>
  <si>
    <t>Yield (%)</t>
  </si>
  <si>
    <t>Tests fractionation during incomplete Re elution in 1 mL column</t>
  </si>
  <si>
    <t>Tests fractionation during incomplete Re elution during water sample preconcentrations</t>
  </si>
  <si>
    <t>Yield 6%</t>
  </si>
  <si>
    <t>Yield 34%</t>
  </si>
  <si>
    <t>Yield 90%</t>
  </si>
  <si>
    <t>Yield 50%</t>
  </si>
  <si>
    <t>Yield 23%</t>
  </si>
  <si>
    <t>Yield 68%</t>
  </si>
  <si>
    <t>Fe/Re=1</t>
  </si>
  <si>
    <t>Fe/Re=50</t>
  </si>
  <si>
    <t>Fe/Re=200</t>
  </si>
  <si>
    <t>Fe/Re=1000</t>
  </si>
  <si>
    <t>Fe/Re=5</t>
  </si>
  <si>
    <t>Fe/Re=25</t>
  </si>
  <si>
    <t>Zn/Re=20</t>
  </si>
  <si>
    <t>Zn/Re=100</t>
  </si>
  <si>
    <t>Zn/Re=400</t>
  </si>
  <si>
    <t>Mo/Re=200</t>
  </si>
  <si>
    <t>Mo/Re=1000</t>
  </si>
  <si>
    <t>Mo/Re=2000</t>
  </si>
  <si>
    <t>Zr/Re=5</t>
  </si>
  <si>
    <t>Zr/Re=100</t>
  </si>
  <si>
    <t>Hf/Re=1</t>
  </si>
  <si>
    <t>Hf/Re=3</t>
  </si>
  <si>
    <t>Hf/Re=10</t>
  </si>
  <si>
    <t>Mg/Re=0.9</t>
  </si>
  <si>
    <t>Al/Re=0.9</t>
  </si>
  <si>
    <t>Al/Re=4.6</t>
  </si>
  <si>
    <t>Al/Re=22.7</t>
  </si>
  <si>
    <t>Mg/Re=4.6</t>
  </si>
  <si>
    <t>Mg/Re=22.7</t>
  </si>
  <si>
    <t>Ta/Re=0.9</t>
  </si>
  <si>
    <t>Ta/Re=4.6</t>
  </si>
  <si>
    <t>Ta/Re=22.7</t>
  </si>
  <si>
    <t>Ta/Re=13.6</t>
  </si>
  <si>
    <t>Ta/Re=50</t>
  </si>
  <si>
    <t>U/Re=5</t>
  </si>
  <si>
    <t>U/Re=15</t>
  </si>
  <si>
    <t>U/Re=50</t>
  </si>
  <si>
    <t>Element</t>
  </si>
  <si>
    <t>X/Re</t>
  </si>
  <si>
    <t>Fe</t>
  </si>
  <si>
    <t>Zn</t>
  </si>
  <si>
    <t>Mo</t>
  </si>
  <si>
    <t>Zr</t>
  </si>
  <si>
    <t>Hf</t>
  </si>
  <si>
    <t>Al</t>
  </si>
  <si>
    <t>Mg</t>
  </si>
  <si>
    <t>Ta</t>
  </si>
  <si>
    <t>U</t>
  </si>
  <si>
    <t>Reference material</t>
  </si>
  <si>
    <t>Mass Re per analysis (ng)</t>
  </si>
  <si>
    <t>Atlantic Seawater OSIL</t>
  </si>
  <si>
    <t>MAG-1 (marine mud)</t>
  </si>
  <si>
    <t>BHVO-2 (basalt)</t>
  </si>
  <si>
    <t>BIR-1 (basalt)</t>
  </si>
  <si>
    <t>BCR-2 (basalt)</t>
  </si>
  <si>
    <t>CV3 Allende (chondrite)</t>
  </si>
  <si>
    <t>SDO-1 (black shale)</t>
  </si>
  <si>
    <t>Column passes</t>
  </si>
  <si>
    <t>140918Re-2</t>
  </si>
  <si>
    <t xml:space="preserve">140918Re-4 </t>
  </si>
  <si>
    <t>120219 FC</t>
  </si>
  <si>
    <t>200818Re-6</t>
  </si>
  <si>
    <t>Average</t>
  </si>
  <si>
    <t>Number of measurements</t>
  </si>
  <si>
    <t>310819Re-2&amp;3</t>
  </si>
  <si>
    <t>150219Re-I</t>
  </si>
  <si>
    <t>17COLRE-74-2</t>
  </si>
  <si>
    <t>17COLRE-72-2</t>
  </si>
  <si>
    <t>17COLRE-73-2</t>
  </si>
  <si>
    <t>090119Re-1</t>
  </si>
  <si>
    <t>Mass sample (g)</t>
  </si>
  <si>
    <t>Mass Re (g)</t>
  </si>
  <si>
    <t>UB-N (serpentinite)</t>
  </si>
  <si>
    <t>17COLRE-63</t>
  </si>
  <si>
    <t>17COLRE-65</t>
  </si>
  <si>
    <t>0.02 - 0.04</t>
  </si>
  <si>
    <t>Tests of Re isotope fractionation during incomplete elution through column chemistry for the column containing 1 mL AG1-X8 resin and for large column containing 3 mL AG1-X8 resin used for pre-concentration of Re from water sample on the field</t>
  </si>
  <si>
    <t>Tests with different W/Re of the bracketing standard relative to the sample (here the bracketing standard and the “sample” are the same solution)</t>
  </si>
  <si>
    <t>Doping tests with different elements and various X/Re ratio (the doped standard and the bracketing standard are the same solution)</t>
  </si>
  <si>
    <t>140918Re-6&amp;7&amp;8</t>
  </si>
  <si>
    <t>050519Re-1to8</t>
  </si>
  <si>
    <t>100719Re-14</t>
  </si>
  <si>
    <t>17COLRE-97</t>
  </si>
  <si>
    <t>17COLRE-88</t>
  </si>
  <si>
    <t>140918Re-1</t>
  </si>
  <si>
    <t>Matrix 1</t>
  </si>
  <si>
    <t>Matrix 2</t>
  </si>
  <si>
    <t>Matrix 3</t>
  </si>
  <si>
    <t>Matrix 4</t>
  </si>
  <si>
    <t>Matrix 5</t>
  </si>
  <si>
    <t>Matrix 6</t>
  </si>
  <si>
    <t>261018Re-10+11+12</t>
  </si>
  <si>
    <t>080719Re-08</t>
  </si>
  <si>
    <t>100719Re-10</t>
  </si>
  <si>
    <t>011118Re-5+6+7</t>
  </si>
  <si>
    <t>011118Re-8+9+10</t>
  </si>
  <si>
    <t>080719Re-01</t>
  </si>
  <si>
    <t>Results of standard reference materials and matrix test material measured for Re isotopes. Each line corresponds to a single complete measurement (from digestion to Re isotope analysis).</t>
  </si>
  <si>
    <t>Number of analysis =analysis on a single aliquot (single digestion)</t>
  </si>
  <si>
    <t>Number of measurements = measurement on different aliquots (separate digestions)</t>
  </si>
  <si>
    <t>N</t>
  </si>
  <si>
    <t>W/Re=5</t>
  </si>
  <si>
    <t>W/Re=40</t>
  </si>
  <si>
    <t>W/Re of measured solution and bracketting standard</t>
  </si>
  <si>
    <t>W/Re=50</t>
  </si>
  <si>
    <t>Tests at 10 ppb Re concentration</t>
  </si>
  <si>
    <t>Tests at 1.5 ppb Re concentration</t>
  </si>
  <si>
    <t>SRM name</t>
  </si>
  <si>
    <t>Difference (%)</t>
  </si>
  <si>
    <t>17COLRE-40</t>
  </si>
  <si>
    <t>307-1</t>
  </si>
  <si>
    <t>BCR-2</t>
  </si>
  <si>
    <t>17COLRE-41</t>
  </si>
  <si>
    <t>17COLRE-42</t>
  </si>
  <si>
    <t>17COLRE-72</t>
  </si>
  <si>
    <t>339-1</t>
  </si>
  <si>
    <t>17COLRE-73</t>
  </si>
  <si>
    <t>339-2</t>
  </si>
  <si>
    <t>17COLRE-74</t>
  </si>
  <si>
    <t>339-3</t>
  </si>
  <si>
    <t>190618Re-12</t>
  </si>
  <si>
    <t>378-12</t>
  </si>
  <si>
    <t>200818Re-2</t>
  </si>
  <si>
    <t>378-22</t>
  </si>
  <si>
    <t>Average BCR-2</t>
  </si>
  <si>
    <t>Jochum et al., (2016)</t>
  </si>
  <si>
    <t>17COLRE-77</t>
  </si>
  <si>
    <t>332-9</t>
  </si>
  <si>
    <t>BIR-1</t>
  </si>
  <si>
    <t>17COLRE-79</t>
  </si>
  <si>
    <t>332-14</t>
  </si>
  <si>
    <t>JG-2</t>
  </si>
  <si>
    <t>Imai et al., (1995)</t>
  </si>
  <si>
    <t>17COLRE-80</t>
  </si>
  <si>
    <t>332-12</t>
  </si>
  <si>
    <t>GP-13</t>
  </si>
  <si>
    <t>Meisel and Moser (2004)</t>
  </si>
  <si>
    <t>17COLRE-81</t>
  </si>
  <si>
    <t>332-11</t>
  </si>
  <si>
    <t>AGV-1</t>
  </si>
  <si>
    <t>17COLRE-84</t>
  </si>
  <si>
    <t>332-7</t>
  </si>
  <si>
    <t>TDB-1</t>
  </si>
  <si>
    <t>17COLRE-85</t>
  </si>
  <si>
    <t>332-5</t>
  </si>
  <si>
    <t>DNC-1</t>
  </si>
  <si>
    <t>335-1</t>
  </si>
  <si>
    <t>SCO-1</t>
  </si>
  <si>
    <t>1805COLRE-8</t>
  </si>
  <si>
    <t>332-6</t>
  </si>
  <si>
    <t>BCR-1</t>
  </si>
  <si>
    <t>120419Re-1</t>
  </si>
  <si>
    <t>383-1</t>
  </si>
  <si>
    <t>120419Re-2</t>
  </si>
  <si>
    <t>383-2</t>
  </si>
  <si>
    <t>120419Re-3</t>
  </si>
  <si>
    <t>383-3</t>
  </si>
  <si>
    <t>120419Re-4</t>
  </si>
  <si>
    <t>383-4</t>
  </si>
  <si>
    <t>120419Re-6</t>
  </si>
  <si>
    <t>383-6</t>
  </si>
  <si>
    <t>120419Re-7</t>
  </si>
  <si>
    <t>383-10</t>
  </si>
  <si>
    <t>120419Re-8</t>
  </si>
  <si>
    <t>383-11</t>
  </si>
  <si>
    <t>120419Re-9</t>
  </si>
  <si>
    <t>383-12</t>
  </si>
  <si>
    <t>Average BCR-1</t>
  </si>
  <si>
    <t>1805COLRE-9</t>
  </si>
  <si>
    <t>332-13</t>
  </si>
  <si>
    <t>UB-N</t>
  </si>
  <si>
    <t>080519Re-1</t>
  </si>
  <si>
    <t>421-1</t>
  </si>
  <si>
    <t>080519Re-2</t>
  </si>
  <si>
    <t>421-2</t>
  </si>
  <si>
    <t>080519Re-3</t>
  </si>
  <si>
    <t>421-3</t>
  </si>
  <si>
    <t>080519Re-4</t>
  </si>
  <si>
    <t>421-4</t>
  </si>
  <si>
    <t>080519Re-5</t>
  </si>
  <si>
    <t>421-5</t>
  </si>
  <si>
    <t>080519Re-6</t>
  </si>
  <si>
    <t>408-15</t>
  </si>
  <si>
    <t>080519Re-7</t>
  </si>
  <si>
    <t>408-16</t>
  </si>
  <si>
    <t>080519Re-8</t>
  </si>
  <si>
    <t>408-17</t>
  </si>
  <si>
    <t>Average UB-N</t>
  </si>
  <si>
    <t>190618Re-4</t>
  </si>
  <si>
    <t>378-4</t>
  </si>
  <si>
    <t>MAG-1</t>
  </si>
  <si>
    <t>200818Re-3</t>
  </si>
  <si>
    <t>378-19</t>
  </si>
  <si>
    <t>310818Re-2</t>
  </si>
  <si>
    <t>344-11</t>
  </si>
  <si>
    <t>140918Re-6</t>
  </si>
  <si>
    <t>383-7</t>
  </si>
  <si>
    <t>120419Re-10</t>
  </si>
  <si>
    <t>377-10</t>
  </si>
  <si>
    <t>080719Re-11</t>
  </si>
  <si>
    <t>425-10</t>
  </si>
  <si>
    <t>Average MAG-1</t>
  </si>
  <si>
    <t>010219Re-8</t>
  </si>
  <si>
    <t>395-8</t>
  </si>
  <si>
    <t>BHVO-2</t>
  </si>
  <si>
    <t>17COLRE-49</t>
  </si>
  <si>
    <t>307-4</t>
  </si>
  <si>
    <t>17COLRE-50</t>
  </si>
  <si>
    <t>332-10</t>
  </si>
  <si>
    <t>080719Re-6</t>
  </si>
  <si>
    <t>432-2</t>
  </si>
  <si>
    <t>080719Re-7</t>
  </si>
  <si>
    <t>432-3</t>
  </si>
  <si>
    <t>Average BHVO-2</t>
  </si>
  <si>
    <t>17COLRE-86</t>
  </si>
  <si>
    <t>HReO4 100ppb Re 50 uL</t>
  </si>
  <si>
    <t>010219Re15</t>
  </si>
  <si>
    <t>Re SCO</t>
  </si>
  <si>
    <t>0701Re10</t>
  </si>
  <si>
    <t>Re100ppt</t>
  </si>
  <si>
    <t>150219Re-J</t>
  </si>
  <si>
    <t>SCO Re</t>
  </si>
  <si>
    <t>080219Re-I</t>
  </si>
  <si>
    <t>SCO 10 ppb</t>
  </si>
  <si>
    <t>0901Re-10</t>
  </si>
  <si>
    <t>120419Re-12</t>
  </si>
  <si>
    <t>HReO4 0.05mL of 95ppb</t>
  </si>
  <si>
    <t>030719Re-10</t>
  </si>
  <si>
    <t>Re HReO4 0.053mL 95ppb</t>
  </si>
  <si>
    <t>080719Re-15</t>
  </si>
  <si>
    <t>180719Re-15</t>
  </si>
  <si>
    <t>Mass digested per sample (mg)</t>
  </si>
  <si>
    <t>[Re] (ppb)</t>
  </si>
  <si>
    <t>N measurements</t>
  </si>
  <si>
    <t>This study</t>
  </si>
  <si>
    <t>[Re]</t>
  </si>
  <si>
    <t>Uncertainty (in %, 2σ)</t>
  </si>
  <si>
    <t>Reference</t>
  </si>
  <si>
    <t>Comparaison</t>
  </si>
  <si>
    <t>Literature</t>
  </si>
  <si>
    <t>± 2SD (%)</t>
  </si>
  <si>
    <t>SDC-1</t>
  </si>
  <si>
    <t>NIST 1646a</t>
  </si>
  <si>
    <t>180719Re-14</t>
  </si>
  <si>
    <t>432-5</t>
  </si>
  <si>
    <t>180719Re-13</t>
  </si>
  <si>
    <t>432-6</t>
  </si>
  <si>
    <t>-</t>
  </si>
  <si>
    <t>60 to 514</t>
  </si>
  <si>
    <t>480 to 653</t>
  </si>
  <si>
    <t>466 to 698</t>
  </si>
  <si>
    <t>172 to 559</t>
  </si>
  <si>
    <t>498 to 617</t>
  </si>
  <si>
    <t>4.9 - 12.2</t>
  </si>
  <si>
    <t>4.2 - 5.5</t>
  </si>
  <si>
    <t>OSIL (Atlantic Seawater)</t>
  </si>
  <si>
    <t>Overall uncertainty (±  2SD)</t>
  </si>
  <si>
    <t>3 - 12</t>
  </si>
  <si>
    <t>Influence of the W/Re of both bracketing standard and measured solution on the measured Re isotopic composition (for two concentration, 10 ppb and 1.5 ppb)</t>
  </si>
  <si>
    <t>Results for Re concentration measurements for a wide range of SRMs</t>
  </si>
  <si>
    <t>± 2SD (in %)</t>
  </si>
  <si>
    <t>1.08 - 1.10</t>
  </si>
  <si>
    <t>DURH-Re-1</t>
  </si>
  <si>
    <t>87-2 HReO4</t>
  </si>
  <si>
    <t>3108Re-15</t>
  </si>
  <si>
    <t>17COLRE-103-1</t>
  </si>
  <si>
    <t>061218Re-15</t>
  </si>
  <si>
    <t>120219Re-11</t>
  </si>
  <si>
    <t>100719Re-15</t>
  </si>
  <si>
    <t>140719Re-20</t>
  </si>
  <si>
    <t>HReO4 standard processed through column</t>
  </si>
  <si>
    <t>010219Re-08</t>
  </si>
  <si>
    <t>2 - 2.5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</si>
</sst>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[$-F400]h:mm:ss\ AM/PM"/>
  </numFmts>
  <fonts count="2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</font>
    <font>
      <vertAlign val="subscript"/>
      <sz val="10"/>
      <color theme="1"/>
      <name val="Arial"/>
    </font>
    <font>
      <sz val="11"/>
      <color theme="1"/>
      <name val="Arial"/>
      <family val="2"/>
    </font>
    <font>
      <b/>
      <sz val="10"/>
      <color theme="1"/>
      <name val="Arial"/>
    </font>
    <font>
      <b/>
      <vertAlign val="superscript"/>
      <sz val="10"/>
      <color theme="1"/>
      <name val="Arial"/>
    </font>
    <font>
      <b/>
      <sz val="11"/>
      <color theme="1"/>
      <name val="Arial"/>
    </font>
    <font>
      <b/>
      <vertAlign val="subscript"/>
      <sz val="10"/>
      <color theme="1"/>
      <name val="Arial"/>
    </font>
    <font>
      <sz val="11"/>
      <color rgb="FF0070C0"/>
      <name val="Arial"/>
      <family val="2"/>
    </font>
    <font>
      <sz val="11"/>
      <color rgb="FF7030A0"/>
      <name val="Arial"/>
      <family val="2"/>
    </font>
    <font>
      <sz val="12"/>
      <color rgb="FF00B050"/>
      <name val="Calibri"/>
      <family val="2"/>
      <scheme val="minor"/>
    </font>
    <font>
      <sz val="11"/>
      <color theme="1"/>
      <name val="Calibri"/>
      <scheme val="minor"/>
    </font>
    <font>
      <sz val="12"/>
      <color rgb="FF57AD00"/>
      <name val="Calibri"/>
      <family val="2"/>
      <scheme val="minor"/>
    </font>
    <font>
      <sz val="11"/>
      <color theme="1"/>
      <name val="Helvetica"/>
    </font>
    <font>
      <b/>
      <sz val="12"/>
      <color rgb="FF57AD00"/>
      <name val="Calibri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25">
    <xf numFmtId="0" fontId="0" fillId="0" borderId="0" xfId="0"/>
    <xf numFmtId="2" fontId="3" fillId="0" borderId="0" xfId="0" applyNumberFormat="1" applyFont="1"/>
    <xf numFmtId="0" fontId="0" fillId="0" borderId="0" xfId="0" applyFont="1"/>
    <xf numFmtId="165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2" borderId="0" xfId="0" applyFill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0" xfId="0" applyFont="1"/>
    <xf numFmtId="164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2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Border="1"/>
    <xf numFmtId="2" fontId="1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1" fontId="0" fillId="0" borderId="0" xfId="0" applyNumberFormat="1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/>
    <xf numFmtId="166" fontId="2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7" fontId="16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2" fontId="0" fillId="0" borderId="0" xfId="0" applyNumberFormat="1" applyBorder="1" applyAlignment="1">
      <alignment horizontal="left"/>
    </xf>
    <xf numFmtId="0" fontId="17" fillId="0" borderId="0" xfId="0" applyFont="1" applyBorder="1" applyAlignment="1">
      <alignment horizontal="left"/>
    </xf>
    <xf numFmtId="166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0" fillId="0" borderId="4" xfId="0" applyFont="1" applyFill="1" applyBorder="1"/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2" fontId="14" fillId="0" borderId="0" xfId="0" applyNumberFormat="1" applyFont="1" applyAlignment="1">
      <alignment horizontal="left"/>
    </xf>
    <xf numFmtId="166" fontId="14" fillId="0" borderId="0" xfId="0" applyNumberFormat="1" applyFont="1" applyAlignment="1">
      <alignment horizontal="left"/>
    </xf>
    <xf numFmtId="1" fontId="14" fillId="0" borderId="0" xfId="0" applyNumberFormat="1" applyFont="1" applyBorder="1" applyAlignment="1">
      <alignment horizontal="left"/>
    </xf>
    <xf numFmtId="166" fontId="14" fillId="0" borderId="0" xfId="0" applyNumberFormat="1" applyFont="1" applyBorder="1" applyAlignment="1">
      <alignment horizontal="left"/>
    </xf>
    <xf numFmtId="2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14" fillId="0" borderId="0" xfId="0" applyNumberFormat="1" applyFont="1" applyAlignment="1">
      <alignment horizontal="left"/>
    </xf>
    <xf numFmtId="0" fontId="18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8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S1'!$G$2:$G$14</c:f>
              <c:numCache>
                <c:formatCode>0.00</c:formatCode>
                <c:ptCount val="13"/>
                <c:pt idx="0">
                  <c:v>0.712970090354104</c:v>
                </c:pt>
                <c:pt idx="1">
                  <c:v>0.9124359323374</c:v>
                </c:pt>
                <c:pt idx="2">
                  <c:v>1.10412953739279</c:v>
                </c:pt>
                <c:pt idx="3">
                  <c:v>1.296261068162752</c:v>
                </c:pt>
                <c:pt idx="4">
                  <c:v>0.502092357575324</c:v>
                </c:pt>
                <c:pt idx="5">
                  <c:v>0.790290163841932</c:v>
                </c:pt>
                <c:pt idx="6">
                  <c:v>0.99899228310595</c:v>
                </c:pt>
                <c:pt idx="7">
                  <c:v>1.181229816182052</c:v>
                </c:pt>
                <c:pt idx="8">
                  <c:v>1.475469658800346</c:v>
                </c:pt>
                <c:pt idx="9">
                  <c:v>1.315949569617278</c:v>
                </c:pt>
                <c:pt idx="10">
                  <c:v>1.028477271041602</c:v>
                </c:pt>
                <c:pt idx="11">
                  <c:v>0.843034386975377</c:v>
                </c:pt>
                <c:pt idx="12">
                  <c:v>0.712546736446516</c:v>
                </c:pt>
              </c:numCache>
            </c:numRef>
          </c:xVal>
          <c:yVal>
            <c:numRef>
              <c:f>'Table S1'!$B$2:$B$14</c:f>
              <c:numCache>
                <c:formatCode>0.00</c:formatCode>
                <c:ptCount val="13"/>
                <c:pt idx="0">
                  <c:v>0.0368975072390458</c:v>
                </c:pt>
                <c:pt idx="1">
                  <c:v>0.00878863668318796</c:v>
                </c:pt>
                <c:pt idx="2">
                  <c:v>-0.049176403956408</c:v>
                </c:pt>
                <c:pt idx="3">
                  <c:v>-0.040378951144356</c:v>
                </c:pt>
                <c:pt idx="4">
                  <c:v>0.0555186906985305</c:v>
                </c:pt>
                <c:pt idx="5">
                  <c:v>0.0374242501666178</c:v>
                </c:pt>
                <c:pt idx="6">
                  <c:v>0.0150989402983489</c:v>
                </c:pt>
                <c:pt idx="7">
                  <c:v>-0.0212697468187824</c:v>
                </c:pt>
                <c:pt idx="8">
                  <c:v>-0.0668350647734517</c:v>
                </c:pt>
                <c:pt idx="9">
                  <c:v>-0.0645441169233226</c:v>
                </c:pt>
                <c:pt idx="10">
                  <c:v>-0.0233891377914297</c:v>
                </c:pt>
                <c:pt idx="11">
                  <c:v>-0.00442928691983072</c:v>
                </c:pt>
                <c:pt idx="12">
                  <c:v>0.0208616860490896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65408752"/>
        <c:axId val="-665404016"/>
      </c:scatterChart>
      <c:valAx>
        <c:axId val="-66540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65404016"/>
        <c:crosses val="autoZero"/>
        <c:crossBetween val="midCat"/>
      </c:valAx>
      <c:valAx>
        <c:axId val="-66540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65408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520700</xdr:colOff>
      <xdr:row>17</xdr:row>
      <xdr:rowOff>88900</xdr:rowOff>
    </xdr:from>
    <xdr:to>
      <xdr:col>6</xdr:col>
      <xdr:colOff>711200</xdr:colOff>
      <xdr:row>30</xdr:row>
      <xdr:rowOff>190500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L16"/>
    </sheetView>
  </sheetViews>
  <sheetFormatPr baseColWidth="10" defaultRowHeight="16" x14ac:dyDescent="0.2"/>
  <cols>
    <col min="2" max="2" width="13.6640625" customWidth="1"/>
    <col min="3" max="3" width="9.5" customWidth="1"/>
    <col min="4" max="4" width="10.83203125" customWidth="1"/>
    <col min="5" max="5" width="11.83203125" customWidth="1"/>
    <col min="6" max="6" width="6.6640625" customWidth="1"/>
    <col min="7" max="7" width="9.5" customWidth="1"/>
    <col min="8" max="8" width="10.5" customWidth="1"/>
    <col min="9" max="9" width="7" customWidth="1"/>
    <col min="12" max="12" width="12" customWidth="1"/>
  </cols>
  <sheetData>
    <row r="1" spans="1:12" ht="17" thickBot="1" x14ac:dyDescent="0.25">
      <c r="A1" s="97"/>
      <c r="B1" s="114" t="s">
        <v>282</v>
      </c>
      <c r="C1" s="114"/>
      <c r="D1" s="114"/>
      <c r="E1" s="114"/>
      <c r="F1" s="98"/>
      <c r="G1" s="114" t="s">
        <v>287</v>
      </c>
      <c r="H1" s="114"/>
      <c r="I1" s="114"/>
      <c r="J1" s="114"/>
      <c r="K1" s="98"/>
      <c r="L1" s="99" t="s">
        <v>286</v>
      </c>
    </row>
    <row r="2" spans="1:12" ht="29" customHeight="1" x14ac:dyDescent="0.2">
      <c r="A2" s="109" t="s">
        <v>155</v>
      </c>
      <c r="B2" s="109" t="s">
        <v>279</v>
      </c>
      <c r="C2" s="109" t="s">
        <v>280</v>
      </c>
      <c r="D2" s="109" t="s">
        <v>308</v>
      </c>
      <c r="E2" s="109" t="s">
        <v>281</v>
      </c>
      <c r="F2" s="109"/>
      <c r="G2" s="109" t="s">
        <v>280</v>
      </c>
      <c r="H2" s="109" t="s">
        <v>284</v>
      </c>
      <c r="I2" s="109" t="s">
        <v>148</v>
      </c>
      <c r="J2" s="109" t="s">
        <v>285</v>
      </c>
      <c r="K2" s="109"/>
      <c r="L2" s="109" t="s">
        <v>156</v>
      </c>
    </row>
    <row r="3" spans="1:12" x14ac:dyDescent="0.2">
      <c r="A3" s="100" t="s">
        <v>159</v>
      </c>
      <c r="B3" s="101" t="s">
        <v>296</v>
      </c>
      <c r="C3" s="102">
        <v>11.561881468216475</v>
      </c>
      <c r="D3" s="103">
        <v>6.3606914012550977</v>
      </c>
      <c r="E3" s="104">
        <v>8</v>
      </c>
      <c r="F3" s="104"/>
      <c r="G3" s="102">
        <v>12.6</v>
      </c>
      <c r="H3" s="105">
        <v>15.873015873015872</v>
      </c>
      <c r="I3" s="101">
        <v>4</v>
      </c>
      <c r="J3" s="96" t="s">
        <v>173</v>
      </c>
      <c r="K3" s="96"/>
      <c r="L3" s="106">
        <v>-8.2390359665359103</v>
      </c>
    </row>
    <row r="4" spans="1:12" x14ac:dyDescent="0.2">
      <c r="A4" s="96" t="s">
        <v>198</v>
      </c>
      <c r="B4" s="101" t="s">
        <v>297</v>
      </c>
      <c r="C4" s="102">
        <v>0.80605495827119311</v>
      </c>
      <c r="D4" s="103">
        <v>9.5632534178016684</v>
      </c>
      <c r="E4" s="104">
        <v>9</v>
      </c>
      <c r="F4" s="104"/>
      <c r="G4" s="102">
        <v>0.84</v>
      </c>
      <c r="H4" s="107"/>
      <c r="I4" s="107">
        <v>30</v>
      </c>
      <c r="J4" s="96" t="s">
        <v>173</v>
      </c>
      <c r="K4" s="96"/>
      <c r="L4" s="106">
        <v>-4.041076396286531</v>
      </c>
    </row>
    <row r="5" spans="1:12" x14ac:dyDescent="0.2">
      <c r="A5" s="100" t="s">
        <v>218</v>
      </c>
      <c r="B5" s="101" t="s">
        <v>298</v>
      </c>
      <c r="C5" s="102">
        <v>0.19750567320732393</v>
      </c>
      <c r="D5" s="103">
        <v>14.326339721265033</v>
      </c>
      <c r="E5" s="104">
        <v>9</v>
      </c>
      <c r="F5" s="104"/>
      <c r="G5" s="102">
        <v>0.20599999999999999</v>
      </c>
      <c r="H5" s="105">
        <v>4.8</v>
      </c>
      <c r="I5" s="107">
        <v>14</v>
      </c>
      <c r="J5" s="96" t="s">
        <v>184</v>
      </c>
      <c r="K5" s="96"/>
      <c r="L5" s="106">
        <v>-4.1234596080951746</v>
      </c>
    </row>
    <row r="6" spans="1:12" x14ac:dyDescent="0.2">
      <c r="A6" s="100" t="s">
        <v>238</v>
      </c>
      <c r="B6" s="101" t="s">
        <v>299</v>
      </c>
      <c r="C6" s="102">
        <v>3.6518334171433762</v>
      </c>
      <c r="D6" s="103">
        <v>7.3196697951724596</v>
      </c>
      <c r="E6" s="104">
        <v>6</v>
      </c>
      <c r="F6" s="104"/>
      <c r="G6" s="102">
        <v>3.91</v>
      </c>
      <c r="H6" s="107"/>
      <c r="I6" s="107">
        <v>1</v>
      </c>
      <c r="J6" s="96" t="s">
        <v>184</v>
      </c>
      <c r="K6" s="96"/>
      <c r="L6" s="106">
        <v>-6.6027259042614821</v>
      </c>
    </row>
    <row r="7" spans="1:12" x14ac:dyDescent="0.2">
      <c r="A7" s="100" t="s">
        <v>252</v>
      </c>
      <c r="B7" s="101" t="s">
        <v>300</v>
      </c>
      <c r="C7" s="102">
        <v>0.60703448418767392</v>
      </c>
      <c r="D7" s="103">
        <v>12.766634937483371</v>
      </c>
      <c r="E7" s="104">
        <v>5</v>
      </c>
      <c r="F7" s="104"/>
      <c r="G7" s="102">
        <v>0.54300000000000004</v>
      </c>
      <c r="H7" s="105">
        <v>5.3406998158379375</v>
      </c>
      <c r="I7" s="101">
        <v>6</v>
      </c>
      <c r="J7" s="96" t="s">
        <v>173</v>
      </c>
      <c r="K7" s="96"/>
      <c r="L7" s="106">
        <v>11.792722686496109</v>
      </c>
    </row>
    <row r="8" spans="1:12" x14ac:dyDescent="0.2">
      <c r="A8" s="96" t="s">
        <v>176</v>
      </c>
      <c r="B8" s="104">
        <v>207.7</v>
      </c>
      <c r="C8" s="102">
        <v>0.70060128663647658</v>
      </c>
      <c r="D8" s="106"/>
      <c r="E8" s="104">
        <v>1</v>
      </c>
      <c r="F8" s="104"/>
      <c r="G8" s="102">
        <v>0.65</v>
      </c>
      <c r="H8" s="107"/>
      <c r="I8" s="107">
        <v>2</v>
      </c>
      <c r="J8" s="96" t="s">
        <v>173</v>
      </c>
      <c r="K8" s="96"/>
      <c r="L8" s="106">
        <v>7.7848133286887018</v>
      </c>
    </row>
    <row r="9" spans="1:12" x14ac:dyDescent="0.2">
      <c r="A9" s="96" t="s">
        <v>179</v>
      </c>
      <c r="B9" s="104">
        <v>379.3</v>
      </c>
      <c r="C9" s="108">
        <v>1.4992929173776202E-2</v>
      </c>
      <c r="D9" s="106"/>
      <c r="E9" s="104">
        <v>1</v>
      </c>
      <c r="F9" s="104"/>
      <c r="G9" s="108">
        <v>1.6E-2</v>
      </c>
      <c r="H9" s="107"/>
      <c r="I9" s="107">
        <v>1</v>
      </c>
      <c r="J9" s="96" t="s">
        <v>180</v>
      </c>
      <c r="K9" s="96"/>
      <c r="L9" s="106">
        <v>-6.2941926638987384</v>
      </c>
    </row>
    <row r="10" spans="1:12" x14ac:dyDescent="0.2">
      <c r="A10" s="100" t="s">
        <v>183</v>
      </c>
      <c r="B10" s="104">
        <v>200.4</v>
      </c>
      <c r="C10" s="102">
        <v>0.304754713920665</v>
      </c>
      <c r="D10" s="106"/>
      <c r="E10" s="104">
        <v>1</v>
      </c>
      <c r="F10" s="104"/>
      <c r="G10" s="102">
        <v>0.32</v>
      </c>
      <c r="H10" s="105">
        <v>14.219036169281422</v>
      </c>
      <c r="I10" s="107">
        <v>4</v>
      </c>
      <c r="J10" s="96" t="s">
        <v>184</v>
      </c>
      <c r="K10" s="96"/>
      <c r="L10" s="106">
        <v>-4.7641518997921901</v>
      </c>
    </row>
    <row r="11" spans="1:12" x14ac:dyDescent="0.2">
      <c r="A11" s="100" t="s">
        <v>187</v>
      </c>
      <c r="B11" s="104">
        <v>196.6</v>
      </c>
      <c r="C11" s="102">
        <v>0.38477130679168375</v>
      </c>
      <c r="D11" s="106"/>
      <c r="E11" s="104">
        <v>1</v>
      </c>
      <c r="F11" s="104"/>
      <c r="G11" s="102">
        <v>0.38</v>
      </c>
      <c r="H11" s="107"/>
      <c r="I11" s="107">
        <v>3</v>
      </c>
      <c r="J11" s="96" t="s">
        <v>173</v>
      </c>
      <c r="K11" s="96"/>
      <c r="L11" s="106">
        <v>1.2556070504430921</v>
      </c>
    </row>
    <row r="12" spans="1:12" x14ac:dyDescent="0.2">
      <c r="A12" s="100" t="s">
        <v>190</v>
      </c>
      <c r="B12" s="104">
        <v>497.1</v>
      </c>
      <c r="C12" s="102">
        <v>0.98841277174052133</v>
      </c>
      <c r="D12" s="106"/>
      <c r="E12" s="104">
        <v>1</v>
      </c>
      <c r="F12" s="104"/>
      <c r="G12" s="102">
        <v>0.79400000000000004</v>
      </c>
      <c r="H12" s="105">
        <v>6</v>
      </c>
      <c r="I12" s="107">
        <v>7</v>
      </c>
      <c r="J12" s="96" t="s">
        <v>184</v>
      </c>
      <c r="K12" s="96"/>
      <c r="L12" s="106">
        <v>24.485235735582027</v>
      </c>
    </row>
    <row r="13" spans="1:12" x14ac:dyDescent="0.2">
      <c r="A13" s="100" t="s">
        <v>193</v>
      </c>
      <c r="B13" s="104">
        <v>197.4</v>
      </c>
      <c r="C13" s="102">
        <v>0.85010706762108246</v>
      </c>
      <c r="D13" s="106"/>
      <c r="E13" s="104">
        <v>1</v>
      </c>
      <c r="F13" s="104"/>
      <c r="G13" s="102">
        <v>0.91400000000000003</v>
      </c>
      <c r="H13" s="107"/>
      <c r="I13" s="107">
        <v>1</v>
      </c>
      <c r="J13" s="96" t="s">
        <v>184</v>
      </c>
      <c r="K13" s="96"/>
      <c r="L13" s="106">
        <v>-6.9904740020697558</v>
      </c>
    </row>
    <row r="14" spans="1:12" x14ac:dyDescent="0.2">
      <c r="A14" s="96" t="s">
        <v>195</v>
      </c>
      <c r="B14" s="104">
        <v>129.69999999999999</v>
      </c>
      <c r="C14" s="102">
        <v>0.97488853085265181</v>
      </c>
      <c r="D14" s="106"/>
      <c r="E14" s="104">
        <v>1</v>
      </c>
      <c r="F14" s="104"/>
      <c r="G14" s="102">
        <v>1.01</v>
      </c>
      <c r="H14" s="105">
        <v>12.399999999999999</v>
      </c>
      <c r="I14" s="107">
        <v>5</v>
      </c>
      <c r="J14" s="96" t="s">
        <v>184</v>
      </c>
      <c r="K14" s="96"/>
      <c r="L14" s="106">
        <v>-3.4763830838958607</v>
      </c>
    </row>
    <row r="15" spans="1:12" x14ac:dyDescent="0.2">
      <c r="A15" s="100" t="s">
        <v>289</v>
      </c>
      <c r="B15" s="104">
        <v>591.30000000000007</v>
      </c>
      <c r="C15" s="102">
        <v>4.3141267647717758E-2</v>
      </c>
      <c r="D15" s="106"/>
      <c r="E15" s="104">
        <v>1</v>
      </c>
      <c r="F15" s="104"/>
      <c r="G15" s="106"/>
      <c r="H15" s="106"/>
      <c r="I15" s="106"/>
      <c r="J15" s="71"/>
      <c r="K15" s="71"/>
      <c r="L15" s="71"/>
    </row>
    <row r="16" spans="1:12" x14ac:dyDescent="0.2">
      <c r="A16" s="100" t="s">
        <v>290</v>
      </c>
      <c r="B16" s="104">
        <v>514.70000000000005</v>
      </c>
      <c r="C16" s="102">
        <v>1.9886886679544558</v>
      </c>
      <c r="D16" s="106"/>
      <c r="E16" s="104">
        <v>1</v>
      </c>
      <c r="F16" s="104"/>
      <c r="G16" s="106"/>
      <c r="H16" s="106"/>
      <c r="I16" s="106"/>
      <c r="J16" s="71"/>
      <c r="K16" s="71"/>
      <c r="L16" s="71"/>
    </row>
  </sheetData>
  <mergeCells count="2">
    <mergeCell ref="B1:E1"/>
    <mergeCell ref="G1:J1"/>
  </mergeCells>
  <phoneticPr fontId="21" type="noConversion"/>
  <pageMargins left="0.70000000000000007" right="0.70000000000000007" top="0.75000000000000011" bottom="0.75000000000000011" header="0.30000000000000004" footer="0.30000000000000004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G28" sqref="G28"/>
    </sheetView>
  </sheetViews>
  <sheetFormatPr baseColWidth="10" defaultRowHeight="16" x14ac:dyDescent="0.2"/>
  <cols>
    <col min="2" max="2" width="12.1640625" customWidth="1"/>
    <col min="3" max="3" width="12" customWidth="1"/>
    <col min="8" max="8" width="11.83203125" customWidth="1"/>
    <col min="9" max="9" width="7.5" customWidth="1"/>
    <col min="10" max="10" width="12.33203125" customWidth="1"/>
    <col min="13" max="13" width="12" customWidth="1"/>
  </cols>
  <sheetData>
    <row r="1" spans="1:13" ht="17" thickBot="1" x14ac:dyDescent="0.25">
      <c r="A1" s="49"/>
      <c r="B1" s="49"/>
      <c r="C1" s="115" t="s">
        <v>39</v>
      </c>
      <c r="D1" s="115"/>
      <c r="E1" s="115"/>
      <c r="F1" s="115"/>
      <c r="G1" s="115"/>
      <c r="H1" s="115"/>
      <c r="I1" s="49"/>
      <c r="J1" s="116" t="s">
        <v>40</v>
      </c>
      <c r="K1" s="116"/>
      <c r="L1" s="116"/>
      <c r="M1" s="116"/>
    </row>
    <row r="2" spans="1:13" ht="31" customHeight="1" x14ac:dyDescent="0.2">
      <c r="A2" s="110" t="s">
        <v>19</v>
      </c>
      <c r="B2" s="110" t="s">
        <v>20</v>
      </c>
      <c r="C2" s="111" t="s">
        <v>21</v>
      </c>
      <c r="D2" s="111" t="s">
        <v>22</v>
      </c>
      <c r="E2" s="111" t="s">
        <v>23</v>
      </c>
      <c r="F2" s="112" t="s">
        <v>24</v>
      </c>
      <c r="G2" s="112" t="s">
        <v>25</v>
      </c>
      <c r="H2" s="111" t="s">
        <v>111</v>
      </c>
      <c r="I2" s="110"/>
      <c r="J2" s="111" t="s">
        <v>21</v>
      </c>
      <c r="K2" s="111" t="s">
        <v>22</v>
      </c>
      <c r="L2" s="112" t="s">
        <v>25</v>
      </c>
      <c r="M2" s="111" t="s">
        <v>111</v>
      </c>
    </row>
    <row r="3" spans="1:13" x14ac:dyDescent="0.2">
      <c r="A3" s="117" t="s">
        <v>27</v>
      </c>
      <c r="B3" s="7" t="s">
        <v>28</v>
      </c>
      <c r="C3" s="14">
        <v>0.48057499773452383</v>
      </c>
      <c r="D3" s="14">
        <v>0.22099062357897975</v>
      </c>
      <c r="E3" s="14">
        <v>3.26938804E-2</v>
      </c>
      <c r="F3" s="14">
        <v>3.1926106115767752E-2</v>
      </c>
      <c r="G3" s="14">
        <v>2.6174954662577899E-2</v>
      </c>
      <c r="H3" s="7">
        <v>4</v>
      </c>
      <c r="I3" s="7"/>
      <c r="J3" s="14">
        <v>0.48000585166666659</v>
      </c>
      <c r="K3" s="14">
        <v>0.21256138475278519</v>
      </c>
      <c r="L3" s="14">
        <v>3.3622858791365735E-2</v>
      </c>
      <c r="M3" s="7">
        <v>6</v>
      </c>
    </row>
    <row r="4" spans="1:13" x14ac:dyDescent="0.2">
      <c r="A4" s="117"/>
      <c r="B4" s="7" t="s">
        <v>29</v>
      </c>
      <c r="C4" s="14">
        <v>0.41086505045452082</v>
      </c>
      <c r="D4" s="14">
        <v>0.23140756550928585</v>
      </c>
      <c r="E4" s="14">
        <v>3.2059945999999999E-2</v>
      </c>
      <c r="F4" s="14">
        <v>2.7755485547019856E-2</v>
      </c>
      <c r="G4" s="14">
        <v>2.9418476914070582E-2</v>
      </c>
      <c r="H4" s="7">
        <v>5</v>
      </c>
      <c r="I4" s="7"/>
      <c r="J4" s="14">
        <v>0.4168374885714286</v>
      </c>
      <c r="K4" s="14">
        <v>0.2250852391303404</v>
      </c>
      <c r="L4" s="14">
        <v>2.6077469780220533E-2</v>
      </c>
      <c r="M4" s="7">
        <v>7</v>
      </c>
    </row>
    <row r="5" spans="1:13" x14ac:dyDescent="0.2">
      <c r="A5" s="117"/>
      <c r="B5" s="7" t="s">
        <v>30</v>
      </c>
      <c r="C5" s="14">
        <v>0.36930199548257531</v>
      </c>
      <c r="D5" s="14">
        <v>0.22298332187680672</v>
      </c>
      <c r="E5" s="14">
        <v>3.1914651499999995E-2</v>
      </c>
      <c r="F5" s="14">
        <v>2.2065282666586861E-2</v>
      </c>
      <c r="G5" s="14">
        <v>3.284641602349004E-2</v>
      </c>
      <c r="H5" s="7">
        <v>5</v>
      </c>
      <c r="I5" s="7"/>
      <c r="J5" s="14">
        <v>0.37914674214285721</v>
      </c>
      <c r="K5" s="14">
        <v>0.22969971871390968</v>
      </c>
      <c r="L5" s="14">
        <v>3.2165703476456524E-2</v>
      </c>
      <c r="M5" s="7">
        <v>14</v>
      </c>
    </row>
    <row r="6" spans="1:13" x14ac:dyDescent="0.2">
      <c r="A6" s="117"/>
      <c r="B6" s="7" t="s">
        <v>31</v>
      </c>
      <c r="C6" s="14">
        <v>0.27241075381186614</v>
      </c>
      <c r="D6" s="14">
        <v>0.22831079387676795</v>
      </c>
      <c r="E6" s="14">
        <v>3.597575844444445E-2</v>
      </c>
      <c r="F6" s="14">
        <v>4.7579381499936596E-2</v>
      </c>
      <c r="G6" s="14">
        <v>4.0921675687148676E-2</v>
      </c>
      <c r="H6" s="7">
        <v>8</v>
      </c>
      <c r="I6" s="7"/>
      <c r="J6" s="14">
        <v>0.27257490705882348</v>
      </c>
      <c r="K6" s="14">
        <v>0.22732885154674212</v>
      </c>
      <c r="L6" s="14">
        <v>6.6211823343635456E-2</v>
      </c>
      <c r="M6" s="7">
        <v>17</v>
      </c>
    </row>
    <row r="7" spans="1:13" x14ac:dyDescent="0.2">
      <c r="A7" s="117"/>
      <c r="B7" s="7" t="s">
        <v>32</v>
      </c>
      <c r="C7" s="14">
        <v>0.23124213604576696</v>
      </c>
      <c r="D7" s="14">
        <v>0.22068737556066126</v>
      </c>
      <c r="E7" s="14">
        <v>4.2475729700000006E-2</v>
      </c>
      <c r="F7" s="14">
        <v>3.2922475996977077E-2</v>
      </c>
      <c r="G7" s="14">
        <v>4.5483951793791111E-2</v>
      </c>
      <c r="H7" s="7">
        <v>11</v>
      </c>
      <c r="I7" s="7"/>
      <c r="J7" s="14">
        <v>0.22401628782608696</v>
      </c>
      <c r="K7" s="14">
        <v>0.21434248466936284</v>
      </c>
      <c r="L7" s="14">
        <v>5.1869821832268515E-2</v>
      </c>
      <c r="M7" s="7">
        <v>23</v>
      </c>
    </row>
    <row r="8" spans="1:13" x14ac:dyDescent="0.2">
      <c r="A8" s="117"/>
      <c r="B8" s="7" t="s">
        <v>33</v>
      </c>
      <c r="C8" s="14">
        <v>0.18567895543870236</v>
      </c>
      <c r="D8" s="14">
        <v>0.20211889410957454</v>
      </c>
      <c r="E8" s="14">
        <v>4.7565297000000006E-2</v>
      </c>
      <c r="F8" s="14">
        <v>2.6196214074713155E-2</v>
      </c>
      <c r="G8" s="14">
        <v>4.1120245370846714E-2</v>
      </c>
      <c r="H8" s="7">
        <v>4</v>
      </c>
      <c r="I8" s="7"/>
      <c r="J8" s="14">
        <v>0.18356061000000001</v>
      </c>
      <c r="K8" s="14">
        <v>0.19712524956684771</v>
      </c>
      <c r="L8" s="14">
        <v>5.7059016854782221E-2</v>
      </c>
      <c r="M8" s="7">
        <v>7</v>
      </c>
    </row>
    <row r="9" spans="1:13" x14ac:dyDescent="0.2">
      <c r="A9" s="117"/>
      <c r="B9" s="7" t="s">
        <v>34</v>
      </c>
      <c r="C9" s="14">
        <v>0.12476093808030221</v>
      </c>
      <c r="D9" s="14">
        <v>0.23234042850049982</v>
      </c>
      <c r="E9" s="14">
        <v>5.5934559571428573E-2</v>
      </c>
      <c r="F9" s="14">
        <v>5.7625453383384935E-2</v>
      </c>
      <c r="G9" s="14">
        <v>4.9177484650975357E-2</v>
      </c>
      <c r="H9" s="7">
        <v>7</v>
      </c>
      <c r="I9" s="7"/>
      <c r="J9" s="14">
        <v>0.12371328249999999</v>
      </c>
      <c r="K9" s="14">
        <v>0.22991662166793603</v>
      </c>
      <c r="L9" s="14">
        <v>6.7927104615723433E-2</v>
      </c>
      <c r="M9" s="7">
        <v>16</v>
      </c>
    </row>
    <row r="10" spans="1:13" x14ac:dyDescent="0.2">
      <c r="A10" s="117"/>
      <c r="B10" s="7" t="s">
        <v>35</v>
      </c>
      <c r="C10" s="14">
        <v>8.5237548793151791E-2</v>
      </c>
      <c r="D10" s="14">
        <v>0.20629889781746216</v>
      </c>
      <c r="E10" s="14">
        <v>6.9147754399999997E-2</v>
      </c>
      <c r="F10" s="14">
        <v>4.8406571434188639E-2</v>
      </c>
      <c r="G10" s="14">
        <v>5.8733084140302351E-2</v>
      </c>
      <c r="H10" s="7">
        <v>5</v>
      </c>
      <c r="I10" s="7"/>
      <c r="J10" s="14">
        <v>8.3877214999999991E-2</v>
      </c>
      <c r="K10" s="14">
        <v>0.20688807096961673</v>
      </c>
      <c r="L10" s="14">
        <v>6.6427146806138759E-2</v>
      </c>
      <c r="M10" s="7">
        <v>12</v>
      </c>
    </row>
    <row r="11" spans="1:13" x14ac:dyDescent="0.2">
      <c r="A11" s="117"/>
      <c r="B11" s="7" t="s">
        <v>36</v>
      </c>
      <c r="C11" s="14">
        <v>6.7154905170414197E-2</v>
      </c>
      <c r="D11" s="14">
        <v>0.22648857499953934</v>
      </c>
      <c r="E11" s="14">
        <v>7.5317334600000008E-2</v>
      </c>
      <c r="F11" s="14">
        <v>6.4653075005189381E-2</v>
      </c>
      <c r="G11" s="14">
        <v>7.1168538414560722E-2</v>
      </c>
      <c r="H11" s="7">
        <v>5</v>
      </c>
      <c r="I11" s="7"/>
      <c r="J11" s="14">
        <v>6.3789448499999998E-2</v>
      </c>
      <c r="K11" s="14">
        <v>0.21971563695355467</v>
      </c>
      <c r="L11" s="14">
        <v>0.10076886639275578</v>
      </c>
      <c r="M11" s="7">
        <v>8</v>
      </c>
    </row>
    <row r="12" spans="1:13" x14ac:dyDescent="0.2">
      <c r="A12" s="117"/>
      <c r="B12" s="7" t="s">
        <v>123</v>
      </c>
      <c r="C12" s="14">
        <v>2.8412527966485024E-2</v>
      </c>
      <c r="D12" s="14">
        <v>0.20811080007880159</v>
      </c>
      <c r="E12" s="14">
        <v>0.126032073125</v>
      </c>
      <c r="F12" s="14">
        <v>0.14787786516028587</v>
      </c>
      <c r="G12" s="14">
        <v>0.11310978584828751</v>
      </c>
      <c r="H12" s="7">
        <v>8</v>
      </c>
      <c r="I12" s="7"/>
      <c r="J12" s="14">
        <v>2.8850174285714285E-2</v>
      </c>
      <c r="K12" s="14">
        <v>0.18274666398045344</v>
      </c>
      <c r="L12" s="14">
        <v>0.17394426603111326</v>
      </c>
      <c r="M12" s="7">
        <v>14</v>
      </c>
    </row>
    <row r="13" spans="1:13" x14ac:dyDescent="0.2">
      <c r="A13" s="13"/>
      <c r="B13" s="7"/>
      <c r="C13" s="14"/>
      <c r="D13" s="14"/>
      <c r="E13" s="14"/>
      <c r="F13" s="14"/>
      <c r="G13" s="14"/>
      <c r="H13" s="7"/>
      <c r="I13" s="7"/>
      <c r="J13" s="14"/>
      <c r="K13" s="14"/>
      <c r="L13" s="14"/>
      <c r="M13" s="7"/>
    </row>
    <row r="14" spans="1:13" x14ac:dyDescent="0.2">
      <c r="A14" s="5" t="s">
        <v>37</v>
      </c>
      <c r="B14" s="7" t="s">
        <v>38</v>
      </c>
      <c r="C14" s="14">
        <v>0.49399999999999999</v>
      </c>
      <c r="D14" s="14">
        <v>0.27826790947538543</v>
      </c>
      <c r="E14" s="14">
        <v>2.9482121249999996E-2</v>
      </c>
      <c r="F14" s="14">
        <v>2.8136724783483006E-2</v>
      </c>
      <c r="G14" s="14">
        <v>2.8176194219154654E-2</v>
      </c>
      <c r="H14" s="7">
        <v>13</v>
      </c>
      <c r="I14" s="7"/>
      <c r="J14" s="14">
        <v>0.49399999999999999</v>
      </c>
      <c r="K14" s="14">
        <v>0.27880432504141689</v>
      </c>
      <c r="L14" s="14">
        <v>3.9886039745657624E-2</v>
      </c>
      <c r="M14" s="7">
        <v>26</v>
      </c>
    </row>
    <row r="15" spans="1:13" x14ac:dyDescent="0.2">
      <c r="A15" s="5" t="s">
        <v>310</v>
      </c>
      <c r="B15" s="14" t="s">
        <v>309</v>
      </c>
      <c r="C15" s="14">
        <v>1.0900000000000001</v>
      </c>
      <c r="D15" s="14">
        <v>0.44</v>
      </c>
      <c r="E15" s="14">
        <v>0.02</v>
      </c>
      <c r="F15" s="14">
        <v>2.1000000000000001E-2</v>
      </c>
      <c r="G15" s="14">
        <v>2.1000000000000001E-2</v>
      </c>
      <c r="H15" s="7">
        <v>5</v>
      </c>
      <c r="I15" s="7"/>
      <c r="J15" s="14">
        <v>1.0900000000000001</v>
      </c>
      <c r="K15" s="14">
        <v>0.438</v>
      </c>
      <c r="L15" s="14">
        <v>2.7E-2</v>
      </c>
      <c r="M15" s="7">
        <v>10</v>
      </c>
    </row>
  </sheetData>
  <mergeCells count="3">
    <mergeCell ref="C1:H1"/>
    <mergeCell ref="J1:M1"/>
    <mergeCell ref="A3:A12"/>
  </mergeCells>
  <phoneticPr fontId="21" type="noConversion"/>
  <pageMargins left="0.70000000000000007" right="0.70000000000000007" top="0.75000000000000011" bottom="0.75000000000000011" header="0.30000000000000004" footer="0.30000000000000004"/>
  <pageSetup paperSize="9" scale="8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F27" sqref="F27"/>
    </sheetView>
  </sheetViews>
  <sheetFormatPr baseColWidth="10" defaultRowHeight="16" x14ac:dyDescent="0.2"/>
  <cols>
    <col min="1" max="1" width="20.33203125" customWidth="1"/>
    <col min="3" max="3" width="10.33203125" customWidth="1"/>
    <col min="4" max="4" width="4.5" customWidth="1"/>
    <col min="5" max="5" width="11.33203125" customWidth="1"/>
    <col min="6" max="6" width="12.1640625" customWidth="1"/>
  </cols>
  <sheetData>
    <row r="1" spans="1:9" ht="37" customHeight="1" x14ac:dyDescent="0.2">
      <c r="A1" s="123" t="s">
        <v>96</v>
      </c>
      <c r="B1" s="123" t="s">
        <v>22</v>
      </c>
      <c r="C1" s="123" t="s">
        <v>304</v>
      </c>
      <c r="D1" s="124"/>
      <c r="E1" s="124" t="s">
        <v>25</v>
      </c>
      <c r="F1" s="123" t="s">
        <v>111</v>
      </c>
      <c r="G1" s="124" t="s">
        <v>24</v>
      </c>
      <c r="H1" s="123" t="s">
        <v>23</v>
      </c>
      <c r="I1" s="123" t="s">
        <v>97</v>
      </c>
    </row>
    <row r="2" spans="1:9" x14ac:dyDescent="0.2">
      <c r="A2" t="s">
        <v>303</v>
      </c>
      <c r="B2" s="38">
        <v>0.10352462319390687</v>
      </c>
      <c r="C2" s="14">
        <v>4.4151331411837288E-2</v>
      </c>
      <c r="D2" s="19"/>
      <c r="E2" s="19">
        <v>1.8831440840634869E-2</v>
      </c>
      <c r="F2" s="18">
        <v>4</v>
      </c>
      <c r="G2" s="14">
        <v>5.0892539943521567E-2</v>
      </c>
      <c r="H2" s="14">
        <v>5.210968705596343E-2</v>
      </c>
      <c r="I2" s="18">
        <v>3.9</v>
      </c>
    </row>
    <row r="3" spans="1:9" x14ac:dyDescent="0.2">
      <c r="A3" t="s">
        <v>99</v>
      </c>
      <c r="B3" s="38">
        <v>-1.264118462709599E-3</v>
      </c>
      <c r="C3" s="14">
        <v>4.6413918042294333E-2</v>
      </c>
      <c r="D3" s="19"/>
      <c r="E3" s="19">
        <v>6.801951771545782E-2</v>
      </c>
      <c r="F3" s="18">
        <v>3</v>
      </c>
      <c r="G3" s="14">
        <v>5.1267062517150748E-2</v>
      </c>
      <c r="H3" s="14">
        <v>4.7603893666666675E-2</v>
      </c>
      <c r="I3" s="18" t="s">
        <v>302</v>
      </c>
    </row>
    <row r="4" spans="1:9" x14ac:dyDescent="0.2">
      <c r="A4" t="s">
        <v>100</v>
      </c>
      <c r="B4" s="38">
        <v>-5.9047511177301448E-2</v>
      </c>
      <c r="C4" s="14">
        <v>6.1824463405435626E-2</v>
      </c>
      <c r="E4" s="19">
        <v>7.1396252999886445E-2</v>
      </c>
      <c r="F4" s="18">
        <v>2</v>
      </c>
      <c r="G4" s="32"/>
      <c r="H4" s="38">
        <v>0.06</v>
      </c>
      <c r="I4" s="36" t="s">
        <v>320</v>
      </c>
    </row>
    <row r="5" spans="1:9" x14ac:dyDescent="0.2">
      <c r="A5" t="s">
        <v>101</v>
      </c>
      <c r="B5" s="38">
        <v>-6.2597443628575888E-2</v>
      </c>
      <c r="C5" s="14">
        <v>7.0560730630501736E-2</v>
      </c>
      <c r="D5" s="14"/>
      <c r="E5" s="14"/>
      <c r="F5" s="18">
        <v>1</v>
      </c>
      <c r="H5" s="38">
        <v>0.06</v>
      </c>
      <c r="I5" s="44">
        <v>0.90901850000000006</v>
      </c>
    </row>
    <row r="6" spans="1:9" x14ac:dyDescent="0.2">
      <c r="A6" t="s">
        <v>102</v>
      </c>
      <c r="B6" s="38">
        <v>-6.1975430644715477E-3</v>
      </c>
      <c r="C6" s="14">
        <v>3.8834167527732735E-2</v>
      </c>
      <c r="D6" s="19"/>
      <c r="E6" s="19">
        <v>2.386863935599785E-2</v>
      </c>
      <c r="F6" s="18">
        <v>5</v>
      </c>
      <c r="G6" s="14">
        <v>5.3164919793165608E-2</v>
      </c>
      <c r="H6" s="14">
        <v>3.89665555E-2</v>
      </c>
      <c r="I6" s="39" t="s">
        <v>301</v>
      </c>
    </row>
    <row r="7" spans="1:9" x14ac:dyDescent="0.2">
      <c r="A7" t="s">
        <v>103</v>
      </c>
      <c r="B7" s="38">
        <v>-1.3868295314911627E-2</v>
      </c>
      <c r="C7" s="19">
        <v>2.8125331831855591E-2</v>
      </c>
      <c r="D7" s="19"/>
      <c r="E7" s="19"/>
      <c r="F7" s="18">
        <v>1</v>
      </c>
      <c r="G7" s="19">
        <v>1.1160043469543602E-2</v>
      </c>
      <c r="H7" s="19">
        <v>3.5759845999999998E-2</v>
      </c>
      <c r="I7" s="40">
        <v>21</v>
      </c>
    </row>
    <row r="8" spans="1:9" x14ac:dyDescent="0.2">
      <c r="A8" t="s">
        <v>104</v>
      </c>
      <c r="B8" s="38">
        <v>0.18831033063954061</v>
      </c>
      <c r="C8" s="14">
        <v>4.8858543402230004E-2</v>
      </c>
      <c r="D8" s="19"/>
      <c r="E8" s="19">
        <v>2.9479826851293335E-2</v>
      </c>
      <c r="F8" s="18">
        <v>2</v>
      </c>
      <c r="G8" s="14">
        <v>1.4658688270458872E-2</v>
      </c>
      <c r="H8" s="14"/>
      <c r="I8" s="36" t="s">
        <v>305</v>
      </c>
    </row>
    <row r="9" spans="1:9" x14ac:dyDescent="0.2">
      <c r="A9" s="29" t="s">
        <v>120</v>
      </c>
      <c r="B9" s="38">
        <v>-6.5709375185463159E-4</v>
      </c>
      <c r="C9" s="19">
        <v>8.0209141366691217E-2</v>
      </c>
      <c r="F9" s="18">
        <v>1</v>
      </c>
      <c r="G9" s="14">
        <v>4.2770246325517208E-2</v>
      </c>
      <c r="H9" s="14">
        <v>8.2743834000000002E-2</v>
      </c>
      <c r="I9" s="44">
        <v>1.348452</v>
      </c>
    </row>
    <row r="10" spans="1:9" x14ac:dyDescent="0.2">
      <c r="G10" s="18"/>
    </row>
    <row r="11" spans="1:9" x14ac:dyDescent="0.2">
      <c r="B11" s="41"/>
    </row>
    <row r="13" spans="1:9" x14ac:dyDescent="0.2">
      <c r="B13" s="1"/>
      <c r="C13" s="14"/>
      <c r="D13" s="14"/>
      <c r="E13" s="14"/>
      <c r="G13" s="14"/>
    </row>
  </sheetData>
  <phoneticPr fontId="21" type="noConversion"/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"/>
    </sheetView>
  </sheetViews>
  <sheetFormatPr baseColWidth="10" defaultRowHeight="16" x14ac:dyDescent="0.2"/>
  <cols>
    <col min="1" max="1" width="11.1640625" customWidth="1"/>
    <col min="2" max="6" width="11.5" customWidth="1"/>
    <col min="7" max="7" width="12.5" customWidth="1"/>
    <col min="8" max="8" width="10.33203125" customWidth="1"/>
    <col min="9" max="10" width="11.5" customWidth="1"/>
  </cols>
  <sheetData>
    <row r="1" spans="1:10" s="6" customFormat="1" ht="52" customHeight="1" x14ac:dyDescent="0.2">
      <c r="A1" s="10" t="s">
        <v>0</v>
      </c>
      <c r="B1" s="16" t="s">
        <v>41</v>
      </c>
      <c r="C1" s="10" t="s">
        <v>4</v>
      </c>
      <c r="D1" s="10"/>
      <c r="E1" s="10" t="s">
        <v>1</v>
      </c>
      <c r="F1" s="10" t="s">
        <v>2</v>
      </c>
      <c r="G1" s="10" t="s">
        <v>3</v>
      </c>
      <c r="H1" s="11" t="s">
        <v>26</v>
      </c>
      <c r="I1" s="11" t="s">
        <v>23</v>
      </c>
      <c r="J1" s="12" t="s">
        <v>24</v>
      </c>
    </row>
    <row r="2" spans="1:10" s="2" customFormat="1" x14ac:dyDescent="0.2">
      <c r="A2" s="7" t="s">
        <v>7</v>
      </c>
      <c r="B2" s="15">
        <v>3.6897507239045758E-2</v>
      </c>
      <c r="C2" s="14">
        <v>4.0502212780296504E-2</v>
      </c>
      <c r="D2" s="14"/>
      <c r="E2" s="14">
        <v>1.0266991673982055</v>
      </c>
      <c r="F2" s="14">
        <v>0.73200666778487644</v>
      </c>
      <c r="G2" s="14">
        <v>0.71297009035410408</v>
      </c>
      <c r="H2" s="43">
        <v>2</v>
      </c>
      <c r="I2" s="14">
        <v>4.0173739999999999E-2</v>
      </c>
      <c r="J2" s="14">
        <v>7.0977814121590294E-2</v>
      </c>
    </row>
    <row r="3" spans="1:10" s="2" customFormat="1" x14ac:dyDescent="0.2">
      <c r="A3" s="7" t="s">
        <v>8</v>
      </c>
      <c r="B3" s="15">
        <v>8.788636683187967E-3</v>
      </c>
      <c r="C3" s="14">
        <v>4.0506485512036824E-2</v>
      </c>
      <c r="D3" s="14"/>
      <c r="E3" s="14">
        <v>1.0164756724726838</v>
      </c>
      <c r="F3" s="14">
        <v>0.92746902910555673</v>
      </c>
      <c r="G3" s="14">
        <v>0.91243593233739984</v>
      </c>
      <c r="H3" s="43">
        <v>2</v>
      </c>
      <c r="I3" s="14">
        <v>3.9801947000000004E-2</v>
      </c>
      <c r="J3" s="14">
        <v>2.7618041149019987E-2</v>
      </c>
    </row>
    <row r="4" spans="1:10" s="2" customFormat="1" x14ac:dyDescent="0.2">
      <c r="A4" s="7" t="s">
        <v>9</v>
      </c>
      <c r="B4" s="15">
        <v>-4.9176403956407988E-2</v>
      </c>
      <c r="C4" s="14">
        <v>4.0567957077676492E-2</v>
      </c>
      <c r="D4" s="14"/>
      <c r="E4" s="14">
        <v>1.0049671035399437</v>
      </c>
      <c r="F4" s="14">
        <v>1.1096138550932668</v>
      </c>
      <c r="G4" s="14">
        <v>1.1041295373927897</v>
      </c>
      <c r="H4" s="43">
        <v>2</v>
      </c>
      <c r="I4" s="14">
        <v>4.2365568999999999E-2</v>
      </c>
      <c r="J4" s="14">
        <v>2.2289604371484011E-2</v>
      </c>
    </row>
    <row r="5" spans="1:10" s="2" customFormat="1" x14ac:dyDescent="0.2">
      <c r="A5" s="7" t="s">
        <v>10</v>
      </c>
      <c r="B5" s="15">
        <v>-4.0378951144356044E-2</v>
      </c>
      <c r="C5" s="14">
        <v>4.0598944436800233E-2</v>
      </c>
      <c r="D5" s="14"/>
      <c r="E5" s="14">
        <v>0.98666726533871119</v>
      </c>
      <c r="F5" s="14">
        <v>1.278978644241505</v>
      </c>
      <c r="G5" s="14">
        <v>1.2962610681627518</v>
      </c>
      <c r="H5" s="43">
        <v>2</v>
      </c>
      <c r="I5" s="14">
        <v>3.4472185000000002E-2</v>
      </c>
      <c r="J5" s="14">
        <v>3.6777197874576208E-2</v>
      </c>
    </row>
    <row r="6" spans="1:10" x14ac:dyDescent="0.2">
      <c r="A6" s="7" t="s">
        <v>11</v>
      </c>
      <c r="B6" s="15">
        <v>5.5518690698530548E-2</v>
      </c>
      <c r="C6" s="14">
        <v>4.0151099350336387E-2</v>
      </c>
      <c r="D6" s="14"/>
      <c r="E6" s="14">
        <v>0.97063685429686575</v>
      </c>
      <c r="F6" s="14">
        <v>0.48735694263168444</v>
      </c>
      <c r="G6" s="14">
        <v>0.50209235757532444</v>
      </c>
      <c r="H6" s="43">
        <v>2</v>
      </c>
      <c r="I6" s="14">
        <v>4.4628332000000007E-2</v>
      </c>
      <c r="J6" s="14">
        <v>2.3005514105502764E-2</v>
      </c>
    </row>
    <row r="7" spans="1:10" x14ac:dyDescent="0.2">
      <c r="A7" s="7" t="s">
        <v>12</v>
      </c>
      <c r="B7" s="15">
        <v>3.7424250166617767E-2</v>
      </c>
      <c r="C7" s="14">
        <v>4.0225076087609286E-2</v>
      </c>
      <c r="D7" s="14"/>
      <c r="E7" s="14">
        <v>0.97744672542704225</v>
      </c>
      <c r="F7" s="14">
        <v>0.77246374201675083</v>
      </c>
      <c r="G7" s="14">
        <v>0.79029016384193218</v>
      </c>
      <c r="H7" s="43">
        <v>2</v>
      </c>
      <c r="I7" s="14">
        <v>5.2520047E-2</v>
      </c>
      <c r="J7" s="14">
        <v>2.3445914219070482E-2</v>
      </c>
    </row>
    <row r="8" spans="1:10" x14ac:dyDescent="0.2">
      <c r="A8" s="7" t="s">
        <v>13</v>
      </c>
      <c r="B8" s="15">
        <v>1.509894029834887E-2</v>
      </c>
      <c r="C8" s="14">
        <v>4.0276043893505746E-2</v>
      </c>
      <c r="D8" s="14"/>
      <c r="E8" s="14">
        <v>1.0074080266025733</v>
      </c>
      <c r="F8" s="14">
        <v>1.0063931004180442</v>
      </c>
      <c r="G8" s="14">
        <v>0.99899228310594979</v>
      </c>
      <c r="H8" s="43">
        <v>2</v>
      </c>
      <c r="I8" s="14">
        <v>3.6792424999999997E-2</v>
      </c>
      <c r="J8" s="14">
        <v>2.662156523042724E-2</v>
      </c>
    </row>
    <row r="9" spans="1:10" x14ac:dyDescent="0.2">
      <c r="A9" s="7" t="s">
        <v>14</v>
      </c>
      <c r="B9" s="15">
        <v>-2.1269746818782426E-2</v>
      </c>
      <c r="C9" s="14">
        <v>4.0352631873598596E-2</v>
      </c>
      <c r="D9" s="14"/>
      <c r="E9" s="14">
        <v>1.0124505775106425</v>
      </c>
      <c r="F9" s="14">
        <v>1.1959379351090194</v>
      </c>
      <c r="G9" s="14">
        <v>1.181229816182052</v>
      </c>
      <c r="H9" s="43">
        <v>2</v>
      </c>
      <c r="I9" s="14">
        <v>4.1639989000000002E-2</v>
      </c>
      <c r="J9" s="14">
        <v>2.9574966207330154E-2</v>
      </c>
    </row>
    <row r="10" spans="1:10" x14ac:dyDescent="0.2">
      <c r="A10" s="7" t="s">
        <v>15</v>
      </c>
      <c r="B10" s="15">
        <v>-6.6835064773451691E-2</v>
      </c>
      <c r="C10" s="14">
        <v>4.0328570880190831E-2</v>
      </c>
      <c r="D10" s="14"/>
      <c r="E10" s="14">
        <v>0.9912844746203382</v>
      </c>
      <c r="F10" s="14">
        <v>1.4626101362841597</v>
      </c>
      <c r="G10" s="14">
        <v>1.4754696588003458</v>
      </c>
      <c r="H10" s="43">
        <v>2</v>
      </c>
      <c r="I10" s="14">
        <v>3.8540947000000006E-2</v>
      </c>
      <c r="J10" s="14">
        <v>5.9591378200746212E-2</v>
      </c>
    </row>
    <row r="11" spans="1:10" x14ac:dyDescent="0.2">
      <c r="A11" s="7" t="s">
        <v>16</v>
      </c>
      <c r="B11" s="15">
        <v>-6.4544116923322584E-2</v>
      </c>
      <c r="C11" s="14">
        <v>3.9855510168523303E-2</v>
      </c>
      <c r="D11" s="14"/>
      <c r="E11" s="14">
        <v>0.77709747052053935</v>
      </c>
      <c r="F11" s="14">
        <v>1.0226262304035063</v>
      </c>
      <c r="G11" s="14">
        <v>1.315949569617278</v>
      </c>
      <c r="H11" s="43">
        <v>2</v>
      </c>
      <c r="I11" s="14">
        <v>4.6530842000000003E-2</v>
      </c>
      <c r="J11" s="14">
        <v>6.3615328491720038E-2</v>
      </c>
    </row>
    <row r="12" spans="1:10" x14ac:dyDescent="0.2">
      <c r="A12" s="7" t="s">
        <v>17</v>
      </c>
      <c r="B12" s="15">
        <v>-2.3389137791429704E-2</v>
      </c>
      <c r="C12" s="14">
        <v>3.9713447290103454E-2</v>
      </c>
      <c r="D12" s="14"/>
      <c r="E12" s="14">
        <v>0.98079847184365332</v>
      </c>
      <c r="F12" s="14">
        <v>1.0087298541394238</v>
      </c>
      <c r="G12" s="14">
        <v>1.0284772710416017</v>
      </c>
      <c r="H12" s="43">
        <v>2</v>
      </c>
      <c r="I12" s="14">
        <v>3.8341058999999997E-2</v>
      </c>
      <c r="J12" s="14">
        <v>5.6210543934336686E-2</v>
      </c>
    </row>
    <row r="13" spans="1:10" x14ac:dyDescent="0.2">
      <c r="A13" s="7" t="s">
        <v>18</v>
      </c>
      <c r="B13" s="15">
        <v>-4.4292869198307256E-3</v>
      </c>
      <c r="C13" s="14">
        <v>3.9708294528090556E-2</v>
      </c>
      <c r="D13" s="14"/>
      <c r="E13" s="14">
        <v>1.1923506030333102</v>
      </c>
      <c r="F13" s="14">
        <v>1.0051990637911314</v>
      </c>
      <c r="G13" s="14">
        <v>0.8430343869753768</v>
      </c>
      <c r="H13" s="43">
        <v>2</v>
      </c>
      <c r="I13" s="14">
        <v>3.6102364000000005E-2</v>
      </c>
      <c r="J13" s="14">
        <v>5.275510020591672E-2</v>
      </c>
    </row>
    <row r="14" spans="1:10" x14ac:dyDescent="0.2">
      <c r="A14" s="7" t="s">
        <v>7</v>
      </c>
      <c r="B14" s="15">
        <v>2.0861686049089556E-2</v>
      </c>
      <c r="C14" s="14">
        <v>3.9699472710096162E-2</v>
      </c>
      <c r="D14" s="14"/>
      <c r="E14" s="14">
        <v>1.4176610973845722</v>
      </c>
      <c r="F14" s="14">
        <v>1.0101512925176592</v>
      </c>
      <c r="G14" s="14">
        <v>0.71254673644651656</v>
      </c>
      <c r="H14" s="43">
        <v>2</v>
      </c>
      <c r="I14" s="14">
        <v>2.9968379E-2</v>
      </c>
      <c r="J14" s="14">
        <v>9.2394907338854259E-3</v>
      </c>
    </row>
    <row r="16" spans="1:10" x14ac:dyDescent="0.2">
      <c r="A16" s="48" t="s">
        <v>125</v>
      </c>
    </row>
  </sheetData>
  <phoneticPr fontId="21" type="noConversion"/>
  <pageMargins left="0.7" right="0.7" top="0.75" bottom="0.75" header="0.3" footer="0.3"/>
  <pageSetup paperSize="9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baseColWidth="10" defaultRowHeight="16" x14ac:dyDescent="0.2"/>
  <sheetData>
    <row r="1" spans="1:9" s="6" customFormat="1" ht="48" customHeight="1" x14ac:dyDescent="0.2">
      <c r="A1" s="10" t="s">
        <v>0</v>
      </c>
      <c r="B1" s="16" t="s">
        <v>41</v>
      </c>
      <c r="C1" s="10" t="s">
        <v>4</v>
      </c>
      <c r="D1" s="11" t="s">
        <v>45</v>
      </c>
      <c r="E1" s="11"/>
      <c r="F1" s="11" t="s">
        <v>26</v>
      </c>
      <c r="G1" s="11" t="s">
        <v>23</v>
      </c>
      <c r="H1" s="12" t="s">
        <v>24</v>
      </c>
      <c r="I1" s="11" t="s">
        <v>21</v>
      </c>
    </row>
    <row r="2" spans="1:9" s="24" customFormat="1" ht="17" customHeight="1" x14ac:dyDescent="0.2">
      <c r="A2" s="25" t="s">
        <v>46</v>
      </c>
      <c r="B2" s="26"/>
      <c r="C2" s="22"/>
      <c r="D2" s="22"/>
      <c r="F2" s="22"/>
      <c r="G2" s="22"/>
      <c r="H2" s="23"/>
      <c r="I2" s="22"/>
    </row>
    <row r="3" spans="1:9" x14ac:dyDescent="0.2">
      <c r="A3" t="s">
        <v>43</v>
      </c>
      <c r="B3" s="41">
        <v>0.33035706260771863</v>
      </c>
      <c r="C3" s="19">
        <f>0.0198*I3^-0.47363</f>
        <v>4.3732794500974954E-2</v>
      </c>
      <c r="D3" s="19">
        <v>4.3130350642714781</v>
      </c>
      <c r="E3" s="18"/>
      <c r="F3" s="18">
        <v>2</v>
      </c>
      <c r="G3" s="19">
        <v>4.6932619000000009E-2</v>
      </c>
      <c r="H3" s="35">
        <v>1.3533806667224936E-2</v>
      </c>
      <c r="I3" s="19">
        <v>0.18766996</v>
      </c>
    </row>
    <row r="4" spans="1:9" x14ac:dyDescent="0.2">
      <c r="A4" t="s">
        <v>42</v>
      </c>
      <c r="B4" s="41">
        <v>0.2063111612783016</v>
      </c>
      <c r="C4" s="19">
        <f t="shared" ref="C4:C5" si="0">0.0198*I4^-0.47363</f>
        <v>2.857633490612407E-2</v>
      </c>
      <c r="D4" s="19">
        <v>14.763948285356889</v>
      </c>
      <c r="E4" s="18"/>
      <c r="F4" s="18">
        <v>2</v>
      </c>
      <c r="G4" s="19">
        <v>2.7990758000000001E-2</v>
      </c>
      <c r="H4" s="35">
        <v>1.7192312320633715E-2</v>
      </c>
      <c r="I4" s="19">
        <v>0.46086553500000005</v>
      </c>
    </row>
    <row r="5" spans="1:9" x14ac:dyDescent="0.2">
      <c r="A5" t="s">
        <v>44</v>
      </c>
      <c r="B5" s="41">
        <v>2.1438955487636708E-2</v>
      </c>
      <c r="C5" s="19">
        <f t="shared" si="0"/>
        <v>2.8095290763527413E-2</v>
      </c>
      <c r="D5" s="19">
        <v>78.398230989445366</v>
      </c>
      <c r="E5" s="18"/>
      <c r="F5" s="18">
        <v>2</v>
      </c>
      <c r="G5" s="19">
        <v>3.3075715000000006E-2</v>
      </c>
      <c r="H5" s="35">
        <v>5.9009125899912229E-3</v>
      </c>
      <c r="I5" s="19">
        <v>0.47768458499999999</v>
      </c>
    </row>
    <row r="6" spans="1:9" x14ac:dyDescent="0.2">
      <c r="B6" s="33"/>
      <c r="C6" s="18"/>
      <c r="D6" s="18"/>
      <c r="E6" s="18"/>
      <c r="F6" s="18"/>
      <c r="G6" s="18"/>
      <c r="H6" s="18"/>
      <c r="I6" s="18"/>
    </row>
    <row r="7" spans="1:9" x14ac:dyDescent="0.2">
      <c r="A7" s="25" t="s">
        <v>47</v>
      </c>
      <c r="B7" s="33"/>
      <c r="C7" s="18"/>
      <c r="D7" s="18"/>
      <c r="E7" s="18"/>
      <c r="F7" s="18"/>
      <c r="G7" s="18"/>
      <c r="H7" s="18"/>
      <c r="I7" s="18"/>
    </row>
    <row r="8" spans="1:9" s="20" customFormat="1" x14ac:dyDescent="0.2">
      <c r="A8" t="s">
        <v>48</v>
      </c>
      <c r="B8" s="41">
        <v>8.1525040251939629E-2</v>
      </c>
      <c r="C8" s="14">
        <f>0.0206*I8^-0.579</f>
        <v>0.1172016513694855</v>
      </c>
      <c r="D8" s="19">
        <v>6.2163864754160914</v>
      </c>
      <c r="E8" s="47"/>
      <c r="F8" s="18">
        <v>1</v>
      </c>
      <c r="G8" s="19">
        <v>6.7148083999999997E-2</v>
      </c>
      <c r="H8" s="18"/>
      <c r="I8" s="38">
        <v>4.9649258000000002E-2</v>
      </c>
    </row>
    <row r="9" spans="1:9" x14ac:dyDescent="0.2">
      <c r="A9" t="s">
        <v>49</v>
      </c>
      <c r="B9" s="41">
        <v>6.1814645599955753E-3</v>
      </c>
      <c r="C9" s="19">
        <f t="shared" ref="C9" si="1">0.0198*I9^-0.47363</f>
        <v>5.4743829252958738E-2</v>
      </c>
      <c r="D9" s="19">
        <v>33.772347136766214</v>
      </c>
      <c r="E9" s="18"/>
      <c r="F9" s="18">
        <v>2</v>
      </c>
      <c r="G9" s="19">
        <v>5.3627147999999999E-2</v>
      </c>
      <c r="H9" s="19">
        <v>4.264998521931259E-2</v>
      </c>
      <c r="I9" s="19">
        <v>0.11680968999999999</v>
      </c>
    </row>
    <row r="10" spans="1:9" s="20" customFormat="1" x14ac:dyDescent="0.2">
      <c r="A10" t="s">
        <v>50</v>
      </c>
      <c r="B10" s="41">
        <v>5.7034485647644573E-3</v>
      </c>
      <c r="C10" s="14">
        <f>0.0206*I10^-0.579</f>
        <v>3.6073496649344977E-2</v>
      </c>
      <c r="D10" s="19">
        <v>90.709877295197856</v>
      </c>
      <c r="E10" s="47"/>
      <c r="F10" s="18">
        <v>1</v>
      </c>
      <c r="G10" s="19">
        <v>4.9705668000000001E-2</v>
      </c>
      <c r="H10" s="18"/>
      <c r="I10" s="19">
        <v>0.37997624000000002</v>
      </c>
    </row>
    <row r="11" spans="1:9" x14ac:dyDescent="0.2">
      <c r="A11" t="s">
        <v>51</v>
      </c>
      <c r="B11" s="41">
        <v>-1.7658156542273613E-2</v>
      </c>
      <c r="C11" s="19">
        <f t="shared" ref="C11:C13" si="2">0.0198*I11^-0.47363</f>
        <v>4.4062874197596233E-2</v>
      </c>
      <c r="D11" s="19">
        <v>49.469541158675462</v>
      </c>
      <c r="E11" s="18"/>
      <c r="F11" s="18">
        <v>2</v>
      </c>
      <c r="G11" s="19">
        <v>5.3437050000000007E-2</v>
      </c>
      <c r="H11" s="19">
        <v>6.1572330116069059E-2</v>
      </c>
      <c r="I11" s="19">
        <v>0.18471405499999999</v>
      </c>
    </row>
    <row r="12" spans="1:9" x14ac:dyDescent="0.2">
      <c r="A12" t="s">
        <v>52</v>
      </c>
      <c r="B12" s="41">
        <v>5.4701740675344723E-2</v>
      </c>
      <c r="C12" s="19">
        <f t="shared" si="2"/>
        <v>7.8434848170958429E-2</v>
      </c>
      <c r="D12" s="19">
        <v>23.277543814641056</v>
      </c>
      <c r="E12" s="18"/>
      <c r="F12" s="18">
        <v>2</v>
      </c>
      <c r="G12" s="19">
        <v>0.11525396699999998</v>
      </c>
      <c r="H12" s="19">
        <v>1.0191934849197282E-2</v>
      </c>
      <c r="I12" s="19">
        <v>5.4668946499999996E-2</v>
      </c>
    </row>
    <row r="13" spans="1:9" x14ac:dyDescent="0.2">
      <c r="A13" t="s">
        <v>53</v>
      </c>
      <c r="B13" s="41">
        <v>-6.4497924092687953E-3</v>
      </c>
      <c r="C13" s="19">
        <f t="shared" si="2"/>
        <v>4.4285501169237011E-2</v>
      </c>
      <c r="D13" s="19">
        <v>68.202495925176422</v>
      </c>
      <c r="E13" s="18"/>
      <c r="F13" s="18">
        <v>2</v>
      </c>
      <c r="G13" s="19">
        <v>5.1703049000000001E-2</v>
      </c>
      <c r="H13" s="19">
        <v>4.2515316735448762E-2</v>
      </c>
      <c r="I13" s="19">
        <v>0.18275898499999998</v>
      </c>
    </row>
    <row r="15" spans="1:9" x14ac:dyDescent="0.2">
      <c r="A15" s="48" t="s">
        <v>124</v>
      </c>
    </row>
  </sheetData>
  <phoneticPr fontId="21" type="noConversion"/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E1" sqref="E1"/>
    </sheetView>
  </sheetViews>
  <sheetFormatPr baseColWidth="10" defaultRowHeight="16" x14ac:dyDescent="0.2"/>
  <cols>
    <col min="2" max="3" width="10.83203125" style="18"/>
    <col min="4" max="4" width="10.83203125" style="33"/>
    <col min="5" max="10" width="10.83203125" style="18"/>
  </cols>
  <sheetData>
    <row r="1" spans="1:12" s="6" customFormat="1" ht="48" customHeight="1" x14ac:dyDescent="0.2">
      <c r="A1" s="11" t="s">
        <v>0</v>
      </c>
      <c r="B1" s="11" t="s">
        <v>85</v>
      </c>
      <c r="C1" s="11" t="s">
        <v>86</v>
      </c>
      <c r="D1" s="16" t="s">
        <v>41</v>
      </c>
      <c r="E1" s="10" t="s">
        <v>4</v>
      </c>
      <c r="F1" s="10"/>
      <c r="G1" s="11" t="s">
        <v>26</v>
      </c>
      <c r="H1" s="11" t="s">
        <v>23</v>
      </c>
      <c r="I1" s="12" t="s">
        <v>24</v>
      </c>
      <c r="J1" s="11" t="s">
        <v>21</v>
      </c>
      <c r="K1" s="5"/>
    </row>
    <row r="2" spans="1:12" x14ac:dyDescent="0.2">
      <c r="A2" s="1" t="s">
        <v>54</v>
      </c>
      <c r="B2" s="18" t="s">
        <v>87</v>
      </c>
      <c r="C2" s="18">
        <v>1</v>
      </c>
      <c r="D2" s="15">
        <v>4.6174486828975958E-2</v>
      </c>
      <c r="E2" s="19">
        <f>0.0198*J2^-0.47363</f>
        <v>4.0729652871525468E-2</v>
      </c>
      <c r="F2" s="19"/>
      <c r="G2" s="18">
        <v>2</v>
      </c>
      <c r="H2" s="19"/>
      <c r="I2" s="19">
        <v>2.6314806558263966E-2</v>
      </c>
      <c r="J2" s="19">
        <v>0.218086215</v>
      </c>
      <c r="K2" s="1"/>
    </row>
    <row r="3" spans="1:12" x14ac:dyDescent="0.2">
      <c r="A3" s="1" t="s">
        <v>55</v>
      </c>
      <c r="B3" s="18" t="s">
        <v>87</v>
      </c>
      <c r="C3" s="18">
        <v>50</v>
      </c>
      <c r="D3" s="15">
        <v>2.2763252602790256E-2</v>
      </c>
      <c r="E3" s="19">
        <f t="shared" ref="E3:E22" si="0">0.0198*J3^-0.47363</f>
        <v>4.091568815650172E-2</v>
      </c>
      <c r="F3" s="19"/>
      <c r="G3" s="18">
        <v>2</v>
      </c>
      <c r="H3" s="19"/>
      <c r="I3" s="19">
        <v>4.6933200522726516E-2</v>
      </c>
      <c r="J3" s="19">
        <v>0.21599790000000002</v>
      </c>
      <c r="K3" s="1"/>
    </row>
    <row r="4" spans="1:12" x14ac:dyDescent="0.2">
      <c r="A4" s="1" t="s">
        <v>56</v>
      </c>
      <c r="B4" s="18" t="s">
        <v>87</v>
      </c>
      <c r="C4" s="18">
        <v>200</v>
      </c>
      <c r="D4" s="15">
        <v>-1.9306995970117906E-3</v>
      </c>
      <c r="E4" s="19">
        <f t="shared" si="0"/>
        <v>4.0273904584465454E-2</v>
      </c>
      <c r="F4" s="19"/>
      <c r="G4" s="18">
        <v>2</v>
      </c>
      <c r="H4" s="19"/>
      <c r="I4" s="19">
        <v>4.8014255306042711E-2</v>
      </c>
      <c r="J4" s="19">
        <v>0.223329625</v>
      </c>
      <c r="K4" s="1"/>
    </row>
    <row r="5" spans="1:12" x14ac:dyDescent="0.2">
      <c r="A5" s="1" t="s">
        <v>57</v>
      </c>
      <c r="B5" s="18" t="s">
        <v>87</v>
      </c>
      <c r="C5" s="18">
        <v>1000</v>
      </c>
      <c r="D5" s="15">
        <v>6.5047582778735943E-2</v>
      </c>
      <c r="E5" s="19">
        <f t="shared" si="0"/>
        <v>3.9573382039471604E-2</v>
      </c>
      <c r="F5" s="19"/>
      <c r="G5" s="18">
        <v>2</v>
      </c>
      <c r="H5" s="19"/>
      <c r="I5" s="19">
        <v>6.1784102498208024E-2</v>
      </c>
      <c r="J5" s="19">
        <v>0.23175870000000001</v>
      </c>
      <c r="K5" s="1"/>
    </row>
    <row r="6" spans="1:12" x14ac:dyDescent="0.2">
      <c r="A6" s="1" t="s">
        <v>58</v>
      </c>
      <c r="B6" s="18" t="s">
        <v>87</v>
      </c>
      <c r="C6" s="18">
        <v>5</v>
      </c>
      <c r="D6" s="15">
        <v>-5.7030836087731034E-3</v>
      </c>
      <c r="E6" s="19">
        <f t="shared" si="0"/>
        <v>3.980596985692423E-2</v>
      </c>
      <c r="F6" s="19"/>
      <c r="G6" s="18">
        <v>2</v>
      </c>
      <c r="H6" s="19">
        <v>3.4315876000000002E-2</v>
      </c>
      <c r="I6" s="19">
        <v>1.6365899542016742E-3</v>
      </c>
      <c r="J6" s="19">
        <v>0.22890884</v>
      </c>
      <c r="K6" s="1"/>
      <c r="L6" s="3"/>
    </row>
    <row r="7" spans="1:12" x14ac:dyDescent="0.2">
      <c r="A7" s="1" t="s">
        <v>59</v>
      </c>
      <c r="B7" s="18" t="s">
        <v>87</v>
      </c>
      <c r="C7" s="18">
        <v>25</v>
      </c>
      <c r="D7" s="15">
        <v>1.1643111156312003E-3</v>
      </c>
      <c r="E7" s="19">
        <f t="shared" si="0"/>
        <v>3.9688414632471671E-2</v>
      </c>
      <c r="F7" s="19"/>
      <c r="G7" s="18">
        <v>2</v>
      </c>
      <c r="H7" s="19">
        <v>3.6135082999999998E-2</v>
      </c>
      <c r="I7" s="19">
        <v>4.1196573036372607E-2</v>
      </c>
      <c r="J7" s="19">
        <v>0.23034273</v>
      </c>
      <c r="K7" s="1"/>
      <c r="L7" s="3"/>
    </row>
    <row r="8" spans="1:12" x14ac:dyDescent="0.2">
      <c r="A8" s="1"/>
      <c r="D8" s="15"/>
      <c r="E8" s="8"/>
      <c r="F8" s="8"/>
      <c r="H8" s="19"/>
      <c r="I8" s="19"/>
      <c r="J8" s="19"/>
      <c r="K8" s="1"/>
      <c r="L8" s="3"/>
    </row>
    <row r="9" spans="1:12" x14ac:dyDescent="0.2">
      <c r="A9" s="1" t="s">
        <v>60</v>
      </c>
      <c r="B9" s="18" t="s">
        <v>88</v>
      </c>
      <c r="C9" s="18">
        <v>20</v>
      </c>
      <c r="D9" s="15">
        <v>-9.2565322014811124E-4</v>
      </c>
      <c r="E9" s="19">
        <f t="shared" si="0"/>
        <v>4.0700752546594388E-2</v>
      </c>
      <c r="F9" s="19"/>
      <c r="G9" s="18">
        <v>2</v>
      </c>
      <c r="H9" s="19"/>
      <c r="I9" s="19">
        <v>3.6265148497975887E-2</v>
      </c>
      <c r="J9" s="19">
        <v>0.21841329999999998</v>
      </c>
      <c r="K9" s="1"/>
    </row>
    <row r="10" spans="1:12" x14ac:dyDescent="0.2">
      <c r="A10" s="1" t="s">
        <v>61</v>
      </c>
      <c r="B10" s="18" t="s">
        <v>88</v>
      </c>
      <c r="C10" s="18">
        <v>100</v>
      </c>
      <c r="D10" s="15">
        <v>2.9849999992744475E-2</v>
      </c>
      <c r="E10" s="19">
        <f t="shared" si="0"/>
        <v>4.0346387402426687E-2</v>
      </c>
      <c r="F10" s="19"/>
      <c r="G10" s="18">
        <v>2</v>
      </c>
      <c r="H10" s="19"/>
      <c r="I10" s="19">
        <v>6.4718161803383675E-2</v>
      </c>
      <c r="J10" s="19">
        <v>0.22248336499999999</v>
      </c>
      <c r="K10" s="1"/>
    </row>
    <row r="11" spans="1:12" x14ac:dyDescent="0.2">
      <c r="A11" s="1" t="s">
        <v>62</v>
      </c>
      <c r="B11" s="18" t="s">
        <v>88</v>
      </c>
      <c r="C11" s="18">
        <v>400</v>
      </c>
      <c r="D11" s="15">
        <v>1.6810991504856432E-2</v>
      </c>
      <c r="E11" s="19">
        <f t="shared" si="0"/>
        <v>4.0082426405675255E-2</v>
      </c>
      <c r="F11" s="19"/>
      <c r="G11" s="18">
        <v>2</v>
      </c>
      <c r="H11" s="19"/>
      <c r="I11" s="19">
        <v>2.2791271241314939E-2</v>
      </c>
      <c r="J11" s="19">
        <v>0.22558814500000002</v>
      </c>
      <c r="K11" s="1"/>
    </row>
    <row r="12" spans="1:12" x14ac:dyDescent="0.2">
      <c r="A12" s="1"/>
      <c r="D12" s="15"/>
      <c r="E12" s="8"/>
      <c r="F12" s="8"/>
      <c r="H12" s="19"/>
      <c r="I12" s="19"/>
      <c r="J12" s="19"/>
      <c r="K12" s="1"/>
    </row>
    <row r="13" spans="1:12" x14ac:dyDescent="0.2">
      <c r="A13" s="1" t="s">
        <v>63</v>
      </c>
      <c r="B13" s="18" t="s">
        <v>89</v>
      </c>
      <c r="C13" s="18">
        <v>200</v>
      </c>
      <c r="D13" s="15">
        <v>-1.4182795184614072E-2</v>
      </c>
      <c r="E13" s="19">
        <f t="shared" si="0"/>
        <v>4.063192859265035E-2</v>
      </c>
      <c r="F13" s="19"/>
      <c r="G13" s="18">
        <v>2</v>
      </c>
      <c r="H13" s="19"/>
      <c r="I13" s="19">
        <v>4.5903274437841785E-2</v>
      </c>
      <c r="J13" s="19">
        <v>0.21919514500000001</v>
      </c>
      <c r="K13" s="1"/>
    </row>
    <row r="14" spans="1:12" x14ac:dyDescent="0.2">
      <c r="A14" s="1" t="s">
        <v>64</v>
      </c>
      <c r="B14" s="18" t="s">
        <v>89</v>
      </c>
      <c r="C14" s="18">
        <v>1000</v>
      </c>
      <c r="D14" s="15">
        <v>2.1777831197759372E-2</v>
      </c>
      <c r="E14" s="19">
        <f t="shared" si="0"/>
        <v>4.1056285942702463E-2</v>
      </c>
      <c r="F14" s="19"/>
      <c r="G14" s="18">
        <v>2</v>
      </c>
      <c r="H14" s="19"/>
      <c r="I14" s="19">
        <v>4.6031386611724359E-2</v>
      </c>
      <c r="J14" s="19">
        <v>0.21443913000000001</v>
      </c>
      <c r="K14" s="1"/>
    </row>
    <row r="15" spans="1:12" x14ac:dyDescent="0.2">
      <c r="A15" s="1" t="s">
        <v>65</v>
      </c>
      <c r="B15" s="18" t="s">
        <v>89</v>
      </c>
      <c r="C15" s="18">
        <v>2000</v>
      </c>
      <c r="D15" s="15">
        <v>9.316184902926258E-3</v>
      </c>
      <c r="E15" s="19">
        <f t="shared" si="0"/>
        <v>4.1651398912294128E-2</v>
      </c>
      <c r="F15" s="19"/>
      <c r="G15" s="18">
        <v>2</v>
      </c>
      <c r="H15" s="19"/>
      <c r="I15" s="19">
        <v>6.8421890078407724E-2</v>
      </c>
      <c r="J15" s="19">
        <v>0.2080215</v>
      </c>
      <c r="K15" s="1"/>
    </row>
    <row r="16" spans="1:12" x14ac:dyDescent="0.2">
      <c r="A16" s="1"/>
      <c r="D16" s="15"/>
      <c r="E16" s="8"/>
      <c r="F16" s="8"/>
      <c r="H16" s="19"/>
      <c r="I16" s="19"/>
      <c r="J16" s="19"/>
      <c r="K16" s="1"/>
    </row>
    <row r="17" spans="1:11" x14ac:dyDescent="0.2">
      <c r="A17" s="1" t="s">
        <v>66</v>
      </c>
      <c r="B17" s="18" t="s">
        <v>90</v>
      </c>
      <c r="C17" s="18">
        <v>5</v>
      </c>
      <c r="D17" s="15">
        <v>3.3544229312454377E-2</v>
      </c>
      <c r="E17" s="19">
        <f t="shared" si="0"/>
        <v>3.9678115475444142E-2</v>
      </c>
      <c r="F17" s="19"/>
      <c r="G17" s="18">
        <v>2</v>
      </c>
      <c r="H17" s="19"/>
      <c r="I17" s="19">
        <v>5.2872936351245091E-2</v>
      </c>
      <c r="J17" s="19">
        <v>0.23046898500000002</v>
      </c>
      <c r="K17" s="1"/>
    </row>
    <row r="18" spans="1:11" x14ac:dyDescent="0.2">
      <c r="A18" s="1" t="s">
        <v>67</v>
      </c>
      <c r="B18" s="18" t="s">
        <v>90</v>
      </c>
      <c r="C18" s="18">
        <v>100</v>
      </c>
      <c r="D18" s="15">
        <v>-2.0384939563726039E-2</v>
      </c>
      <c r="E18" s="19">
        <f t="shared" si="0"/>
        <v>4.0427561869636378E-2</v>
      </c>
      <c r="F18" s="19"/>
      <c r="G18" s="18">
        <v>2</v>
      </c>
      <c r="H18" s="19"/>
      <c r="I18" s="19">
        <v>0.10696492110190889</v>
      </c>
      <c r="J18" s="19">
        <v>0.22154122500000001</v>
      </c>
      <c r="K18" s="1"/>
    </row>
    <row r="19" spans="1:11" x14ac:dyDescent="0.2">
      <c r="A19" s="1"/>
      <c r="D19" s="15"/>
      <c r="E19" s="8"/>
      <c r="F19" s="8"/>
      <c r="H19" s="19"/>
      <c r="I19" s="19"/>
      <c r="J19" s="19"/>
      <c r="K19" s="1"/>
    </row>
    <row r="20" spans="1:11" x14ac:dyDescent="0.2">
      <c r="A20" s="1" t="s">
        <v>68</v>
      </c>
      <c r="B20" s="18" t="s">
        <v>91</v>
      </c>
      <c r="C20" s="18">
        <v>1</v>
      </c>
      <c r="D20" s="15">
        <v>4.6186576725023203E-3</v>
      </c>
      <c r="E20" s="19">
        <f t="shared" si="0"/>
        <v>3.9507841957424857E-2</v>
      </c>
      <c r="F20" s="19"/>
      <c r="G20" s="18">
        <v>2</v>
      </c>
      <c r="H20" s="19"/>
      <c r="I20" s="19">
        <v>4.6553617443113364E-2</v>
      </c>
      <c r="J20" s="19">
        <v>0.23257119500000001</v>
      </c>
      <c r="K20" s="1"/>
    </row>
    <row r="21" spans="1:11" x14ac:dyDescent="0.2">
      <c r="A21" s="1" t="s">
        <v>69</v>
      </c>
      <c r="B21" s="18" t="s">
        <v>91</v>
      </c>
      <c r="C21" s="18">
        <v>3</v>
      </c>
      <c r="D21" s="15">
        <v>1.9867811407170421E-2</v>
      </c>
      <c r="E21" s="19">
        <f t="shared" si="0"/>
        <v>3.9641766075006045E-2</v>
      </c>
      <c r="F21" s="19"/>
      <c r="G21" s="18">
        <v>2</v>
      </c>
      <c r="H21" s="19"/>
      <c r="I21" s="19">
        <v>1.0866265054126302E-2</v>
      </c>
      <c r="J21" s="19">
        <v>0.23091539999999999</v>
      </c>
      <c r="K21" s="1"/>
    </row>
    <row r="22" spans="1:11" x14ac:dyDescent="0.2">
      <c r="A22" s="1" t="s">
        <v>70</v>
      </c>
      <c r="B22" s="18" t="s">
        <v>91</v>
      </c>
      <c r="C22" s="18">
        <v>10</v>
      </c>
      <c r="D22" s="15">
        <v>-1.3965055565131243E-2</v>
      </c>
      <c r="E22" s="19">
        <f t="shared" si="0"/>
        <v>4.0084157578416234E-2</v>
      </c>
      <c r="F22" s="19"/>
      <c r="G22" s="18">
        <v>2</v>
      </c>
      <c r="H22" s="19"/>
      <c r="I22" s="19">
        <v>1.667767181754775E-2</v>
      </c>
      <c r="J22" s="19">
        <v>0.22556757500000002</v>
      </c>
      <c r="K22" s="1"/>
    </row>
    <row r="23" spans="1:11" x14ac:dyDescent="0.2">
      <c r="A23" s="1"/>
      <c r="D23" s="15"/>
      <c r="E23" s="8"/>
      <c r="F23" s="8"/>
      <c r="H23" s="19"/>
      <c r="I23" s="19"/>
      <c r="J23" s="19"/>
      <c r="K23" s="1"/>
    </row>
    <row r="24" spans="1:11" s="28" customFormat="1" x14ac:dyDescent="0.2">
      <c r="A24" s="1" t="s">
        <v>72</v>
      </c>
      <c r="B24" s="18" t="s">
        <v>92</v>
      </c>
      <c r="C24" s="30">
        <v>0.9</v>
      </c>
      <c r="D24" s="15">
        <v>-1.7766139380648305E-2</v>
      </c>
      <c r="E24" s="14">
        <f>0.0206*J24^-0.579</f>
        <v>4.6562275701969968E-2</v>
      </c>
      <c r="F24" s="14"/>
      <c r="G24" s="18">
        <v>1</v>
      </c>
      <c r="H24" s="19">
        <v>3.7099415999999996E-2</v>
      </c>
      <c r="I24" s="19"/>
      <c r="J24" s="19">
        <v>0.24451901999999998</v>
      </c>
      <c r="K24" s="1"/>
    </row>
    <row r="25" spans="1:11" x14ac:dyDescent="0.2">
      <c r="A25" s="1" t="s">
        <v>73</v>
      </c>
      <c r="B25" s="18" t="s">
        <v>92</v>
      </c>
      <c r="C25" s="18">
        <v>4.5999999999999996</v>
      </c>
      <c r="D25" s="15">
        <v>-1.1306690734569358E-2</v>
      </c>
      <c r="E25" s="19">
        <f t="shared" ref="E25:E26" si="1">0.0198*J25^-0.47363</f>
        <v>3.9203415651019709E-2</v>
      </c>
      <c r="F25" s="19"/>
      <c r="G25" s="18">
        <v>2</v>
      </c>
      <c r="H25" s="19">
        <v>3.2095548000000002E-2</v>
      </c>
      <c r="I25" s="19">
        <v>4.5714150232900749E-2</v>
      </c>
      <c r="J25" s="19">
        <v>0.23640072499999998</v>
      </c>
      <c r="K25" s="1"/>
    </row>
    <row r="26" spans="1:11" x14ac:dyDescent="0.2">
      <c r="A26" s="1" t="s">
        <v>74</v>
      </c>
      <c r="B26" s="18" t="s">
        <v>92</v>
      </c>
      <c r="C26" s="18">
        <v>22.7</v>
      </c>
      <c r="D26" s="15">
        <v>2.287278675224454E-2</v>
      </c>
      <c r="E26" s="19">
        <f t="shared" si="1"/>
        <v>4.0696718816639825E-2</v>
      </c>
      <c r="F26" s="19"/>
      <c r="G26" s="18">
        <v>2</v>
      </c>
      <c r="H26" s="19">
        <v>4.4250597000000003E-2</v>
      </c>
      <c r="I26" s="19">
        <v>2.2877365145885103E-2</v>
      </c>
      <c r="J26" s="19">
        <v>0.21845901000000001</v>
      </c>
      <c r="K26" s="1"/>
    </row>
    <row r="27" spans="1:11" x14ac:dyDescent="0.2">
      <c r="A27" s="1"/>
      <c r="D27" s="15"/>
      <c r="E27" s="8"/>
      <c r="F27" s="8"/>
      <c r="H27" s="19"/>
      <c r="I27" s="19"/>
      <c r="J27" s="19"/>
      <c r="K27" s="1"/>
    </row>
    <row r="28" spans="1:11" x14ac:dyDescent="0.2">
      <c r="A28" s="4" t="s">
        <v>71</v>
      </c>
      <c r="B28" s="18" t="s">
        <v>92</v>
      </c>
      <c r="C28" s="18">
        <v>0.9</v>
      </c>
      <c r="D28" s="15">
        <v>9.3567792348592249E-3</v>
      </c>
      <c r="E28" s="19">
        <f t="shared" ref="E28:E41" si="2">0.0198*J28^-0.47363</f>
        <v>3.8780587225050636E-2</v>
      </c>
      <c r="F28" s="19"/>
      <c r="G28" s="18">
        <v>2</v>
      </c>
      <c r="H28" s="19">
        <v>4.1898151000000002E-2</v>
      </c>
      <c r="I28" s="19">
        <v>9.3076859444217855E-2</v>
      </c>
      <c r="J28" s="19">
        <v>0.24187572000000002</v>
      </c>
      <c r="K28" s="1"/>
    </row>
    <row r="29" spans="1:11" x14ac:dyDescent="0.2">
      <c r="A29" s="1" t="s">
        <v>71</v>
      </c>
      <c r="B29" s="18" t="s">
        <v>93</v>
      </c>
      <c r="C29" s="18">
        <v>0.9</v>
      </c>
      <c r="D29" s="15">
        <v>4.3734998606067187E-2</v>
      </c>
      <c r="E29" s="19">
        <f t="shared" si="2"/>
        <v>3.8529017175640057E-2</v>
      </c>
      <c r="F29" s="19"/>
      <c r="G29" s="18">
        <v>2</v>
      </c>
      <c r="H29" s="19">
        <v>4.1577853000000005E-2</v>
      </c>
      <c r="I29" s="19">
        <v>2.6183090869795155E-2</v>
      </c>
      <c r="J29" s="19">
        <v>0.24522227000000002</v>
      </c>
      <c r="K29" s="1"/>
    </row>
    <row r="30" spans="1:11" x14ac:dyDescent="0.2">
      <c r="A30" s="1" t="s">
        <v>75</v>
      </c>
      <c r="B30" s="18" t="s">
        <v>93</v>
      </c>
      <c r="C30" s="18">
        <v>4.5999999999999996</v>
      </c>
      <c r="D30" s="15">
        <v>3.4935079728700322E-3</v>
      </c>
      <c r="E30" s="19">
        <f t="shared" si="2"/>
        <v>3.8652352836365249E-2</v>
      </c>
      <c r="F30" s="19"/>
      <c r="G30" s="18">
        <v>2</v>
      </c>
      <c r="H30" s="19">
        <v>3.8081250999999997E-2</v>
      </c>
      <c r="I30" s="19">
        <v>1.8379109187662234E-2</v>
      </c>
      <c r="J30" s="19">
        <v>0.24357310999999998</v>
      </c>
      <c r="K30" s="1"/>
    </row>
    <row r="31" spans="1:11" x14ac:dyDescent="0.2">
      <c r="A31" s="1" t="s">
        <v>76</v>
      </c>
      <c r="B31" s="18" t="s">
        <v>93</v>
      </c>
      <c r="C31" s="18">
        <v>22.7</v>
      </c>
      <c r="D31" s="15">
        <v>4.6183518976154287E-3</v>
      </c>
      <c r="E31" s="19">
        <f t="shared" si="2"/>
        <v>3.8330893757865629E-2</v>
      </c>
      <c r="F31" s="19"/>
      <c r="G31" s="18">
        <v>2</v>
      </c>
      <c r="H31" s="19">
        <v>3.2973530000000001E-2</v>
      </c>
      <c r="I31" s="19">
        <v>4.2889739190768293E-2</v>
      </c>
      <c r="J31" s="19">
        <v>0.24790609</v>
      </c>
      <c r="K31" s="1"/>
    </row>
    <row r="32" spans="1:11" x14ac:dyDescent="0.2">
      <c r="A32" s="1"/>
      <c r="D32" s="15"/>
      <c r="E32" s="8"/>
      <c r="F32" s="8"/>
      <c r="H32" s="19"/>
      <c r="I32" s="19"/>
      <c r="J32" s="19"/>
      <c r="K32" s="1"/>
    </row>
    <row r="33" spans="1:11" x14ac:dyDescent="0.2">
      <c r="A33" s="1" t="s">
        <v>77</v>
      </c>
      <c r="B33" s="18" t="s">
        <v>94</v>
      </c>
      <c r="C33" s="18">
        <v>0.9</v>
      </c>
      <c r="D33" s="15">
        <v>-1.4412022228293964E-2</v>
      </c>
      <c r="E33" s="19">
        <f t="shared" si="2"/>
        <v>3.8293359191813502E-2</v>
      </c>
      <c r="F33" s="19"/>
      <c r="G33" s="18">
        <v>2</v>
      </c>
      <c r="H33" s="19">
        <v>3.3119545E-2</v>
      </c>
      <c r="I33" s="19">
        <v>3.4772152797603359E-2</v>
      </c>
      <c r="J33" s="19">
        <v>0.248419415</v>
      </c>
      <c r="K33" s="1"/>
    </row>
    <row r="34" spans="1:11" x14ac:dyDescent="0.2">
      <c r="A34" s="1" t="s">
        <v>78</v>
      </c>
      <c r="B34" s="18" t="s">
        <v>94</v>
      </c>
      <c r="C34" s="18">
        <v>4.5999999999999996</v>
      </c>
      <c r="D34" s="15">
        <v>-3.1647906037305753E-3</v>
      </c>
      <c r="E34" s="19">
        <f t="shared" si="2"/>
        <v>3.8351212244948973E-2</v>
      </c>
      <c r="F34" s="19"/>
      <c r="G34" s="18">
        <v>2</v>
      </c>
      <c r="H34" s="19">
        <v>3.3653170000000003E-2</v>
      </c>
      <c r="I34" s="19">
        <v>6.0749816019687021E-2</v>
      </c>
      <c r="J34" s="19">
        <v>0.247628865</v>
      </c>
      <c r="K34" s="1"/>
    </row>
    <row r="35" spans="1:11" x14ac:dyDescent="0.2">
      <c r="A35" s="1" t="s">
        <v>79</v>
      </c>
      <c r="B35" s="18" t="s">
        <v>94</v>
      </c>
      <c r="C35" s="18">
        <v>22.7</v>
      </c>
      <c r="D35" s="15">
        <v>5.8893830161924988E-2</v>
      </c>
      <c r="E35" s="19">
        <f t="shared" si="2"/>
        <v>3.8331881331099313E-2</v>
      </c>
      <c r="F35" s="19"/>
      <c r="G35" s="18">
        <v>2</v>
      </c>
      <c r="H35" s="19">
        <v>3.8964696E-2</v>
      </c>
      <c r="I35" s="19">
        <v>2.5304859541784283E-2</v>
      </c>
      <c r="J35" s="19">
        <v>0.24789260499999999</v>
      </c>
      <c r="K35" s="1"/>
    </row>
    <row r="36" spans="1:11" x14ac:dyDescent="0.2">
      <c r="A36" s="1" t="s">
        <v>80</v>
      </c>
      <c r="B36" s="18" t="s">
        <v>94</v>
      </c>
      <c r="C36" s="18">
        <v>13.6</v>
      </c>
      <c r="D36" s="15">
        <v>3.4548548557555847E-2</v>
      </c>
      <c r="E36" s="19">
        <f t="shared" si="2"/>
        <v>3.9410036804289506E-2</v>
      </c>
      <c r="F36" s="19"/>
      <c r="G36" s="18">
        <v>2</v>
      </c>
      <c r="H36" s="19">
        <v>3.6977810999999999E-2</v>
      </c>
      <c r="I36" s="19">
        <v>5.6950544584053957E-2</v>
      </c>
      <c r="J36" s="19">
        <v>0.23379150500000001</v>
      </c>
      <c r="K36" s="1"/>
    </row>
    <row r="37" spans="1:11" x14ac:dyDescent="0.2">
      <c r="A37" s="1" t="s">
        <v>81</v>
      </c>
      <c r="B37" s="18" t="s">
        <v>94</v>
      </c>
      <c r="C37" s="18">
        <v>50</v>
      </c>
      <c r="D37" s="15">
        <v>-1.780584946564634E-2</v>
      </c>
      <c r="E37" s="19">
        <f t="shared" si="2"/>
        <v>3.9756182937268174E-2</v>
      </c>
      <c r="F37" s="19"/>
      <c r="G37" s="18">
        <v>2</v>
      </c>
      <c r="H37" s="19">
        <v>4.214532700000001E-2</v>
      </c>
      <c r="I37" s="19">
        <v>7.3193642315702828E-2</v>
      </c>
      <c r="J37" s="19">
        <v>0.22951451</v>
      </c>
      <c r="K37" s="1"/>
    </row>
    <row r="38" spans="1:11" x14ac:dyDescent="0.2">
      <c r="A38" s="1"/>
      <c r="D38" s="15"/>
      <c r="E38" s="8"/>
      <c r="F38" s="8"/>
      <c r="H38" s="19"/>
      <c r="I38" s="19"/>
      <c r="J38" s="19"/>
      <c r="K38" s="1"/>
    </row>
    <row r="39" spans="1:11" x14ac:dyDescent="0.2">
      <c r="A39" s="1" t="s">
        <v>82</v>
      </c>
      <c r="B39" s="18" t="s">
        <v>95</v>
      </c>
      <c r="C39" s="18">
        <v>5</v>
      </c>
      <c r="D39" s="15">
        <v>3.0895092771950534E-2</v>
      </c>
      <c r="E39" s="19">
        <f t="shared" si="2"/>
        <v>3.9593939705581928E-2</v>
      </c>
      <c r="F39" s="19"/>
      <c r="G39" s="18">
        <v>2</v>
      </c>
      <c r="H39" s="19">
        <v>3.6244079999999998E-2</v>
      </c>
      <c r="I39" s="19">
        <v>1.6774228357980002E-2</v>
      </c>
      <c r="J39" s="19">
        <v>0.23150471</v>
      </c>
      <c r="K39" s="1"/>
    </row>
    <row r="40" spans="1:11" x14ac:dyDescent="0.2">
      <c r="A40" s="1" t="s">
        <v>83</v>
      </c>
      <c r="B40" s="18" t="s">
        <v>95</v>
      </c>
      <c r="C40" s="18">
        <v>15</v>
      </c>
      <c r="D40" s="15">
        <v>1.9608058485405994E-2</v>
      </c>
      <c r="E40" s="19">
        <f t="shared" si="2"/>
        <v>3.968323689097606E-2</v>
      </c>
      <c r="F40" s="19"/>
      <c r="G40" s="18">
        <v>2</v>
      </c>
      <c r="H40" s="19">
        <v>3.7869893000000002E-2</v>
      </c>
      <c r="I40" s="19">
        <v>3.4868561378350496E-2</v>
      </c>
      <c r="J40" s="19">
        <v>0.23040619000000001</v>
      </c>
      <c r="K40" s="1"/>
    </row>
    <row r="41" spans="1:11" x14ac:dyDescent="0.2">
      <c r="A41" s="1" t="s">
        <v>84</v>
      </c>
      <c r="B41" s="18" t="s">
        <v>95</v>
      </c>
      <c r="C41" s="18">
        <v>50</v>
      </c>
      <c r="D41" s="15">
        <v>2.7142576465670015E-2</v>
      </c>
      <c r="E41" s="19">
        <f t="shared" si="2"/>
        <v>4.0163053907322874E-2</v>
      </c>
      <c r="F41" s="19"/>
      <c r="G41" s="18">
        <v>2</v>
      </c>
      <c r="H41" s="19">
        <v>4.3276861999999999E-2</v>
      </c>
      <c r="I41" s="19">
        <v>1.8850441680553796E-2</v>
      </c>
      <c r="J41" s="19">
        <v>0.22463304499999998</v>
      </c>
      <c r="K41" s="1"/>
    </row>
    <row r="43" spans="1:11" x14ac:dyDescent="0.2">
      <c r="A43" s="48" t="s">
        <v>126</v>
      </c>
    </row>
  </sheetData>
  <phoneticPr fontId="21" type="noConversion"/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4" sqref="H24"/>
    </sheetView>
  </sheetViews>
  <sheetFormatPr baseColWidth="10" defaultRowHeight="16" x14ac:dyDescent="0.2"/>
  <cols>
    <col min="1" max="2" width="20" customWidth="1"/>
    <col min="6" max="6" width="11.83203125" customWidth="1"/>
    <col min="10" max="10" width="12.1640625" customWidth="1"/>
  </cols>
  <sheetData>
    <row r="1" spans="1:13" ht="40" customHeight="1" x14ac:dyDescent="0.2">
      <c r="A1" s="10" t="s">
        <v>96</v>
      </c>
      <c r="B1" s="10" t="s">
        <v>0</v>
      </c>
      <c r="C1" s="16" t="s">
        <v>41</v>
      </c>
      <c r="D1" s="10" t="s">
        <v>4</v>
      </c>
      <c r="E1" s="12" t="s">
        <v>25</v>
      </c>
      <c r="F1" s="11" t="s">
        <v>111</v>
      </c>
      <c r="G1" s="11" t="s">
        <v>26</v>
      </c>
      <c r="H1" s="12" t="s">
        <v>24</v>
      </c>
      <c r="I1" s="11" t="s">
        <v>23</v>
      </c>
      <c r="J1" s="11" t="s">
        <v>21</v>
      </c>
      <c r="K1" s="10" t="s">
        <v>105</v>
      </c>
      <c r="L1" s="10" t="s">
        <v>118</v>
      </c>
      <c r="M1" s="10" t="s">
        <v>119</v>
      </c>
    </row>
    <row r="2" spans="1:13" x14ac:dyDescent="0.2">
      <c r="A2" s="118" t="s">
        <v>98</v>
      </c>
      <c r="B2" s="7" t="s">
        <v>109</v>
      </c>
      <c r="C2" s="41">
        <v>9.6824014906626843E-2</v>
      </c>
      <c r="D2" s="19">
        <f>0.0198*J2^-0.47363</f>
        <v>4.5882782999036566E-2</v>
      </c>
      <c r="G2" s="40">
        <v>2</v>
      </c>
      <c r="H2" s="14">
        <v>3.8639384387971404E-2</v>
      </c>
      <c r="I2" s="14">
        <v>7.2214493000000005E-2</v>
      </c>
      <c r="J2" s="14">
        <v>0.16958555</v>
      </c>
      <c r="K2" s="43">
        <v>3</v>
      </c>
      <c r="L2" s="18">
        <v>0.5</v>
      </c>
      <c r="M2" s="18">
        <f>L2*7.8</f>
        <v>3.9</v>
      </c>
    </row>
    <row r="3" spans="1:13" x14ac:dyDescent="0.2">
      <c r="A3" s="118"/>
      <c r="B3" s="7" t="s">
        <v>106</v>
      </c>
      <c r="C3" s="41">
        <v>0.11461720520578034</v>
      </c>
      <c r="D3" s="14">
        <f>0.0206*J3^-0.579</f>
        <v>3.9202814637489508E-2</v>
      </c>
      <c r="G3" s="40">
        <v>1</v>
      </c>
      <c r="H3" s="14"/>
      <c r="I3" s="14">
        <v>0.04</v>
      </c>
      <c r="J3" s="14">
        <v>0.32912241669999998</v>
      </c>
      <c r="K3" s="43">
        <v>3</v>
      </c>
      <c r="L3" s="18">
        <v>0.5</v>
      </c>
      <c r="M3" s="18">
        <f t="shared" ref="M3:M5" si="0">L3*7.8</f>
        <v>3.9</v>
      </c>
    </row>
    <row r="4" spans="1:13" x14ac:dyDescent="0.2">
      <c r="A4" s="118"/>
      <c r="B4" s="7" t="s">
        <v>107</v>
      </c>
      <c r="C4" s="41">
        <v>0.10797615953173079</v>
      </c>
      <c r="D4" s="14">
        <f>0.0206*J4^-0.579</f>
        <v>3.8879150003812368E-2</v>
      </c>
      <c r="G4" s="40">
        <v>1</v>
      </c>
      <c r="H4" s="14"/>
      <c r="I4" s="14">
        <v>4.0626662223853728E-2</v>
      </c>
      <c r="J4" s="14">
        <v>0.33386886589999998</v>
      </c>
      <c r="K4" s="43">
        <v>4</v>
      </c>
      <c r="L4" s="18">
        <v>0.5</v>
      </c>
      <c r="M4" s="18">
        <f t="shared" si="0"/>
        <v>3.9</v>
      </c>
    </row>
    <row r="5" spans="1:13" x14ac:dyDescent="0.2">
      <c r="A5" s="118"/>
      <c r="B5" s="7" t="s">
        <v>108</v>
      </c>
      <c r="C5" s="41">
        <v>9.4681113131489525E-2</v>
      </c>
      <c r="D5" s="19">
        <f>0.0198*J5^-0.47363</f>
        <v>5.2640578007010705E-2</v>
      </c>
      <c r="G5" s="40">
        <v>2</v>
      </c>
      <c r="H5" s="14">
        <v>6.314569549907173E-2</v>
      </c>
      <c r="I5" s="14">
        <v>5.5597593000000001E-2</v>
      </c>
      <c r="J5" s="14">
        <v>0.126882735</v>
      </c>
      <c r="K5" s="43">
        <v>4</v>
      </c>
      <c r="L5" s="18">
        <v>0.5</v>
      </c>
      <c r="M5" s="18">
        <f t="shared" si="0"/>
        <v>3.9</v>
      </c>
    </row>
    <row r="6" spans="1:13" x14ac:dyDescent="0.2">
      <c r="A6" s="118"/>
      <c r="B6" s="7"/>
      <c r="C6" s="41"/>
      <c r="D6" s="41"/>
      <c r="G6" s="40"/>
      <c r="H6" s="14"/>
      <c r="I6" s="14"/>
      <c r="J6" s="14"/>
      <c r="K6" s="43"/>
    </row>
    <row r="7" spans="1:13" x14ac:dyDescent="0.2">
      <c r="A7" s="118"/>
      <c r="B7" s="7" t="s">
        <v>110</v>
      </c>
      <c r="C7" s="41">
        <f>AVERAGE(C2:C5)</f>
        <v>0.10352462319390687</v>
      </c>
      <c r="D7" s="14">
        <f>AVERAGE(D2:D5)</f>
        <v>4.4151331411837288E-2</v>
      </c>
      <c r="E7" s="19">
        <f>2*STDEV(C2:C5)</f>
        <v>1.8831440840634869E-2</v>
      </c>
      <c r="F7" s="18">
        <f>COUNT(C2:C5)</f>
        <v>4</v>
      </c>
      <c r="G7" s="40"/>
      <c r="H7" s="14">
        <f>AVERAGE(H2:H5)</f>
        <v>5.0892539943521567E-2</v>
      </c>
      <c r="I7" s="14">
        <f>AVERAGE(I2:I5)</f>
        <v>5.210968705596343E-2</v>
      </c>
      <c r="J7" s="14"/>
      <c r="K7" s="43"/>
    </row>
    <row r="8" spans="1:13" x14ac:dyDescent="0.2">
      <c r="B8" s="18"/>
      <c r="C8" s="19"/>
      <c r="D8" s="19"/>
      <c r="G8" s="19"/>
      <c r="H8" s="19"/>
      <c r="I8" s="19"/>
      <c r="J8" s="18"/>
      <c r="L8" s="39"/>
    </row>
    <row r="9" spans="1:13" x14ac:dyDescent="0.2">
      <c r="A9" s="119" t="s">
        <v>99</v>
      </c>
      <c r="B9" s="7" t="s">
        <v>112</v>
      </c>
      <c r="C9" s="41">
        <v>-1.075052326878397E-2</v>
      </c>
      <c r="D9" s="19">
        <f>0.0198*J9^-0.47363</f>
        <v>5.4049611504358448E-2</v>
      </c>
      <c r="G9" s="40">
        <v>2</v>
      </c>
      <c r="H9" s="14">
        <v>4.8487009596079468E-2</v>
      </c>
      <c r="I9" s="14">
        <v>5.6008692000000006E-2</v>
      </c>
      <c r="J9" s="14">
        <v>0.12</v>
      </c>
      <c r="K9" s="43">
        <v>3</v>
      </c>
      <c r="L9" s="44">
        <v>1.0854699999999997</v>
      </c>
      <c r="M9" s="44">
        <f>L9*3.9</f>
        <v>4.2333329999999991</v>
      </c>
    </row>
    <row r="10" spans="1:13" x14ac:dyDescent="0.2">
      <c r="A10" s="119"/>
      <c r="B10" s="7" t="s">
        <v>127</v>
      </c>
      <c r="C10" s="41">
        <v>-2.9523488542015919E-2</v>
      </c>
      <c r="D10" s="19">
        <f t="shared" ref="D10:D11" si="1">0.0198*J10^-0.47363</f>
        <v>3.8681814202166619E-2</v>
      </c>
      <c r="G10" s="40">
        <v>2</v>
      </c>
      <c r="H10" s="14">
        <v>6.8088721343246256E-2</v>
      </c>
      <c r="I10" s="14">
        <v>3.8860730000000003E-2</v>
      </c>
      <c r="J10" s="14">
        <v>0.24318159145000001</v>
      </c>
      <c r="K10" s="43">
        <v>3</v>
      </c>
      <c r="L10" s="44">
        <v>1.4902</v>
      </c>
      <c r="M10" s="44">
        <f>L10*3.7</f>
        <v>5.5137400000000003</v>
      </c>
    </row>
    <row r="11" spans="1:13" x14ac:dyDescent="0.2">
      <c r="A11" s="119"/>
      <c r="B11" s="18" t="s">
        <v>129</v>
      </c>
      <c r="C11" s="41">
        <v>3.6481656422671094E-2</v>
      </c>
      <c r="D11" s="19">
        <f t="shared" si="1"/>
        <v>4.651032842035794E-2</v>
      </c>
      <c r="G11" s="40">
        <v>2</v>
      </c>
      <c r="H11" s="14">
        <v>3.7225456612126541E-2</v>
      </c>
      <c r="I11" s="14">
        <v>4.7942259000000001E-2</v>
      </c>
      <c r="J11" s="14">
        <v>0.16479065999999998</v>
      </c>
      <c r="K11" s="43">
        <v>3</v>
      </c>
      <c r="L11" s="44">
        <f>0.4533+0.5154+0.5112</f>
        <v>1.4798999999999998</v>
      </c>
      <c r="M11" s="44">
        <f>L11*3.7</f>
        <v>5.4756299999999998</v>
      </c>
    </row>
    <row r="12" spans="1:13" x14ac:dyDescent="0.2">
      <c r="A12" s="119"/>
      <c r="B12" s="18"/>
      <c r="D12" s="18"/>
    </row>
    <row r="13" spans="1:13" x14ac:dyDescent="0.2">
      <c r="A13" s="119"/>
      <c r="B13" s="7" t="s">
        <v>110</v>
      </c>
      <c r="C13" s="41">
        <f>AVERAGE(C9:C11)</f>
        <v>-1.264118462709599E-3</v>
      </c>
      <c r="D13" s="14">
        <f>AVERAGE(D8:D11)</f>
        <v>4.6413918042294333E-2</v>
      </c>
      <c r="E13" s="19">
        <f>2*STDEV(C9:C11)</f>
        <v>6.801951771545782E-2</v>
      </c>
      <c r="F13" s="18">
        <f>COUNT(C9:C11)</f>
        <v>3</v>
      </c>
      <c r="H13" s="14">
        <f>AVERAGE(H8:H11)</f>
        <v>5.1267062517150748E-2</v>
      </c>
      <c r="I13" s="14">
        <f>AVERAGE(I8:I11)</f>
        <v>4.7603893666666675E-2</v>
      </c>
    </row>
    <row r="14" spans="1:13" x14ac:dyDescent="0.2">
      <c r="B14" s="7"/>
      <c r="C14" s="41"/>
      <c r="D14" s="41"/>
      <c r="E14" s="19"/>
      <c r="F14" s="18"/>
    </row>
    <row r="15" spans="1:13" x14ac:dyDescent="0.2">
      <c r="A15" s="119" t="s">
        <v>102</v>
      </c>
      <c r="B15" s="18" t="s">
        <v>114</v>
      </c>
      <c r="C15" s="41">
        <v>-1.1585746498066207E-2</v>
      </c>
      <c r="D15" s="14">
        <f>0.0206*J15^-0.579</f>
        <v>4.5939034936687342E-2</v>
      </c>
      <c r="G15" s="40">
        <v>1</v>
      </c>
      <c r="H15" s="14"/>
      <c r="I15" s="14"/>
      <c r="J15" s="14">
        <v>0.25027663</v>
      </c>
      <c r="K15" s="43">
        <v>2</v>
      </c>
      <c r="L15" s="44">
        <f>0.4233</f>
        <v>0.42330000000000001</v>
      </c>
      <c r="M15" s="44">
        <f>L15*11.6</f>
        <v>4.9102800000000002</v>
      </c>
    </row>
    <row r="16" spans="1:13" x14ac:dyDescent="0.2">
      <c r="A16" s="119"/>
      <c r="B16" s="18" t="s">
        <v>115</v>
      </c>
      <c r="C16" s="41">
        <v>-5.8528019124537423E-3</v>
      </c>
      <c r="D16" s="14">
        <f>0.0206*J16^-0.579</f>
        <v>3.7095672442500727E-2</v>
      </c>
      <c r="G16" s="40">
        <v>1</v>
      </c>
      <c r="H16" s="14"/>
      <c r="I16" s="14"/>
      <c r="J16" s="14">
        <v>0.36207444999999999</v>
      </c>
      <c r="K16" s="43">
        <v>2</v>
      </c>
      <c r="L16" s="42">
        <v>0.499</v>
      </c>
      <c r="M16" s="44">
        <f t="shared" ref="M16:M17" si="2">L16*11.6</f>
        <v>5.7884000000000002</v>
      </c>
    </row>
    <row r="17" spans="1:13" x14ac:dyDescent="0.2">
      <c r="A17" s="119"/>
      <c r="B17" s="18" t="s">
        <v>116</v>
      </c>
      <c r="C17" s="41">
        <v>-1.979764537030082E-2</v>
      </c>
      <c r="D17" s="14">
        <f>0.0206*J17^-0.579</f>
        <v>3.8575229720133719E-2</v>
      </c>
      <c r="G17" s="40">
        <v>1</v>
      </c>
      <c r="H17" s="14"/>
      <c r="I17" s="14"/>
      <c r="J17" s="14">
        <v>0.33842493000000001</v>
      </c>
      <c r="K17" s="43">
        <v>2</v>
      </c>
      <c r="L17" s="42">
        <v>0.51370000000000005</v>
      </c>
      <c r="M17" s="44">
        <f t="shared" si="2"/>
        <v>5.95892</v>
      </c>
    </row>
    <row r="18" spans="1:13" x14ac:dyDescent="0.2">
      <c r="A18" s="119"/>
      <c r="B18" s="18" t="s">
        <v>117</v>
      </c>
      <c r="C18" s="41">
        <v>1.2658554333411232E-2</v>
      </c>
      <c r="D18" s="19">
        <f>0.0198*J18^-0.47363</f>
        <v>2.8970506736145939E-2</v>
      </c>
      <c r="G18" s="40">
        <v>2</v>
      </c>
      <c r="H18" s="14">
        <v>5.2047940177786155E-2</v>
      </c>
      <c r="I18" s="14">
        <v>3.5673959999999998E-2</v>
      </c>
      <c r="J18" s="14">
        <v>0.44772629544999998</v>
      </c>
      <c r="K18" s="43">
        <v>3</v>
      </c>
      <c r="L18" s="44">
        <f>M18/11.6</f>
        <v>1.0533842029337135</v>
      </c>
      <c r="M18" s="44">
        <v>12.219256754031077</v>
      </c>
    </row>
    <row r="19" spans="1:13" x14ac:dyDescent="0.2">
      <c r="A19" s="119"/>
      <c r="B19" s="18" t="s">
        <v>113</v>
      </c>
      <c r="C19" s="41">
        <v>-6.4100758749482028E-3</v>
      </c>
      <c r="D19" s="19">
        <f>0.0198*J19^-0.47363</f>
        <v>4.3590393803195952E-2</v>
      </c>
      <c r="G19" s="40">
        <v>2</v>
      </c>
      <c r="H19" s="14">
        <v>5.4281899408545053E-2</v>
      </c>
      <c r="I19" s="14">
        <v>4.2259150999999995E-2</v>
      </c>
      <c r="J19" s="14">
        <v>0.188966735</v>
      </c>
      <c r="K19" s="43">
        <v>3</v>
      </c>
      <c r="L19" s="44">
        <f>5.015/11.6</f>
        <v>0.43232758620689654</v>
      </c>
      <c r="M19" s="44">
        <v>5.0149999999999997</v>
      </c>
    </row>
    <row r="20" spans="1:13" x14ac:dyDescent="0.2">
      <c r="A20" s="119"/>
      <c r="B20" s="18"/>
      <c r="C20" s="41"/>
      <c r="D20" s="19"/>
      <c r="G20" s="40"/>
      <c r="H20" s="14"/>
      <c r="I20" s="14"/>
      <c r="J20" s="14"/>
      <c r="K20" s="43"/>
    </row>
    <row r="21" spans="1:13" x14ac:dyDescent="0.2">
      <c r="A21" s="119"/>
      <c r="B21" s="7" t="s">
        <v>110</v>
      </c>
      <c r="C21" s="41">
        <f>AVERAGE(C15:C19)</f>
        <v>-6.1975430644715477E-3</v>
      </c>
      <c r="D21" s="14">
        <f>AVERAGE(D15:D19)</f>
        <v>3.8834167527732735E-2</v>
      </c>
      <c r="E21" s="19">
        <f>2*STDEV(C15:C19)</f>
        <v>2.386863935599785E-2</v>
      </c>
      <c r="F21" s="18">
        <f>COUNT(C15:C19)</f>
        <v>5</v>
      </c>
      <c r="G21" s="40"/>
      <c r="H21" s="14">
        <f>AVERAGE(H16:H19)</f>
        <v>5.3164919793165608E-2</v>
      </c>
      <c r="I21" s="14">
        <f>AVERAGE(I16:I19)</f>
        <v>3.89665555E-2</v>
      </c>
      <c r="J21" s="14"/>
      <c r="K21" s="43"/>
    </row>
    <row r="22" spans="1:13" x14ac:dyDescent="0.2">
      <c r="C22" s="45"/>
      <c r="G22" s="18"/>
      <c r="H22" s="17"/>
      <c r="I22" s="17"/>
      <c r="J22" s="17"/>
      <c r="K22" s="40"/>
    </row>
    <row r="23" spans="1:13" x14ac:dyDescent="0.2">
      <c r="A23" s="18" t="s">
        <v>100</v>
      </c>
      <c r="B23" s="51" t="s">
        <v>130</v>
      </c>
      <c r="C23" s="41">
        <v>-3.3805123853536401E-2</v>
      </c>
      <c r="D23" s="14">
        <f>0.0206*J23^-0.579</f>
        <v>6.6070565246287016E-2</v>
      </c>
      <c r="F23" s="18"/>
      <c r="G23" s="18">
        <v>1</v>
      </c>
      <c r="H23" s="14"/>
      <c r="I23" s="14">
        <v>7.1926699999999996E-2</v>
      </c>
      <c r="J23" s="14">
        <v>0.13360917</v>
      </c>
      <c r="K23" s="43">
        <v>2</v>
      </c>
      <c r="L23" s="44">
        <v>3.3475100000000002</v>
      </c>
      <c r="M23" s="44">
        <f>0.58*L23</f>
        <v>1.9415557999999999</v>
      </c>
    </row>
    <row r="24" spans="1:13" x14ac:dyDescent="0.2">
      <c r="A24" s="18"/>
      <c r="B24" s="18" t="s">
        <v>319</v>
      </c>
      <c r="C24" s="41">
        <v>-8.4289898501066496E-2</v>
      </c>
      <c r="D24" s="19">
        <v>5.7578361564584235E-2</v>
      </c>
      <c r="F24" s="18"/>
      <c r="G24" s="18">
        <v>2</v>
      </c>
      <c r="H24" s="19">
        <v>9.3989908388449742E-2</v>
      </c>
      <c r="I24" s="19">
        <v>4.6487513000000001E-2</v>
      </c>
      <c r="J24" s="19">
        <v>0.104939565</v>
      </c>
      <c r="K24" s="43">
        <v>2</v>
      </c>
      <c r="L24" s="44">
        <v>4.28</v>
      </c>
      <c r="M24" s="44">
        <v>2.5299999999999998</v>
      </c>
    </row>
    <row r="25" spans="1:13" x14ac:dyDescent="0.2">
      <c r="A25" s="18"/>
      <c r="B25" s="18"/>
      <c r="C25" s="41"/>
      <c r="F25" s="18"/>
      <c r="G25" s="18"/>
      <c r="I25" s="19"/>
      <c r="J25" s="19"/>
      <c r="K25" s="43"/>
      <c r="L25" s="44"/>
      <c r="M25" s="44"/>
    </row>
    <row r="26" spans="1:13" x14ac:dyDescent="0.2">
      <c r="A26" s="18"/>
      <c r="B26" s="7" t="s">
        <v>110</v>
      </c>
      <c r="C26" s="41">
        <f>AVERAGE(C23:C24)</f>
        <v>-5.9047511177301448E-2</v>
      </c>
      <c r="D26" s="14">
        <f>AVERAGE(D23:D24)</f>
        <v>6.1824463405435626E-2</v>
      </c>
      <c r="E26" s="19">
        <f>2*STDEV(C23:C24)</f>
        <v>7.1396252999886445E-2</v>
      </c>
      <c r="F26" s="18">
        <v>2</v>
      </c>
      <c r="G26" s="18"/>
      <c r="H26" s="14"/>
      <c r="I26" s="19"/>
      <c r="J26" s="19"/>
      <c r="K26" s="43"/>
      <c r="L26" s="44"/>
      <c r="M26" s="44"/>
    </row>
    <row r="27" spans="1:13" x14ac:dyDescent="0.2">
      <c r="A27" s="18"/>
      <c r="C27" s="41"/>
      <c r="D27" s="14"/>
      <c r="F27" s="18"/>
      <c r="G27" s="18"/>
      <c r="H27" s="14"/>
      <c r="I27" s="18"/>
      <c r="J27" s="18"/>
      <c r="K27" s="43"/>
      <c r="L27" s="18"/>
      <c r="M27" s="44"/>
    </row>
    <row r="28" spans="1:13" x14ac:dyDescent="0.2">
      <c r="A28" s="18" t="s">
        <v>101</v>
      </c>
      <c r="B28" s="18" t="s">
        <v>131</v>
      </c>
      <c r="C28" s="41">
        <v>-6.2597443628575888E-2</v>
      </c>
      <c r="D28" s="14">
        <f>0.0206*J28^-0.579</f>
        <v>7.0560730630501736E-2</v>
      </c>
      <c r="F28" s="18">
        <v>1</v>
      </c>
      <c r="G28" s="18">
        <v>1</v>
      </c>
      <c r="H28" s="14"/>
      <c r="I28" s="14">
        <v>0.06</v>
      </c>
      <c r="J28" s="14">
        <v>0.1192664784</v>
      </c>
      <c r="K28" s="43">
        <v>2</v>
      </c>
      <c r="L28" s="44">
        <v>1.39849</v>
      </c>
      <c r="M28" s="44">
        <f>0.65*L28</f>
        <v>0.90901850000000006</v>
      </c>
    </row>
    <row r="29" spans="1:13" x14ac:dyDescent="0.2">
      <c r="C29" s="41"/>
      <c r="D29" s="14"/>
      <c r="F29" s="18"/>
      <c r="G29" s="18"/>
      <c r="H29" s="14"/>
      <c r="I29" s="14"/>
      <c r="J29" s="14"/>
      <c r="K29" s="43"/>
      <c r="L29" s="18"/>
      <c r="M29" s="44"/>
    </row>
    <row r="30" spans="1:13" x14ac:dyDescent="0.2">
      <c r="A30" s="18" t="s">
        <v>120</v>
      </c>
      <c r="B30" s="18" t="s">
        <v>128</v>
      </c>
      <c r="C30" s="41">
        <v>-6.5709375185463159E-4</v>
      </c>
      <c r="D30" s="19">
        <f>0.0198*J30^-0.47363</f>
        <v>8.0209141366691217E-2</v>
      </c>
      <c r="F30" s="18">
        <v>1</v>
      </c>
      <c r="G30" s="18">
        <v>2</v>
      </c>
      <c r="H30" s="14">
        <v>4.2770246325517208E-2</v>
      </c>
      <c r="I30" s="14">
        <v>8.2743834000000002E-2</v>
      </c>
      <c r="J30" s="14">
        <v>5.2146998999999999E-2</v>
      </c>
      <c r="K30" s="43">
        <v>3</v>
      </c>
      <c r="L30" s="44">
        <f>0.6983+0.469+0.5707+0.5774+0.4841+0.5327+0.4655+0.5213+0.4484+0.5556+0.4734+0.6248</f>
        <v>6.4212000000000007</v>
      </c>
      <c r="M30" s="44">
        <f>L30*0.21</f>
        <v>1.348452</v>
      </c>
    </row>
    <row r="31" spans="1:13" x14ac:dyDescent="0.2">
      <c r="A31" s="18"/>
      <c r="B31" s="18"/>
      <c r="C31" s="1"/>
      <c r="F31" s="18"/>
      <c r="J31" s="1"/>
    </row>
    <row r="32" spans="1:13" x14ac:dyDescent="0.2">
      <c r="A32" s="18" t="s">
        <v>103</v>
      </c>
      <c r="B32" s="51" t="s">
        <v>132</v>
      </c>
      <c r="C32" s="41">
        <v>-1.3868295314911627E-2</v>
      </c>
      <c r="D32" s="19">
        <f>H32</f>
        <v>2.8125331831855591E-2</v>
      </c>
      <c r="F32" s="18">
        <v>1</v>
      </c>
      <c r="G32" s="18">
        <v>4</v>
      </c>
      <c r="H32" s="14">
        <v>2.8125331831855591E-2</v>
      </c>
      <c r="I32" s="14">
        <v>4.3792576499999999E-2</v>
      </c>
      <c r="J32" s="14">
        <v>0.18754945917499999</v>
      </c>
      <c r="K32" s="43">
        <v>2</v>
      </c>
      <c r="L32" s="44">
        <v>0.36699999999999999</v>
      </c>
      <c r="M32" s="44">
        <v>22</v>
      </c>
    </row>
    <row r="33" spans="1:13" x14ac:dyDescent="0.2">
      <c r="C33" s="1"/>
      <c r="I33" s="1"/>
      <c r="J33" s="1"/>
    </row>
    <row r="34" spans="1:13" x14ac:dyDescent="0.2">
      <c r="A34" s="119" t="s">
        <v>104</v>
      </c>
      <c r="B34" s="18" t="s">
        <v>121</v>
      </c>
      <c r="C34" s="41">
        <v>0.19873302337691801</v>
      </c>
      <c r="D34" s="19">
        <v>3.9804802846082732E-2</v>
      </c>
      <c r="G34" s="40">
        <v>2</v>
      </c>
      <c r="H34" s="14">
        <v>1.4658688270458872E-2</v>
      </c>
      <c r="I34" s="14"/>
      <c r="J34" s="14">
        <v>0.22892300999999998</v>
      </c>
      <c r="K34" s="43">
        <v>2</v>
      </c>
      <c r="L34" s="19">
        <v>0.14888571428571429</v>
      </c>
      <c r="M34" s="44">
        <v>11.956521739130435</v>
      </c>
    </row>
    <row r="35" spans="1:13" x14ac:dyDescent="0.2">
      <c r="A35" s="119"/>
      <c r="B35" s="18" t="s">
        <v>122</v>
      </c>
      <c r="C35" s="41">
        <v>0.17788763790216322</v>
      </c>
      <c r="D35" s="14">
        <v>5.7912283958377282E-2</v>
      </c>
      <c r="G35" s="40">
        <v>1</v>
      </c>
      <c r="H35" s="14"/>
      <c r="I35" s="14"/>
      <c r="J35" s="14">
        <v>0.16776129000000001</v>
      </c>
      <c r="K35" s="43">
        <v>2</v>
      </c>
      <c r="L35" s="19">
        <f>0.07064/2</f>
        <v>3.5319999999999997E-2</v>
      </c>
      <c r="M35" s="44">
        <f>85*L35</f>
        <v>3.0021999999999998</v>
      </c>
    </row>
    <row r="36" spans="1:13" x14ac:dyDescent="0.2">
      <c r="A36" s="119"/>
      <c r="C36" s="41"/>
      <c r="D36" s="19"/>
      <c r="G36" s="18"/>
      <c r="J36" s="46"/>
      <c r="K36" s="18"/>
    </row>
    <row r="37" spans="1:13" x14ac:dyDescent="0.2">
      <c r="A37" s="119"/>
      <c r="B37" s="7" t="s">
        <v>110</v>
      </c>
      <c r="C37" s="41">
        <f>AVERAGE(C34:C35)</f>
        <v>0.18831033063954061</v>
      </c>
      <c r="D37" s="14">
        <f>AVERAGE(D34:D35)</f>
        <v>4.8858543402230004E-2</v>
      </c>
      <c r="E37" s="19">
        <f>2*STDEV(C34:C35)</f>
        <v>2.9479826851293335E-2</v>
      </c>
      <c r="F37" s="18">
        <f>COUNT(C33:C35)</f>
        <v>2</v>
      </c>
      <c r="G37" s="18"/>
      <c r="H37" s="14">
        <f>AVERAGE(H34:H35)</f>
        <v>1.4658688270458872E-2</v>
      </c>
      <c r="I37" s="14"/>
      <c r="J37" s="19"/>
      <c r="K37" s="18"/>
    </row>
    <row r="38" spans="1:13" ht="17" thickBot="1" x14ac:dyDescent="0.25">
      <c r="A38" s="63"/>
      <c r="B38" s="58"/>
      <c r="C38" s="59"/>
      <c r="D38" s="59"/>
      <c r="E38" s="60"/>
      <c r="F38" s="61"/>
      <c r="G38" s="61"/>
      <c r="H38" s="62"/>
      <c r="I38" s="62"/>
      <c r="J38" s="60"/>
      <c r="K38" s="61"/>
      <c r="L38" s="62"/>
      <c r="M38" s="62"/>
    </row>
    <row r="40" spans="1:13" x14ac:dyDescent="0.2">
      <c r="A40" s="18" t="s">
        <v>133</v>
      </c>
      <c r="B40" s="18" t="s">
        <v>140</v>
      </c>
      <c r="C40" s="41">
        <v>0.48574920170955477</v>
      </c>
      <c r="D40" s="19">
        <f>0.0198*J40^-0.47363</f>
        <v>2.7159125876799591E-2</v>
      </c>
      <c r="G40" s="18">
        <v>2</v>
      </c>
      <c r="H40" s="14">
        <v>1.3222914223010165E-2</v>
      </c>
      <c r="I40" s="14">
        <v>2.9911149999999997E-2</v>
      </c>
      <c r="J40" s="14">
        <v>0.51311602000000001</v>
      </c>
      <c r="K40" s="43">
        <v>3</v>
      </c>
      <c r="L40" s="44">
        <v>4.5</v>
      </c>
      <c r="M40" s="44">
        <v>12</v>
      </c>
    </row>
    <row r="41" spans="1:13" x14ac:dyDescent="0.2">
      <c r="A41" s="18"/>
      <c r="B41" s="18"/>
      <c r="C41" s="41"/>
      <c r="D41" s="19"/>
      <c r="G41" s="18"/>
      <c r="H41" s="14"/>
      <c r="I41" s="14"/>
      <c r="J41" s="14"/>
      <c r="K41" s="43"/>
      <c r="L41" s="44"/>
      <c r="M41" s="44"/>
    </row>
    <row r="42" spans="1:13" x14ac:dyDescent="0.2">
      <c r="A42" s="18" t="s">
        <v>134</v>
      </c>
      <c r="B42" s="18" t="s">
        <v>141</v>
      </c>
      <c r="C42" s="41">
        <v>0.50241681750643841</v>
      </c>
      <c r="D42" s="19">
        <f>0.0198*J42^-0.47363</f>
        <v>5.6063322268518692E-2</v>
      </c>
      <c r="G42" s="18">
        <v>2</v>
      </c>
      <c r="H42" s="14">
        <v>1.0142229904016298E-2</v>
      </c>
      <c r="I42" s="14">
        <v>6.520558600000001E-2</v>
      </c>
      <c r="J42" s="14">
        <v>0.111080995</v>
      </c>
      <c r="K42" s="43">
        <v>3</v>
      </c>
      <c r="L42" s="44">
        <v>0.4</v>
      </c>
      <c r="M42" s="44">
        <v>2.5</v>
      </c>
    </row>
    <row r="43" spans="1:13" x14ac:dyDescent="0.2">
      <c r="A43" s="18"/>
      <c r="B43" s="18"/>
      <c r="C43" s="41"/>
      <c r="D43" s="19"/>
      <c r="G43" s="18"/>
      <c r="H43" s="14"/>
      <c r="I43" s="14"/>
      <c r="J43" s="14"/>
      <c r="K43" s="43"/>
      <c r="L43" s="44"/>
      <c r="M43" s="44"/>
    </row>
    <row r="44" spans="1:13" x14ac:dyDescent="0.2">
      <c r="A44" s="18" t="s">
        <v>135</v>
      </c>
      <c r="B44" s="7" t="s">
        <v>139</v>
      </c>
      <c r="C44" s="41">
        <v>0.42829988561362181</v>
      </c>
      <c r="D44" s="19">
        <f>0.0198*J44^-0.47363</f>
        <v>5.6164145653545355E-2</v>
      </c>
      <c r="G44" s="18">
        <v>2</v>
      </c>
      <c r="H44" s="14">
        <v>2.3532154650444788E-2</v>
      </c>
      <c r="I44" s="14">
        <v>6.8784558999999995E-2</v>
      </c>
      <c r="J44" s="14">
        <v>0.11066039499999999</v>
      </c>
      <c r="K44" s="43">
        <v>3</v>
      </c>
      <c r="L44" s="44">
        <v>1.5</v>
      </c>
      <c r="M44" s="44">
        <v>3</v>
      </c>
    </row>
    <row r="45" spans="1:13" x14ac:dyDescent="0.2">
      <c r="A45" s="18"/>
    </row>
    <row r="46" spans="1:13" x14ac:dyDescent="0.2">
      <c r="A46" s="18" t="s">
        <v>136</v>
      </c>
      <c r="B46" s="7" t="s">
        <v>142</v>
      </c>
      <c r="C46" s="41">
        <v>0.48566883400343502</v>
      </c>
      <c r="D46" s="19">
        <f>0.0198*J46^-0.47363</f>
        <v>5.6757291683663259E-2</v>
      </c>
      <c r="G46" s="18">
        <v>2</v>
      </c>
      <c r="H46" s="14">
        <v>2.5990786591669601E-2</v>
      </c>
      <c r="I46" s="14">
        <v>5.5470799000000001E-2</v>
      </c>
      <c r="J46" s="14">
        <v>0.108232865</v>
      </c>
      <c r="K46" s="43">
        <v>3</v>
      </c>
      <c r="L46" s="44">
        <v>1.5</v>
      </c>
      <c r="M46" s="44">
        <v>3</v>
      </c>
    </row>
    <row r="47" spans="1:13" x14ac:dyDescent="0.2">
      <c r="A47" s="18"/>
    </row>
    <row r="48" spans="1:13" x14ac:dyDescent="0.2">
      <c r="A48" s="18" t="s">
        <v>137</v>
      </c>
      <c r="B48" s="7" t="s">
        <v>143</v>
      </c>
      <c r="C48" s="41">
        <v>0.41380138496630953</v>
      </c>
      <c r="D48" s="19">
        <f>0.0198*J48^-0.47363</f>
        <v>5.9639236100822321E-2</v>
      </c>
      <c r="G48" s="18">
        <v>2</v>
      </c>
      <c r="H48" s="14">
        <v>1.883732434855976E-2</v>
      </c>
      <c r="I48" s="14">
        <v>6.3652072000000004E-2</v>
      </c>
      <c r="J48" s="14">
        <v>9.7486189500000001E-2</v>
      </c>
      <c r="K48" s="43">
        <v>3</v>
      </c>
      <c r="L48" s="44">
        <v>1.5</v>
      </c>
      <c r="M48" s="44">
        <v>3</v>
      </c>
    </row>
    <row r="49" spans="1:13" x14ac:dyDescent="0.2">
      <c r="A49" s="18"/>
    </row>
    <row r="50" spans="1:13" x14ac:dyDescent="0.2">
      <c r="A50" s="18" t="s">
        <v>138</v>
      </c>
      <c r="B50" s="18" t="s">
        <v>144</v>
      </c>
      <c r="C50" s="41">
        <v>0.3807669423481948</v>
      </c>
      <c r="D50" s="19">
        <f>0.0198*J50^-0.47363</f>
        <v>5.7455692128424267E-2</v>
      </c>
      <c r="G50" s="18">
        <v>2</v>
      </c>
      <c r="H50" s="14">
        <v>2.6296128470141237E-2</v>
      </c>
      <c r="I50" s="14">
        <v>5.5943004000000005E-2</v>
      </c>
      <c r="J50" s="14">
        <v>0.10547387999999999</v>
      </c>
      <c r="K50" s="43">
        <v>3</v>
      </c>
      <c r="L50" s="44">
        <v>2.5</v>
      </c>
      <c r="M50" s="44">
        <v>2.5</v>
      </c>
    </row>
    <row r="51" spans="1:13" ht="17" thickBot="1" x14ac:dyDescent="0.25">
      <c r="A51" s="63"/>
      <c r="B51" s="58"/>
      <c r="C51" s="59"/>
      <c r="D51" s="59"/>
      <c r="E51" s="60"/>
      <c r="F51" s="61"/>
      <c r="G51" s="61"/>
      <c r="H51" s="62"/>
      <c r="I51" s="62"/>
      <c r="J51" s="60"/>
      <c r="K51" s="61"/>
      <c r="L51" s="62"/>
      <c r="M51" s="62"/>
    </row>
    <row r="52" spans="1:13" x14ac:dyDescent="0.2">
      <c r="A52" s="18"/>
      <c r="B52" s="18"/>
      <c r="C52" s="41"/>
      <c r="D52" s="19"/>
      <c r="G52" s="18"/>
      <c r="H52" s="14"/>
      <c r="I52" s="14"/>
      <c r="J52" s="14"/>
      <c r="K52" s="43"/>
      <c r="L52" s="44"/>
      <c r="M52" s="44"/>
    </row>
    <row r="53" spans="1:13" x14ac:dyDescent="0.2">
      <c r="A53" s="120" t="s">
        <v>318</v>
      </c>
      <c r="B53" s="113" t="s">
        <v>311</v>
      </c>
      <c r="C53" s="41">
        <v>0.18778309914146973</v>
      </c>
      <c r="D53" s="19">
        <v>4.3213272534634119E-2</v>
      </c>
      <c r="G53" s="18">
        <v>2</v>
      </c>
      <c r="H53" s="19">
        <v>2.1073890199467184E-2</v>
      </c>
      <c r="I53" s="19">
        <v>4.1061922000000001E-2</v>
      </c>
      <c r="J53" s="19">
        <v>0.192465475</v>
      </c>
      <c r="K53" s="43">
        <v>2</v>
      </c>
      <c r="M53" s="44">
        <f>0.053*95</f>
        <v>5.0350000000000001</v>
      </c>
    </row>
    <row r="54" spans="1:13" x14ac:dyDescent="0.2">
      <c r="A54" s="120"/>
      <c r="B54" s="113" t="s">
        <v>312</v>
      </c>
      <c r="C54" s="41">
        <v>0.21211991210264478</v>
      </c>
      <c r="D54" s="19">
        <v>7.7677858792428126E-2</v>
      </c>
      <c r="G54" s="18">
        <v>2</v>
      </c>
      <c r="H54" s="19">
        <v>1.4700570661480619E-3</v>
      </c>
      <c r="I54" s="19">
        <v>7.9219893E-2</v>
      </c>
      <c r="J54" s="19">
        <v>5.5799888500000006E-2</v>
      </c>
      <c r="K54" s="43">
        <v>1</v>
      </c>
      <c r="M54" s="44">
        <f t="shared" ref="M54:M61" si="3">0.053*95</f>
        <v>5.0350000000000001</v>
      </c>
    </row>
    <row r="55" spans="1:13" x14ac:dyDescent="0.2">
      <c r="A55" s="120"/>
      <c r="B55" s="113" t="s">
        <v>313</v>
      </c>
      <c r="C55" s="41">
        <v>0.21899072919887944</v>
      </c>
      <c r="D55" s="19">
        <v>4.9752350835814731E-2</v>
      </c>
      <c r="G55" s="18">
        <v>2</v>
      </c>
      <c r="H55" s="19">
        <v>4.9799738883888715E-2</v>
      </c>
      <c r="I55" s="19">
        <v>4.7028932000000009E-2</v>
      </c>
      <c r="J55" s="19">
        <v>0.14293728999999999</v>
      </c>
      <c r="K55" s="43">
        <v>1</v>
      </c>
      <c r="M55" s="44">
        <f t="shared" si="3"/>
        <v>5.0350000000000001</v>
      </c>
    </row>
    <row r="56" spans="1:13" x14ac:dyDescent="0.2">
      <c r="A56" s="120"/>
      <c r="B56" s="113" t="s">
        <v>314</v>
      </c>
      <c r="C56" s="41">
        <v>0.22607610340756126</v>
      </c>
      <c r="D56" s="19">
        <v>4.6816301307550739E-2</v>
      </c>
      <c r="G56" s="18">
        <v>2</v>
      </c>
      <c r="H56" s="19">
        <v>3.6624778874256289E-2</v>
      </c>
      <c r="I56" s="19">
        <v>4.0917074999999997E-2</v>
      </c>
      <c r="J56" s="19">
        <v>0.16252497500000002</v>
      </c>
      <c r="K56" s="43">
        <v>3</v>
      </c>
      <c r="M56" s="44">
        <f t="shared" si="3"/>
        <v>5.0350000000000001</v>
      </c>
    </row>
    <row r="57" spans="1:13" x14ac:dyDescent="0.2">
      <c r="A57" s="120"/>
      <c r="B57" s="2" t="s">
        <v>315</v>
      </c>
      <c r="C57" s="41">
        <v>0.25472295852383792</v>
      </c>
      <c r="D57" s="19">
        <v>3.2560488450622593E-2</v>
      </c>
      <c r="G57" s="18">
        <v>2</v>
      </c>
      <c r="H57" s="19">
        <v>8.5842837636728227E-3</v>
      </c>
      <c r="I57" s="19">
        <v>4.2247669000000002E-2</v>
      </c>
      <c r="J57" s="19">
        <v>0.34985936314999999</v>
      </c>
      <c r="K57" s="43">
        <v>3</v>
      </c>
      <c r="M57" s="44">
        <f t="shared" si="3"/>
        <v>5.0350000000000001</v>
      </c>
    </row>
    <row r="58" spans="1:13" x14ac:dyDescent="0.2">
      <c r="A58" s="120"/>
      <c r="B58" s="2" t="s">
        <v>273</v>
      </c>
      <c r="C58" s="41">
        <v>0.20328469855690479</v>
      </c>
      <c r="D58" s="19">
        <v>5.2268995803292508E-2</v>
      </c>
      <c r="G58" s="18">
        <v>2</v>
      </c>
      <c r="H58" s="19">
        <v>9.7437830839530601E-2</v>
      </c>
      <c r="I58" s="19">
        <v>5.2356860999999991E-2</v>
      </c>
      <c r="J58" s="19">
        <v>0.12879473000000002</v>
      </c>
      <c r="K58" s="43">
        <v>3</v>
      </c>
      <c r="M58" s="44">
        <f t="shared" si="3"/>
        <v>5.0350000000000001</v>
      </c>
    </row>
    <row r="59" spans="1:13" x14ac:dyDescent="0.2">
      <c r="A59" s="120"/>
      <c r="B59" s="2" t="s">
        <v>277</v>
      </c>
      <c r="C59" s="41">
        <v>0.23146009553850119</v>
      </c>
      <c r="D59" s="19">
        <v>4.2754076071025507E-2</v>
      </c>
      <c r="G59" s="18">
        <v>2</v>
      </c>
      <c r="H59" s="19">
        <v>5.7546109860580882E-2</v>
      </c>
      <c r="I59" s="19">
        <v>5.3282176000000001E-2</v>
      </c>
      <c r="J59" s="19">
        <v>0.19685603499999998</v>
      </c>
      <c r="K59" s="43">
        <v>3</v>
      </c>
      <c r="M59" s="44">
        <f t="shared" si="3"/>
        <v>5.0350000000000001</v>
      </c>
    </row>
    <row r="60" spans="1:13" x14ac:dyDescent="0.2">
      <c r="A60" s="120"/>
      <c r="B60" s="2" t="s">
        <v>316</v>
      </c>
      <c r="C60" s="41">
        <v>0.26225954181528327</v>
      </c>
      <c r="D60" s="19">
        <v>4.4214864200782418E-2</v>
      </c>
      <c r="G60" s="18">
        <v>2</v>
      </c>
      <c r="H60" s="19">
        <v>7.3228110294263427E-3</v>
      </c>
      <c r="I60" s="19">
        <v>4.7918493999999999E-2</v>
      </c>
      <c r="J60" s="19">
        <v>0.18337598999999999</v>
      </c>
      <c r="K60" s="43">
        <v>1</v>
      </c>
      <c r="M60" s="44">
        <f t="shared" si="3"/>
        <v>5.0350000000000001</v>
      </c>
    </row>
    <row r="61" spans="1:13" x14ac:dyDescent="0.2">
      <c r="A61" s="120"/>
      <c r="B61" s="2" t="s">
        <v>317</v>
      </c>
      <c r="C61" s="41">
        <v>0.2256106476978085</v>
      </c>
      <c r="D61" s="19">
        <v>4.4391351789428574E-2</v>
      </c>
      <c r="G61" s="18">
        <v>2</v>
      </c>
      <c r="H61" s="19">
        <v>3.9462915377114889E-2</v>
      </c>
      <c r="I61" s="19">
        <v>4.4632752999999997E-2</v>
      </c>
      <c r="J61" s="19">
        <v>0.181840105</v>
      </c>
      <c r="K61" s="43">
        <v>1</v>
      </c>
      <c r="M61" s="44">
        <f t="shared" si="3"/>
        <v>5.0350000000000001</v>
      </c>
    </row>
    <row r="62" spans="1:13" x14ac:dyDescent="0.2">
      <c r="A62" s="120"/>
      <c r="C62" s="41"/>
      <c r="D62" s="17"/>
    </row>
    <row r="63" spans="1:13" x14ac:dyDescent="0.2">
      <c r="A63" s="120"/>
      <c r="B63" s="7" t="s">
        <v>110</v>
      </c>
      <c r="C63" s="41">
        <f>AVERAGE(C53:C61)</f>
        <v>0.22470086510921009</v>
      </c>
      <c r="D63" s="14">
        <f>AVERAGE(D53:D61)</f>
        <v>4.8183284420619921E-2</v>
      </c>
      <c r="E63" s="19">
        <f>2*STDEV(C53:C61)</f>
        <v>4.6759203020115554E-2</v>
      </c>
      <c r="F63" s="18">
        <f>COUNT(C53:C61)</f>
        <v>9</v>
      </c>
    </row>
    <row r="65" spans="1:1" x14ac:dyDescent="0.2">
      <c r="A65" s="48" t="s">
        <v>145</v>
      </c>
    </row>
    <row r="66" spans="1:1" x14ac:dyDescent="0.2">
      <c r="A66" s="48" t="s">
        <v>146</v>
      </c>
    </row>
    <row r="67" spans="1:1" x14ac:dyDescent="0.2">
      <c r="A67" s="48" t="s">
        <v>147</v>
      </c>
    </row>
  </sheetData>
  <mergeCells count="5">
    <mergeCell ref="A2:A7"/>
    <mergeCell ref="A9:A13"/>
    <mergeCell ref="A15:A21"/>
    <mergeCell ref="A34:A37"/>
    <mergeCell ref="A53:A63"/>
  </mergeCells>
  <phoneticPr fontId="21" type="noConversion"/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2" sqref="C22"/>
    </sheetView>
  </sheetViews>
  <sheetFormatPr baseColWidth="10" defaultRowHeight="16" x14ac:dyDescent="0.2"/>
  <cols>
    <col min="2" max="2" width="15" customWidth="1"/>
  </cols>
  <sheetData>
    <row r="1" spans="1:10" s="5" customFormat="1" ht="54" customHeight="1" x14ac:dyDescent="0.2">
      <c r="A1" s="10" t="s">
        <v>0</v>
      </c>
      <c r="B1" s="10" t="s">
        <v>151</v>
      </c>
      <c r="C1" s="31" t="s">
        <v>41</v>
      </c>
      <c r="D1" s="10" t="s">
        <v>4</v>
      </c>
      <c r="E1" s="10"/>
      <c r="F1" s="10" t="s">
        <v>26</v>
      </c>
      <c r="G1" s="21" t="s">
        <v>24</v>
      </c>
      <c r="H1" s="10" t="s">
        <v>23</v>
      </c>
      <c r="I1" s="10" t="s">
        <v>21</v>
      </c>
    </row>
    <row r="2" spans="1:10" x14ac:dyDescent="0.2">
      <c r="A2" s="18" t="s">
        <v>149</v>
      </c>
      <c r="B2" s="18">
        <v>5</v>
      </c>
      <c r="C2" s="15">
        <v>0.19231548410147958</v>
      </c>
      <c r="D2" s="14">
        <v>4.3298811248105043E-2</v>
      </c>
      <c r="E2" s="14"/>
      <c r="F2" s="18">
        <v>1</v>
      </c>
      <c r="G2" s="19"/>
      <c r="H2" s="19">
        <v>2.7862640000000001E-2</v>
      </c>
      <c r="I2" s="19">
        <v>0.2772154</v>
      </c>
    </row>
    <row r="3" spans="1:10" x14ac:dyDescent="0.2">
      <c r="A3" s="18" t="s">
        <v>149</v>
      </c>
      <c r="B3" s="18">
        <v>5</v>
      </c>
      <c r="C3" s="15">
        <v>0.24077748195483473</v>
      </c>
      <c r="D3" s="14">
        <v>4.309162055769257E-2</v>
      </c>
      <c r="E3" s="14"/>
      <c r="F3" s="18">
        <v>1</v>
      </c>
      <c r="G3" s="19"/>
      <c r="H3" s="19">
        <v>4.8650618E-2</v>
      </c>
      <c r="I3" s="19">
        <v>0.27952147999999999</v>
      </c>
    </row>
    <row r="4" spans="1:10" x14ac:dyDescent="0.2">
      <c r="A4" s="18" t="s">
        <v>5</v>
      </c>
      <c r="B4" s="18">
        <v>10</v>
      </c>
      <c r="C4" s="41">
        <v>0.19862245300195092</v>
      </c>
      <c r="D4" s="19">
        <v>3.6070141973790465E-2</v>
      </c>
      <c r="E4" s="19"/>
      <c r="F4" s="18">
        <v>2</v>
      </c>
      <c r="G4" s="19">
        <v>4.6771665820894023E-2</v>
      </c>
      <c r="H4" s="19">
        <v>3.4362285999999999E-2</v>
      </c>
      <c r="I4" s="19">
        <v>0.28185725500000003</v>
      </c>
    </row>
    <row r="5" spans="1:10" x14ac:dyDescent="0.2">
      <c r="A5" s="18" t="s">
        <v>5</v>
      </c>
      <c r="B5" s="18">
        <v>10</v>
      </c>
      <c r="C5" s="41">
        <v>0.20282625684275857</v>
      </c>
      <c r="D5" s="14">
        <v>4.2764025072479978E-2</v>
      </c>
      <c r="E5" s="14"/>
      <c r="F5" s="18">
        <v>1</v>
      </c>
      <c r="G5" s="19"/>
      <c r="H5" s="19">
        <v>3.4313796000000001E-2</v>
      </c>
      <c r="I5" s="19">
        <v>0.28323002000000003</v>
      </c>
    </row>
    <row r="6" spans="1:10" x14ac:dyDescent="0.2">
      <c r="A6" s="18" t="s">
        <v>150</v>
      </c>
      <c r="B6" s="18">
        <v>40</v>
      </c>
      <c r="C6" s="41">
        <v>0.23464335530716993</v>
      </c>
      <c r="D6" s="19">
        <v>3.6320428447477023E-2</v>
      </c>
      <c r="E6" s="19"/>
      <c r="F6" s="18">
        <v>2</v>
      </c>
      <c r="G6" s="19">
        <v>4.6467734040662699E-2</v>
      </c>
      <c r="H6" s="19">
        <v>3.3313074999999998E-2</v>
      </c>
      <c r="I6" s="19">
        <v>0.27777207999999998</v>
      </c>
    </row>
    <row r="7" spans="1:10" x14ac:dyDescent="0.2">
      <c r="A7" s="18" t="s">
        <v>150</v>
      </c>
      <c r="B7" s="18">
        <v>40</v>
      </c>
      <c r="C7" s="41">
        <v>0.22856130805652222</v>
      </c>
      <c r="D7" s="19">
        <v>3.6386565283127482E-2</v>
      </c>
      <c r="E7" s="19"/>
      <c r="F7" s="18">
        <v>2</v>
      </c>
      <c r="G7" s="19">
        <v>1.851928177064615E-2</v>
      </c>
      <c r="H7" s="19">
        <v>3.7302317000000002E-2</v>
      </c>
      <c r="I7" s="19">
        <v>0.27670717</v>
      </c>
    </row>
    <row r="8" spans="1:10" x14ac:dyDescent="0.2">
      <c r="A8" s="18"/>
      <c r="B8" s="18"/>
      <c r="C8" s="41"/>
      <c r="D8" s="19"/>
      <c r="E8" s="19"/>
      <c r="F8" s="18"/>
      <c r="G8" s="19"/>
      <c r="H8" s="19"/>
      <c r="I8" s="19"/>
    </row>
    <row r="9" spans="1:10" x14ac:dyDescent="0.2">
      <c r="A9" s="29" t="s">
        <v>153</v>
      </c>
      <c r="B9" s="18"/>
      <c r="C9" s="41"/>
      <c r="D9" s="19"/>
      <c r="E9" s="19"/>
      <c r="F9" s="18"/>
      <c r="G9" s="19"/>
      <c r="H9" s="19"/>
      <c r="I9" s="19"/>
    </row>
    <row r="11" spans="1:10" ht="52" x14ac:dyDescent="0.2">
      <c r="A11" s="10" t="s">
        <v>0</v>
      </c>
      <c r="B11" s="10" t="s">
        <v>151</v>
      </c>
      <c r="C11" s="31" t="s">
        <v>41</v>
      </c>
      <c r="D11" s="21" t="s">
        <v>25</v>
      </c>
      <c r="E11" s="10"/>
      <c r="F11" s="10" t="s">
        <v>111</v>
      </c>
      <c r="G11" s="10" t="s">
        <v>21</v>
      </c>
    </row>
    <row r="12" spans="1:10" x14ac:dyDescent="0.2">
      <c r="A12" s="18" t="s">
        <v>149</v>
      </c>
      <c r="B12" s="18">
        <v>5</v>
      </c>
      <c r="C12" s="41">
        <v>0.22705447724666872</v>
      </c>
      <c r="D12" s="19">
        <v>0.13758555813651824</v>
      </c>
      <c r="F12" s="40">
        <v>5</v>
      </c>
      <c r="G12" s="19">
        <v>4.6332449999999997E-2</v>
      </c>
      <c r="H12" s="19"/>
    </row>
    <row r="13" spans="1:10" x14ac:dyDescent="0.2">
      <c r="A13" s="18" t="s">
        <v>5</v>
      </c>
      <c r="B13" s="18">
        <v>10</v>
      </c>
      <c r="C13" s="41">
        <v>0.21067074417963072</v>
      </c>
      <c r="D13" s="19">
        <v>0.11654481534055718</v>
      </c>
      <c r="F13" s="40">
        <v>4</v>
      </c>
      <c r="G13" s="19">
        <v>4.6332449999999997E-2</v>
      </c>
      <c r="H13" s="19"/>
    </row>
    <row r="14" spans="1:10" x14ac:dyDescent="0.2">
      <c r="A14" s="18" t="s">
        <v>6</v>
      </c>
      <c r="B14" s="18">
        <v>20</v>
      </c>
      <c r="C14" s="41">
        <v>0.20805489625207824</v>
      </c>
      <c r="D14" s="19">
        <v>7.7421752385165007E-2</v>
      </c>
      <c r="F14" s="40">
        <v>5</v>
      </c>
      <c r="G14" s="19">
        <v>3.8688871210459864E-2</v>
      </c>
      <c r="H14" s="19"/>
    </row>
    <row r="15" spans="1:10" x14ac:dyDescent="0.2">
      <c r="A15" s="18" t="s">
        <v>152</v>
      </c>
      <c r="B15" s="18">
        <v>50</v>
      </c>
      <c r="C15" s="41">
        <v>0.21711135101309953</v>
      </c>
      <c r="D15" s="19">
        <v>0.10349159775707642</v>
      </c>
      <c r="F15" s="40">
        <v>13</v>
      </c>
      <c r="G15" s="19">
        <v>4.6332449999999997E-2</v>
      </c>
      <c r="H15" s="19"/>
      <c r="J15" s="7"/>
    </row>
    <row r="17" spans="1:1" x14ac:dyDescent="0.2">
      <c r="A17" s="29" t="s">
        <v>154</v>
      </c>
    </row>
    <row r="19" spans="1:1" x14ac:dyDescent="0.2">
      <c r="A19" s="48" t="s">
        <v>306</v>
      </c>
    </row>
  </sheetData>
  <phoneticPr fontId="21" type="noConversion"/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>
      <pane xSplit="3" ySplit="2" topLeftCell="D67" activePane="bottomRight" state="frozen"/>
      <selection pane="topRight" activeCell="D1" sqref="D1"/>
      <selection pane="bottomLeft" activeCell="A3" sqref="A3"/>
      <selection pane="bottomRight" activeCell="I41" sqref="I41"/>
    </sheetView>
  </sheetViews>
  <sheetFormatPr baseColWidth="10" defaultRowHeight="16" x14ac:dyDescent="0.2"/>
  <cols>
    <col min="1" max="1" width="14.83203125" customWidth="1"/>
    <col min="3" max="3" width="10.83203125" style="29"/>
    <col min="7" max="7" width="12.6640625" customWidth="1"/>
    <col min="8" max="8" width="10.83203125" style="55"/>
    <col min="12" max="12" width="10.83203125" style="29"/>
    <col min="13" max="13" width="10.83203125" style="55"/>
  </cols>
  <sheetData>
    <row r="1" spans="1:15" ht="17" thickBot="1" x14ac:dyDescent="0.25">
      <c r="A1" s="9"/>
      <c r="B1" s="9"/>
      <c r="C1" s="121" t="s">
        <v>282</v>
      </c>
      <c r="D1" s="121"/>
      <c r="E1" s="121"/>
      <c r="F1" s="121"/>
      <c r="G1" s="121"/>
      <c r="H1" s="80"/>
      <c r="I1" s="121" t="s">
        <v>287</v>
      </c>
      <c r="J1" s="121"/>
      <c r="K1" s="121"/>
      <c r="L1" s="121"/>
      <c r="M1" s="79"/>
      <c r="N1" s="121" t="s">
        <v>286</v>
      </c>
      <c r="O1" s="121"/>
    </row>
    <row r="2" spans="1:15" ht="50" customHeight="1" x14ac:dyDescent="0.2">
      <c r="A2" s="122" t="s">
        <v>0</v>
      </c>
      <c r="B2" s="122"/>
      <c r="C2" s="10" t="s">
        <v>155</v>
      </c>
      <c r="D2" s="10" t="s">
        <v>279</v>
      </c>
      <c r="E2" s="10" t="s">
        <v>280</v>
      </c>
      <c r="F2" s="10" t="s">
        <v>288</v>
      </c>
      <c r="G2" s="10" t="s">
        <v>281</v>
      </c>
      <c r="H2" s="10"/>
      <c r="I2" s="10" t="s">
        <v>283</v>
      </c>
      <c r="J2" s="10" t="s">
        <v>284</v>
      </c>
      <c r="K2" s="10" t="s">
        <v>148</v>
      </c>
      <c r="L2" s="10" t="s">
        <v>285</v>
      </c>
      <c r="M2" s="10"/>
      <c r="N2" s="10" t="s">
        <v>156</v>
      </c>
      <c r="O2" s="10" t="s">
        <v>45</v>
      </c>
    </row>
    <row r="3" spans="1:15" x14ac:dyDescent="0.2">
      <c r="A3" s="55" t="s">
        <v>157</v>
      </c>
      <c r="B3" s="52" t="s">
        <v>158</v>
      </c>
      <c r="C3" s="50" t="s">
        <v>159</v>
      </c>
      <c r="D3" s="65">
        <f>0.23687*1000*5.09/20.2</f>
        <v>59.686549504950499</v>
      </c>
      <c r="E3" s="54">
        <v>11.326679729186287</v>
      </c>
      <c r="F3" s="54"/>
      <c r="G3" s="56"/>
      <c r="H3" s="52"/>
      <c r="I3" s="52"/>
      <c r="J3" s="52"/>
      <c r="K3" s="52"/>
      <c r="L3" s="64"/>
      <c r="M3" s="52"/>
      <c r="N3" s="37">
        <f t="shared" ref="N3:N9" si="0">(E3-I$12)/I$12*100</f>
        <v>-10.105716435029468</v>
      </c>
      <c r="O3" s="54"/>
    </row>
    <row r="4" spans="1:15" x14ac:dyDescent="0.2">
      <c r="A4" s="55" t="s">
        <v>160</v>
      </c>
      <c r="B4" s="52" t="s">
        <v>158</v>
      </c>
      <c r="C4" s="50" t="s">
        <v>159</v>
      </c>
      <c r="D4" s="65">
        <f>0.23687*1000*5.09/20.2</f>
        <v>59.686549504950499</v>
      </c>
      <c r="E4" s="54">
        <v>11.735234699718026</v>
      </c>
      <c r="F4" s="54"/>
      <c r="G4" s="56"/>
      <c r="H4" s="52"/>
      <c r="I4" s="52"/>
      <c r="J4" s="52"/>
      <c r="K4" s="52"/>
      <c r="L4" s="64"/>
      <c r="M4" s="52"/>
      <c r="N4" s="37">
        <f t="shared" si="0"/>
        <v>-6.8632166689045535</v>
      </c>
      <c r="O4" s="52"/>
    </row>
    <row r="5" spans="1:15" x14ac:dyDescent="0.2">
      <c r="A5" s="55" t="s">
        <v>161</v>
      </c>
      <c r="B5" s="52" t="s">
        <v>158</v>
      </c>
      <c r="C5" s="50" t="s">
        <v>159</v>
      </c>
      <c r="D5" s="65">
        <f>0.23687*1000*4.07/20.2</f>
        <v>47.725787128712874</v>
      </c>
      <c r="E5" s="54">
        <v>11.876642558837935</v>
      </c>
      <c r="F5" s="54"/>
      <c r="G5" s="56"/>
      <c r="H5" s="52"/>
      <c r="I5" s="52"/>
      <c r="J5" s="52"/>
      <c r="K5" s="52"/>
      <c r="L5" s="64"/>
      <c r="M5" s="52"/>
      <c r="N5" s="37">
        <f t="shared" si="0"/>
        <v>-5.740932072714803</v>
      </c>
      <c r="O5" s="52"/>
    </row>
    <row r="6" spans="1:15" x14ac:dyDescent="0.2">
      <c r="A6" s="55" t="s">
        <v>162</v>
      </c>
      <c r="B6" s="52" t="s">
        <v>163</v>
      </c>
      <c r="C6" s="50" t="s">
        <v>159</v>
      </c>
      <c r="D6" s="65">
        <v>499.01</v>
      </c>
      <c r="E6" s="54">
        <v>11.48505898978952</v>
      </c>
      <c r="F6" s="54"/>
      <c r="G6" s="56"/>
      <c r="H6" s="52"/>
      <c r="I6" s="52"/>
      <c r="J6" s="52"/>
      <c r="K6" s="52"/>
      <c r="L6" s="64"/>
      <c r="M6" s="52"/>
      <c r="N6" s="37">
        <f t="shared" si="0"/>
        <v>-8.8487381762736472</v>
      </c>
      <c r="O6" s="52"/>
    </row>
    <row r="7" spans="1:15" x14ac:dyDescent="0.2">
      <c r="A7" s="55" t="s">
        <v>164</v>
      </c>
      <c r="B7" s="52" t="s">
        <v>165</v>
      </c>
      <c r="C7" s="50" t="s">
        <v>159</v>
      </c>
      <c r="D7" s="65">
        <v>513.72</v>
      </c>
      <c r="E7" s="54">
        <v>12.172729415014905</v>
      </c>
      <c r="F7" s="54"/>
      <c r="G7" s="56"/>
      <c r="H7" s="52"/>
      <c r="I7" s="52"/>
      <c r="J7" s="52"/>
      <c r="K7" s="52"/>
      <c r="L7" s="64"/>
      <c r="M7" s="52"/>
      <c r="N7" s="37">
        <f t="shared" si="0"/>
        <v>-3.3910363887705954</v>
      </c>
      <c r="O7" s="52"/>
    </row>
    <row r="8" spans="1:15" x14ac:dyDescent="0.2">
      <c r="A8" s="55" t="s">
        <v>166</v>
      </c>
      <c r="B8" s="52" t="s">
        <v>167</v>
      </c>
      <c r="C8" s="50" t="s">
        <v>159</v>
      </c>
      <c r="D8" s="40">
        <v>423.27</v>
      </c>
      <c r="E8" s="54">
        <v>10.995053743224924</v>
      </c>
      <c r="F8" s="54"/>
      <c r="G8" s="56"/>
      <c r="H8" s="52"/>
      <c r="I8" s="52"/>
      <c r="J8" s="52"/>
      <c r="K8" s="52"/>
      <c r="L8" s="64"/>
      <c r="M8" s="52"/>
      <c r="N8" s="37">
        <f t="shared" si="0"/>
        <v>-12.737668704564095</v>
      </c>
      <c r="O8" s="52"/>
    </row>
    <row r="9" spans="1:15" x14ac:dyDescent="0.2">
      <c r="A9" s="49" t="s">
        <v>168</v>
      </c>
      <c r="B9" s="52" t="s">
        <v>169</v>
      </c>
      <c r="C9" s="64" t="s">
        <v>159</v>
      </c>
      <c r="D9" s="40">
        <v>294.07</v>
      </c>
      <c r="E9" s="54">
        <v>11.314963994406423</v>
      </c>
      <c r="F9" s="54"/>
      <c r="G9" s="56"/>
      <c r="H9" s="52"/>
      <c r="I9" s="52"/>
      <c r="J9" s="52"/>
      <c r="K9" s="52"/>
      <c r="L9" s="64"/>
      <c r="M9" s="52"/>
      <c r="N9" s="37">
        <f t="shared" si="0"/>
        <v>-10.198698457091881</v>
      </c>
      <c r="O9" s="52"/>
    </row>
    <row r="10" spans="1:15" x14ac:dyDescent="0.2">
      <c r="A10" s="49" t="s">
        <v>170</v>
      </c>
      <c r="B10" s="52" t="s">
        <v>171</v>
      </c>
      <c r="C10" s="50" t="s">
        <v>159</v>
      </c>
      <c r="D10" s="40">
        <v>291.75</v>
      </c>
      <c r="E10" s="54">
        <v>11.588688615553778</v>
      </c>
      <c r="F10" s="54"/>
      <c r="G10" s="56"/>
      <c r="H10" s="52"/>
      <c r="I10" s="52"/>
      <c r="J10" s="52"/>
      <c r="K10" s="52"/>
      <c r="L10" s="64"/>
      <c r="M10" s="52"/>
      <c r="N10" s="37">
        <f>(E10-I$12)/I$12*100</f>
        <v>-8.0262808289382654</v>
      </c>
      <c r="O10" s="52"/>
    </row>
    <row r="11" spans="1:15" x14ac:dyDescent="0.2">
      <c r="A11" s="49"/>
      <c r="B11" s="52"/>
      <c r="C11" s="50"/>
      <c r="D11" s="51"/>
      <c r="E11" s="54"/>
      <c r="F11" s="54"/>
      <c r="G11" s="56"/>
      <c r="H11" s="52"/>
      <c r="I11" s="52"/>
      <c r="J11" s="52"/>
      <c r="K11" s="52"/>
      <c r="L11" s="64"/>
      <c r="M11" s="52"/>
      <c r="N11" s="54"/>
      <c r="O11" s="52"/>
    </row>
    <row r="12" spans="1:15" x14ac:dyDescent="0.2">
      <c r="A12" s="66" t="s">
        <v>172</v>
      </c>
      <c r="B12" s="75"/>
      <c r="C12" s="68"/>
      <c r="D12" s="78"/>
      <c r="E12" s="83">
        <f>AVERAGE(E3:E10)</f>
        <v>11.561881468216475</v>
      </c>
      <c r="F12" s="53">
        <f>STDEV(E3:E10)*2/E12*100</f>
        <v>6.3606914012550977</v>
      </c>
      <c r="G12" s="84">
        <f>COUNT(E3:E10)</f>
        <v>8</v>
      </c>
      <c r="H12" s="75"/>
      <c r="I12" s="78">
        <v>12.6</v>
      </c>
      <c r="J12" s="85">
        <v>2</v>
      </c>
      <c r="K12" s="78">
        <v>4</v>
      </c>
      <c r="L12" s="67" t="s">
        <v>173</v>
      </c>
      <c r="M12" s="75"/>
      <c r="N12" s="53">
        <f>(E12-I12)/I12*100</f>
        <v>-8.2390359665359103</v>
      </c>
      <c r="O12" s="53">
        <f>E12/I12*100</f>
        <v>91.760964033464091</v>
      </c>
    </row>
    <row r="13" spans="1:15" x14ac:dyDescent="0.2">
      <c r="A13" s="49"/>
      <c r="B13" s="52"/>
      <c r="C13" s="50"/>
      <c r="D13" s="51"/>
      <c r="E13" s="54"/>
      <c r="F13" s="54"/>
      <c r="G13" s="56"/>
      <c r="H13" s="52"/>
      <c r="I13" s="52"/>
      <c r="J13" s="52"/>
      <c r="K13" s="52"/>
      <c r="L13" s="64"/>
      <c r="M13" s="52"/>
      <c r="N13" s="54"/>
      <c r="O13" s="52"/>
    </row>
    <row r="14" spans="1:15" x14ac:dyDescent="0.2">
      <c r="A14" s="69" t="s">
        <v>174</v>
      </c>
      <c r="B14" s="75" t="s">
        <v>175</v>
      </c>
      <c r="C14" s="67" t="s">
        <v>176</v>
      </c>
      <c r="D14" s="70">
        <v>207.7</v>
      </c>
      <c r="E14" s="53">
        <v>0.70060128663647658</v>
      </c>
      <c r="F14" s="53"/>
      <c r="G14" s="84">
        <v>1</v>
      </c>
      <c r="H14" s="75"/>
      <c r="I14" s="53">
        <v>0.65</v>
      </c>
      <c r="J14" s="75"/>
      <c r="K14" s="75">
        <v>2</v>
      </c>
      <c r="L14" s="67" t="s">
        <v>173</v>
      </c>
      <c r="M14" s="75"/>
      <c r="N14" s="53">
        <f>(E14-I14)/I14*100</f>
        <v>7.7848133286887018</v>
      </c>
      <c r="O14" s="53">
        <f>E14/I14*100</f>
        <v>107.7848133286887</v>
      </c>
    </row>
    <row r="15" spans="1:15" x14ac:dyDescent="0.2">
      <c r="A15" s="55"/>
      <c r="B15" s="52"/>
      <c r="C15" s="64"/>
      <c r="D15" s="86"/>
      <c r="E15" s="54"/>
      <c r="F15" s="54"/>
      <c r="G15" s="56"/>
      <c r="H15" s="52"/>
      <c r="I15" s="54"/>
      <c r="J15" s="52"/>
      <c r="K15" s="52"/>
      <c r="L15" s="64"/>
      <c r="M15" s="52"/>
      <c r="N15" s="54"/>
      <c r="O15" s="52"/>
    </row>
    <row r="16" spans="1:15" x14ac:dyDescent="0.2">
      <c r="A16" s="69" t="s">
        <v>177</v>
      </c>
      <c r="B16" s="75" t="s">
        <v>178</v>
      </c>
      <c r="C16" s="67" t="s">
        <v>179</v>
      </c>
      <c r="D16" s="70">
        <v>379.3</v>
      </c>
      <c r="E16" s="87">
        <v>1.4992929173776202E-2</v>
      </c>
      <c r="F16" s="53"/>
      <c r="G16" s="84">
        <v>1</v>
      </c>
      <c r="H16" s="75"/>
      <c r="I16" s="87">
        <v>1.6E-2</v>
      </c>
      <c r="J16" s="75"/>
      <c r="K16" s="75">
        <v>1</v>
      </c>
      <c r="L16" s="67" t="s">
        <v>180</v>
      </c>
      <c r="M16" s="75"/>
      <c r="N16" s="53">
        <f>(E16-I16)/I16*100</f>
        <v>-6.2941926638987384</v>
      </c>
      <c r="O16" s="53">
        <f>E16/I16*100</f>
        <v>93.705807336101259</v>
      </c>
    </row>
    <row r="17" spans="1:15" x14ac:dyDescent="0.2">
      <c r="A17" s="55"/>
      <c r="B17" s="52"/>
      <c r="C17" s="64"/>
      <c r="D17" s="86"/>
      <c r="E17" s="54"/>
      <c r="F17" s="54"/>
      <c r="G17" s="56"/>
      <c r="H17" s="52"/>
      <c r="I17" s="88"/>
      <c r="J17" s="52"/>
      <c r="K17" s="52"/>
      <c r="L17" s="64"/>
      <c r="M17" s="52"/>
      <c r="N17" s="54"/>
      <c r="O17" s="52"/>
    </row>
    <row r="18" spans="1:15" x14ac:dyDescent="0.2">
      <c r="A18" s="69" t="s">
        <v>181</v>
      </c>
      <c r="B18" s="75" t="s">
        <v>182</v>
      </c>
      <c r="C18" s="68" t="s">
        <v>183</v>
      </c>
      <c r="D18" s="70">
        <v>200.4</v>
      </c>
      <c r="E18" s="53">
        <v>0.304754713920665</v>
      </c>
      <c r="F18" s="53"/>
      <c r="G18" s="84">
        <v>1</v>
      </c>
      <c r="H18" s="75"/>
      <c r="I18" s="53">
        <v>0.32</v>
      </c>
      <c r="J18" s="53">
        <f>2*STDEV(0.319,0.316,0.3,0.354)</f>
        <v>4.5500915741700544E-2</v>
      </c>
      <c r="K18" s="75">
        <v>4</v>
      </c>
      <c r="L18" s="67" t="s">
        <v>184</v>
      </c>
      <c r="M18" s="75"/>
      <c r="N18" s="53">
        <f>(E18-I18)/I18*100</f>
        <v>-4.7641518997921901</v>
      </c>
      <c r="O18" s="53">
        <f>E18/I18*100</f>
        <v>95.235848100207804</v>
      </c>
    </row>
    <row r="19" spans="1:15" x14ac:dyDescent="0.2">
      <c r="A19" s="55"/>
      <c r="B19" s="52"/>
      <c r="C19" s="50"/>
      <c r="D19" s="89"/>
      <c r="E19" s="54"/>
      <c r="F19" s="54"/>
      <c r="G19" s="56"/>
      <c r="H19" s="52"/>
      <c r="I19" s="54"/>
      <c r="J19" s="52"/>
      <c r="K19" s="52"/>
      <c r="L19" s="64"/>
      <c r="M19" s="52"/>
      <c r="N19" s="54"/>
      <c r="O19" s="52"/>
    </row>
    <row r="20" spans="1:15" x14ac:dyDescent="0.2">
      <c r="A20" s="69" t="s">
        <v>185</v>
      </c>
      <c r="B20" s="75" t="s">
        <v>186</v>
      </c>
      <c r="C20" s="68" t="s">
        <v>187</v>
      </c>
      <c r="D20" s="70">
        <v>196.6</v>
      </c>
      <c r="E20" s="53">
        <v>0.38477130679168375</v>
      </c>
      <c r="F20" s="53"/>
      <c r="G20" s="84">
        <v>1</v>
      </c>
      <c r="H20" s="75"/>
      <c r="I20" s="53">
        <v>0.38</v>
      </c>
      <c r="J20" s="75"/>
      <c r="K20" s="75">
        <v>3</v>
      </c>
      <c r="L20" s="67" t="s">
        <v>173</v>
      </c>
      <c r="M20" s="75"/>
      <c r="N20" s="53">
        <f>(E20-I20)/I20*100</f>
        <v>1.2556070504430921</v>
      </c>
      <c r="O20" s="53">
        <f>E20/I20*100</f>
        <v>101.2556070504431</v>
      </c>
    </row>
    <row r="21" spans="1:15" x14ac:dyDescent="0.2">
      <c r="A21" s="55"/>
      <c r="B21" s="52"/>
      <c r="C21" s="50"/>
      <c r="D21" s="89"/>
      <c r="E21" s="54"/>
      <c r="F21" s="54"/>
      <c r="G21" s="56"/>
      <c r="H21" s="52"/>
      <c r="I21" s="90"/>
      <c r="J21" s="52"/>
      <c r="K21" s="52"/>
      <c r="L21" s="64"/>
      <c r="M21" s="52"/>
      <c r="N21" s="54"/>
      <c r="O21" s="52"/>
    </row>
    <row r="22" spans="1:15" x14ac:dyDescent="0.2">
      <c r="A22" s="69" t="s">
        <v>188</v>
      </c>
      <c r="B22" s="75" t="s">
        <v>189</v>
      </c>
      <c r="C22" s="68" t="s">
        <v>190</v>
      </c>
      <c r="D22" s="70">
        <v>497.1</v>
      </c>
      <c r="E22" s="53">
        <v>0.98841277174052133</v>
      </c>
      <c r="F22" s="53"/>
      <c r="G22" s="84">
        <v>1</v>
      </c>
      <c r="H22" s="75"/>
      <c r="I22" s="53">
        <v>0.79400000000000004</v>
      </c>
      <c r="J22" s="53">
        <f>I22*0.06</f>
        <v>4.7640000000000002E-2</v>
      </c>
      <c r="K22" s="75">
        <v>7</v>
      </c>
      <c r="L22" s="67" t="s">
        <v>184</v>
      </c>
      <c r="M22" s="75"/>
      <c r="N22" s="53">
        <f>(E22-I22)/I22*100</f>
        <v>24.485235735582027</v>
      </c>
      <c r="O22" s="53">
        <f>E22/I22*100</f>
        <v>124.48523573558204</v>
      </c>
    </row>
    <row r="23" spans="1:15" x14ac:dyDescent="0.2">
      <c r="A23" s="55"/>
      <c r="B23" s="52"/>
      <c r="C23" s="50"/>
      <c r="D23" s="86"/>
      <c r="E23" s="54"/>
      <c r="F23" s="54"/>
      <c r="G23" s="56"/>
      <c r="H23" s="52"/>
      <c r="I23" s="54"/>
      <c r="J23" s="52"/>
      <c r="K23" s="52"/>
      <c r="L23" s="64"/>
      <c r="M23" s="52"/>
      <c r="N23" s="54"/>
      <c r="O23" s="52"/>
    </row>
    <row r="24" spans="1:15" x14ac:dyDescent="0.2">
      <c r="A24" s="69" t="s">
        <v>191</v>
      </c>
      <c r="B24" s="75" t="s">
        <v>192</v>
      </c>
      <c r="C24" s="68" t="s">
        <v>193</v>
      </c>
      <c r="D24" s="70">
        <v>197.4</v>
      </c>
      <c r="E24" s="53">
        <v>0.85010706762108246</v>
      </c>
      <c r="F24" s="53"/>
      <c r="G24" s="84">
        <v>1</v>
      </c>
      <c r="H24" s="75"/>
      <c r="I24" s="53">
        <v>0.91400000000000003</v>
      </c>
      <c r="J24" s="75"/>
      <c r="K24" s="75">
        <v>1</v>
      </c>
      <c r="L24" s="67" t="s">
        <v>184</v>
      </c>
      <c r="M24" s="75"/>
      <c r="N24" s="53">
        <f>(E24-I24)/I24*100</f>
        <v>-6.9904740020697558</v>
      </c>
      <c r="O24" s="53">
        <f>E24/I24*100</f>
        <v>93.00952599793024</v>
      </c>
    </row>
    <row r="25" spans="1:15" x14ac:dyDescent="0.2">
      <c r="A25" s="55"/>
      <c r="B25" s="52"/>
      <c r="C25" s="50"/>
      <c r="D25" s="51"/>
      <c r="E25" s="54"/>
      <c r="F25" s="54"/>
      <c r="G25" s="56"/>
      <c r="H25" s="52"/>
      <c r="I25" s="54"/>
      <c r="J25" s="52"/>
      <c r="K25" s="52"/>
      <c r="L25" s="64"/>
      <c r="M25" s="52"/>
      <c r="N25" s="54"/>
      <c r="O25" s="52"/>
    </row>
    <row r="26" spans="1:15" x14ac:dyDescent="0.2">
      <c r="A26" s="69"/>
      <c r="B26" s="75" t="s">
        <v>194</v>
      </c>
      <c r="C26" s="67" t="s">
        <v>195</v>
      </c>
      <c r="D26" s="70">
        <v>129.69999999999999</v>
      </c>
      <c r="E26" s="53">
        <v>0.97488853085265181</v>
      </c>
      <c r="F26" s="53"/>
      <c r="G26" s="84">
        <v>1</v>
      </c>
      <c r="H26" s="75"/>
      <c r="I26" s="53">
        <v>1.01</v>
      </c>
      <c r="J26" s="53">
        <f>0.124*I26</f>
        <v>0.12523999999999999</v>
      </c>
      <c r="K26" s="75">
        <v>5</v>
      </c>
      <c r="L26" s="67" t="s">
        <v>184</v>
      </c>
      <c r="M26" s="75"/>
      <c r="N26" s="53">
        <f>(E26-I26)/I26*100</f>
        <v>-3.4763830838958607</v>
      </c>
      <c r="O26" s="53">
        <f>E26/I26*100</f>
        <v>96.523616916104132</v>
      </c>
    </row>
    <row r="27" spans="1:15" x14ac:dyDescent="0.2">
      <c r="A27" s="69"/>
      <c r="B27" s="75"/>
      <c r="C27" s="67"/>
      <c r="D27" s="70"/>
      <c r="E27" s="53"/>
      <c r="F27" s="53"/>
      <c r="G27" s="84"/>
      <c r="H27" s="75"/>
      <c r="I27" s="53"/>
      <c r="J27" s="53"/>
      <c r="K27" s="75"/>
      <c r="L27" s="67"/>
      <c r="M27" s="75"/>
      <c r="N27" s="53"/>
      <c r="O27" s="53"/>
    </row>
    <row r="28" spans="1:15" x14ac:dyDescent="0.2">
      <c r="A28" s="69" t="s">
        <v>291</v>
      </c>
      <c r="B28" s="75" t="s">
        <v>292</v>
      </c>
      <c r="C28" s="67" t="s">
        <v>289</v>
      </c>
      <c r="D28" s="70">
        <v>591.30000000000007</v>
      </c>
      <c r="E28" s="53">
        <v>4.3141267647717758E-2</v>
      </c>
      <c r="F28" s="53"/>
      <c r="G28" s="84">
        <v>1</v>
      </c>
      <c r="H28" s="75"/>
      <c r="I28" s="53" t="s">
        <v>295</v>
      </c>
      <c r="J28" s="53" t="s">
        <v>295</v>
      </c>
      <c r="K28" s="53" t="s">
        <v>295</v>
      </c>
      <c r="L28" s="53" t="s">
        <v>295</v>
      </c>
      <c r="M28" s="75"/>
      <c r="N28" s="53" t="s">
        <v>295</v>
      </c>
      <c r="O28" s="53" t="s">
        <v>295</v>
      </c>
    </row>
    <row r="29" spans="1:15" x14ac:dyDescent="0.2">
      <c r="A29" s="55"/>
      <c r="B29" s="52"/>
      <c r="C29" s="50"/>
      <c r="D29" s="70"/>
      <c r="E29" s="53"/>
      <c r="F29" s="53"/>
      <c r="G29" s="84"/>
      <c r="H29" s="75"/>
      <c r="I29" s="53"/>
      <c r="J29" s="53"/>
      <c r="K29" s="75"/>
      <c r="L29" s="67"/>
      <c r="M29" s="75"/>
      <c r="N29" s="53"/>
      <c r="O29" s="53"/>
    </row>
    <row r="30" spans="1:15" x14ac:dyDescent="0.2">
      <c r="A30" s="69" t="s">
        <v>293</v>
      </c>
      <c r="B30" s="75" t="s">
        <v>294</v>
      </c>
      <c r="C30" s="67" t="s">
        <v>290</v>
      </c>
      <c r="D30" s="70">
        <v>514.70000000000005</v>
      </c>
      <c r="E30" s="53">
        <v>1.9886886679544558</v>
      </c>
      <c r="F30" s="54"/>
      <c r="G30" s="84">
        <v>1</v>
      </c>
      <c r="H30" s="52"/>
      <c r="I30" s="53" t="s">
        <v>295</v>
      </c>
      <c r="J30" s="53" t="s">
        <v>295</v>
      </c>
      <c r="K30" s="53" t="s">
        <v>295</v>
      </c>
      <c r="L30" s="53" t="s">
        <v>295</v>
      </c>
      <c r="M30" s="52"/>
      <c r="N30" s="53" t="s">
        <v>295</v>
      </c>
      <c r="O30" s="53" t="s">
        <v>295</v>
      </c>
    </row>
    <row r="31" spans="1:15" x14ac:dyDescent="0.2">
      <c r="A31" s="55"/>
      <c r="B31" s="95"/>
      <c r="C31" s="72"/>
      <c r="D31" s="73"/>
      <c r="E31" s="54"/>
      <c r="F31" s="54"/>
      <c r="G31" s="56"/>
      <c r="H31" s="52"/>
      <c r="I31" s="54"/>
      <c r="J31" s="52"/>
      <c r="K31" s="52"/>
      <c r="L31" s="64"/>
      <c r="M31" s="52"/>
      <c r="N31" s="54"/>
      <c r="O31" s="52"/>
    </row>
    <row r="32" spans="1:15" x14ac:dyDescent="0.2">
      <c r="A32" s="55" t="s">
        <v>196</v>
      </c>
      <c r="B32" s="77" t="s">
        <v>197</v>
      </c>
      <c r="C32" s="71" t="s">
        <v>198</v>
      </c>
      <c r="D32" s="65">
        <v>210</v>
      </c>
      <c r="E32" s="54">
        <v>0.79204014951027368</v>
      </c>
      <c r="F32" s="54"/>
      <c r="G32" s="56"/>
      <c r="H32" s="52"/>
      <c r="I32" s="52"/>
      <c r="J32" s="52"/>
      <c r="K32" s="52"/>
      <c r="L32" s="64"/>
      <c r="M32" s="52"/>
      <c r="N32" s="37">
        <f>(E32-I$43)/I$43*100</f>
        <v>-5.709506010681701</v>
      </c>
      <c r="O32" s="52"/>
    </row>
    <row r="33" spans="1:15" x14ac:dyDescent="0.2">
      <c r="A33" s="49" t="s">
        <v>199</v>
      </c>
      <c r="B33" s="51" t="s">
        <v>200</v>
      </c>
      <c r="C33" s="71" t="s">
        <v>198</v>
      </c>
      <c r="D33" s="40">
        <v>532.90000000000009</v>
      </c>
      <c r="E33" s="54">
        <v>0.90020875852555871</v>
      </c>
      <c r="F33" s="54"/>
      <c r="G33" s="56"/>
      <c r="H33" s="52"/>
      <c r="I33" s="54"/>
      <c r="J33" s="52"/>
      <c r="K33" s="52"/>
      <c r="L33" s="64"/>
      <c r="M33" s="52"/>
      <c r="N33" s="37">
        <f t="shared" ref="N33:N40" si="1">(E33-I$43)/I$43*100</f>
        <v>7.1677093482808028</v>
      </c>
      <c r="O33" s="54"/>
    </row>
    <row r="34" spans="1:15" x14ac:dyDescent="0.2">
      <c r="A34" s="49" t="s">
        <v>201</v>
      </c>
      <c r="B34" s="51" t="s">
        <v>202</v>
      </c>
      <c r="C34" s="71" t="s">
        <v>198</v>
      </c>
      <c r="D34" s="40">
        <v>480.5</v>
      </c>
      <c r="E34" s="54">
        <v>0.81475919753320358</v>
      </c>
      <c r="F34" s="54"/>
      <c r="G34" s="56"/>
      <c r="H34" s="52"/>
      <c r="I34" s="54"/>
      <c r="J34" s="52"/>
      <c r="K34" s="52"/>
      <c r="L34" s="64"/>
      <c r="M34" s="52"/>
      <c r="N34" s="37">
        <f t="shared" si="1"/>
        <v>-3.0048574365233791</v>
      </c>
      <c r="O34" s="54"/>
    </row>
    <row r="35" spans="1:15" x14ac:dyDescent="0.2">
      <c r="A35" s="49" t="s">
        <v>203</v>
      </c>
      <c r="B35" s="51" t="s">
        <v>204</v>
      </c>
      <c r="C35" s="71" t="s">
        <v>198</v>
      </c>
      <c r="D35" s="40">
        <v>478.9</v>
      </c>
      <c r="E35" s="54">
        <v>0.80376903473029915</v>
      </c>
      <c r="F35" s="54"/>
      <c r="G35" s="56"/>
      <c r="H35" s="52"/>
      <c r="I35" s="54"/>
      <c r="J35" s="52"/>
      <c r="K35" s="52"/>
      <c r="L35" s="64"/>
      <c r="M35" s="52"/>
      <c r="N35" s="37">
        <f t="shared" si="1"/>
        <v>-4.31321015115486</v>
      </c>
      <c r="O35" s="54"/>
    </row>
    <row r="36" spans="1:15" x14ac:dyDescent="0.2">
      <c r="A36" s="49" t="s">
        <v>205</v>
      </c>
      <c r="B36" s="51" t="s">
        <v>206</v>
      </c>
      <c r="C36" s="71" t="s">
        <v>198</v>
      </c>
      <c r="D36" s="40">
        <v>504.09999999999997</v>
      </c>
      <c r="E36" s="54">
        <v>0.77478191907024418</v>
      </c>
      <c r="F36" s="54"/>
      <c r="G36" s="56"/>
      <c r="H36" s="52"/>
      <c r="I36" s="54"/>
      <c r="J36" s="52"/>
      <c r="K36" s="52"/>
      <c r="L36" s="64"/>
      <c r="M36" s="52"/>
      <c r="N36" s="37">
        <f t="shared" si="1"/>
        <v>-7.7640572535423562</v>
      </c>
      <c r="O36" s="54"/>
    </row>
    <row r="37" spans="1:15" x14ac:dyDescent="0.2">
      <c r="A37" s="49" t="s">
        <v>207</v>
      </c>
      <c r="B37" s="51" t="s">
        <v>208</v>
      </c>
      <c r="C37" s="71" t="s">
        <v>198</v>
      </c>
      <c r="D37" s="40">
        <v>653.20000000000005</v>
      </c>
      <c r="E37" s="54">
        <v>0.81268207926020108</v>
      </c>
      <c r="F37" s="54"/>
      <c r="G37" s="56"/>
      <c r="H37" s="52"/>
      <c r="I37" s="54"/>
      <c r="J37" s="52"/>
      <c r="K37" s="52"/>
      <c r="L37" s="64"/>
      <c r="M37" s="52"/>
      <c r="N37" s="37">
        <f t="shared" si="1"/>
        <v>-3.2521334214046291</v>
      </c>
      <c r="O37" s="54"/>
    </row>
    <row r="38" spans="1:15" x14ac:dyDescent="0.2">
      <c r="A38" s="49" t="s">
        <v>209</v>
      </c>
      <c r="B38" s="51" t="s">
        <v>210</v>
      </c>
      <c r="C38" s="71" t="s">
        <v>198</v>
      </c>
      <c r="D38" s="40">
        <v>512.20000000000005</v>
      </c>
      <c r="E38" s="54">
        <v>0.77139590689418736</v>
      </c>
      <c r="F38" s="54"/>
      <c r="G38" s="56"/>
      <c r="H38" s="52"/>
      <c r="I38" s="54"/>
      <c r="J38" s="52"/>
      <c r="K38" s="52"/>
      <c r="L38" s="64"/>
      <c r="M38" s="52"/>
      <c r="N38" s="37">
        <f t="shared" si="1"/>
        <v>-8.1671539411681682</v>
      </c>
      <c r="O38" s="54"/>
    </row>
    <row r="39" spans="1:15" x14ac:dyDescent="0.2">
      <c r="A39" s="49" t="s">
        <v>211</v>
      </c>
      <c r="B39" s="51" t="s">
        <v>212</v>
      </c>
      <c r="C39" s="71" t="s">
        <v>198</v>
      </c>
      <c r="D39" s="40">
        <v>587.9</v>
      </c>
      <c r="E39" s="54">
        <v>0.80101249215384984</v>
      </c>
      <c r="F39" s="54"/>
      <c r="G39" s="56"/>
      <c r="H39" s="52"/>
      <c r="I39" s="54"/>
      <c r="J39" s="52"/>
      <c r="K39" s="52"/>
      <c r="L39" s="64"/>
      <c r="M39" s="52"/>
      <c r="N39" s="37">
        <f t="shared" si="1"/>
        <v>-4.6413699816845391</v>
      </c>
      <c r="O39" s="54"/>
    </row>
    <row r="40" spans="1:15" x14ac:dyDescent="0.2">
      <c r="A40" s="49" t="s">
        <v>213</v>
      </c>
      <c r="B40" s="51" t="s">
        <v>214</v>
      </c>
      <c r="C40" s="71" t="s">
        <v>198</v>
      </c>
      <c r="D40" s="40">
        <v>535.29999999999995</v>
      </c>
      <c r="E40" s="54">
        <v>0.78384508676292086</v>
      </c>
      <c r="F40" s="54"/>
      <c r="G40" s="56"/>
      <c r="H40" s="52"/>
      <c r="I40" s="54"/>
      <c r="J40" s="52"/>
      <c r="K40" s="52"/>
      <c r="L40" s="64"/>
      <c r="M40" s="52"/>
      <c r="N40" s="37">
        <f t="shared" si="1"/>
        <v>-6.685108718699893</v>
      </c>
      <c r="O40" s="54"/>
    </row>
    <row r="41" spans="1:15" x14ac:dyDescent="0.2">
      <c r="A41" s="49"/>
      <c r="B41" s="51"/>
      <c r="C41" s="72"/>
      <c r="D41" s="76"/>
      <c r="E41" s="54"/>
      <c r="F41" s="54"/>
      <c r="G41" s="56"/>
      <c r="H41" s="52"/>
      <c r="I41" s="54"/>
      <c r="J41" s="52"/>
      <c r="K41" s="52"/>
      <c r="L41" s="64"/>
      <c r="M41" s="52"/>
      <c r="N41" s="54"/>
      <c r="O41" s="54"/>
    </row>
    <row r="42" spans="1:15" x14ac:dyDescent="0.2">
      <c r="A42" s="49"/>
      <c r="B42" s="51"/>
      <c r="C42" s="72"/>
      <c r="D42" s="76"/>
      <c r="E42" s="54"/>
      <c r="F42" s="54"/>
      <c r="G42" s="56"/>
      <c r="H42" s="52"/>
      <c r="I42" s="54"/>
      <c r="J42" s="52"/>
      <c r="K42" s="52"/>
      <c r="L42" s="64"/>
      <c r="M42" s="52"/>
      <c r="N42" s="54"/>
      <c r="O42" s="54"/>
    </row>
    <row r="43" spans="1:15" x14ac:dyDescent="0.2">
      <c r="A43" s="66" t="s">
        <v>215</v>
      </c>
      <c r="B43" s="78"/>
      <c r="C43" s="82"/>
      <c r="D43" s="91"/>
      <c r="E43" s="53">
        <f>AVERAGE(E32:E40)</f>
        <v>0.80605495827119311</v>
      </c>
      <c r="F43" s="83">
        <f>STDEV(E32:E40)*2/E43*100</f>
        <v>9.5632534178016684</v>
      </c>
      <c r="G43" s="84">
        <f>COUNT(E32:E40)</f>
        <v>9</v>
      </c>
      <c r="H43" s="75"/>
      <c r="I43" s="53">
        <v>0.84</v>
      </c>
      <c r="J43" s="75"/>
      <c r="K43" s="75">
        <v>30</v>
      </c>
      <c r="L43" s="67" t="s">
        <v>173</v>
      </c>
      <c r="M43" s="75"/>
      <c r="N43" s="53">
        <f>(E43-I43)/I43*100</f>
        <v>-4.041076396286531</v>
      </c>
      <c r="O43" s="53">
        <f>E32/I43*100</f>
        <v>94.290493989318307</v>
      </c>
    </row>
    <row r="44" spans="1:15" x14ac:dyDescent="0.2">
      <c r="A44" s="66"/>
      <c r="B44" s="78"/>
      <c r="C44" s="82"/>
      <c r="D44" s="91"/>
      <c r="E44" s="53"/>
      <c r="F44" s="83"/>
      <c r="G44" s="84"/>
      <c r="H44" s="75"/>
      <c r="I44" s="53"/>
      <c r="J44" s="75"/>
      <c r="K44" s="75"/>
      <c r="L44" s="67"/>
      <c r="M44" s="75"/>
      <c r="N44" s="53"/>
      <c r="O44" s="53"/>
    </row>
    <row r="45" spans="1:15" x14ac:dyDescent="0.2">
      <c r="A45" s="55" t="s">
        <v>216</v>
      </c>
      <c r="B45" s="77" t="s">
        <v>217</v>
      </c>
      <c r="C45" s="71" t="s">
        <v>218</v>
      </c>
      <c r="D45" s="65">
        <v>231.4</v>
      </c>
      <c r="E45" s="54">
        <v>0.20278679727992927</v>
      </c>
      <c r="F45" s="54"/>
      <c r="G45" s="52"/>
      <c r="H45" s="52"/>
      <c r="I45" s="52"/>
      <c r="J45" s="52"/>
      <c r="K45" s="52"/>
      <c r="L45" s="64"/>
      <c r="M45" s="52"/>
      <c r="N45" s="37">
        <f>(E45-I$55)/I$55*100</f>
        <v>-1.5598071456653999</v>
      </c>
      <c r="O45" s="52"/>
    </row>
    <row r="46" spans="1:15" x14ac:dyDescent="0.2">
      <c r="A46" s="49" t="s">
        <v>219</v>
      </c>
      <c r="B46" s="52" t="s">
        <v>220</v>
      </c>
      <c r="C46" s="50" t="s">
        <v>218</v>
      </c>
      <c r="D46" s="74">
        <v>577.4</v>
      </c>
      <c r="E46" s="54">
        <v>0.19708612159536426</v>
      </c>
      <c r="F46" s="83"/>
      <c r="G46" s="84"/>
      <c r="H46" s="75"/>
      <c r="I46" s="53"/>
      <c r="J46" s="75"/>
      <c r="K46" s="75"/>
      <c r="L46" s="67"/>
      <c r="M46" s="75"/>
      <c r="N46" s="37">
        <f t="shared" ref="N46:N53" si="2">(E46-I$55)/I$55*100</f>
        <v>-4.3271254391435576</v>
      </c>
      <c r="O46" s="53"/>
    </row>
    <row r="47" spans="1:15" x14ac:dyDescent="0.2">
      <c r="A47" s="49" t="s">
        <v>221</v>
      </c>
      <c r="B47" s="52" t="s">
        <v>222</v>
      </c>
      <c r="C47" s="50" t="s">
        <v>218</v>
      </c>
      <c r="D47" s="74">
        <v>484.09999999999997</v>
      </c>
      <c r="E47" s="54">
        <v>0.18168472001877933</v>
      </c>
      <c r="F47" s="83"/>
      <c r="G47" s="84"/>
      <c r="H47" s="75"/>
      <c r="I47" s="53"/>
      <c r="J47" s="75"/>
      <c r="K47" s="75"/>
      <c r="L47" s="67"/>
      <c r="M47" s="75"/>
      <c r="N47" s="37">
        <f t="shared" si="2"/>
        <v>-11.803533971466338</v>
      </c>
      <c r="O47" s="53"/>
    </row>
    <row r="48" spans="1:15" x14ac:dyDescent="0.2">
      <c r="A48" s="49" t="s">
        <v>223</v>
      </c>
      <c r="B48" s="52" t="s">
        <v>224</v>
      </c>
      <c r="C48" s="50" t="s">
        <v>218</v>
      </c>
      <c r="D48" s="74">
        <v>532.69999999999993</v>
      </c>
      <c r="E48" s="54">
        <v>0.19548901087834963</v>
      </c>
      <c r="F48" s="83"/>
      <c r="G48" s="84"/>
      <c r="H48" s="75"/>
      <c r="I48" s="53"/>
      <c r="J48" s="75"/>
      <c r="K48" s="75"/>
      <c r="L48" s="67"/>
      <c r="M48" s="75"/>
      <c r="N48" s="37">
        <f t="shared" si="2"/>
        <v>-5.1024219037137648</v>
      </c>
      <c r="O48" s="53"/>
    </row>
    <row r="49" spans="1:15" x14ac:dyDescent="0.2">
      <c r="A49" s="49" t="s">
        <v>225</v>
      </c>
      <c r="B49" s="52" t="s">
        <v>226</v>
      </c>
      <c r="C49" s="50" t="s">
        <v>218</v>
      </c>
      <c r="D49" s="74">
        <v>465.5</v>
      </c>
      <c r="E49" s="54">
        <v>0.18682460472340123</v>
      </c>
      <c r="F49" s="83"/>
      <c r="G49" s="84"/>
      <c r="H49" s="75"/>
      <c r="I49" s="53"/>
      <c r="J49" s="75"/>
      <c r="K49" s="75"/>
      <c r="L49" s="67"/>
      <c r="M49" s="75"/>
      <c r="N49" s="37">
        <f t="shared" si="2"/>
        <v>-9.3084443090285234</v>
      </c>
      <c r="O49" s="53"/>
    </row>
    <row r="50" spans="1:15" x14ac:dyDescent="0.2">
      <c r="A50" s="49" t="s">
        <v>227</v>
      </c>
      <c r="B50" s="52" t="s">
        <v>228</v>
      </c>
      <c r="C50" s="50" t="s">
        <v>218</v>
      </c>
      <c r="D50" s="74">
        <v>521.29999999999995</v>
      </c>
      <c r="E50" s="54">
        <v>0.18790244737936065</v>
      </c>
      <c r="F50" s="83"/>
      <c r="G50" s="84"/>
      <c r="H50" s="75"/>
      <c r="I50" s="53"/>
      <c r="J50" s="75"/>
      <c r="K50" s="75"/>
      <c r="L50" s="67"/>
      <c r="M50" s="75"/>
      <c r="N50" s="37">
        <f t="shared" si="2"/>
        <v>-8.7852197187569594</v>
      </c>
      <c r="O50" s="53"/>
    </row>
    <row r="51" spans="1:15" x14ac:dyDescent="0.2">
      <c r="A51" s="49" t="s">
        <v>229</v>
      </c>
      <c r="B51" s="52" t="s">
        <v>230</v>
      </c>
      <c r="C51" s="50" t="s">
        <v>218</v>
      </c>
      <c r="D51" s="74">
        <v>698.30000000000007</v>
      </c>
      <c r="E51" s="54">
        <v>0.19628657612827838</v>
      </c>
      <c r="F51" s="83"/>
      <c r="G51" s="84"/>
      <c r="H51" s="75"/>
      <c r="I51" s="53"/>
      <c r="J51" s="75"/>
      <c r="K51" s="75"/>
      <c r="L51" s="67"/>
      <c r="M51" s="75"/>
      <c r="N51" s="37">
        <f t="shared" si="2"/>
        <v>-4.7152543066609764</v>
      </c>
      <c r="O51" s="53"/>
    </row>
    <row r="52" spans="1:15" x14ac:dyDescent="0.2">
      <c r="A52" s="49" t="s">
        <v>231</v>
      </c>
      <c r="B52" s="52" t="s">
        <v>232</v>
      </c>
      <c r="C52" s="50" t="s">
        <v>218</v>
      </c>
      <c r="D52" s="74">
        <v>469</v>
      </c>
      <c r="E52" s="54">
        <v>0.1986735677256326</v>
      </c>
      <c r="F52" s="83"/>
      <c r="G52" s="84"/>
      <c r="H52" s="75"/>
      <c r="I52" s="53"/>
      <c r="J52" s="75"/>
      <c r="K52" s="75"/>
      <c r="L52" s="67"/>
      <c r="M52" s="75"/>
      <c r="N52" s="37">
        <f t="shared" si="2"/>
        <v>-3.556520521537565</v>
      </c>
      <c r="O52" s="53"/>
    </row>
    <row r="53" spans="1:15" x14ac:dyDescent="0.2">
      <c r="A53" s="49" t="s">
        <v>233</v>
      </c>
      <c r="B53" s="52" t="s">
        <v>234</v>
      </c>
      <c r="C53" s="50" t="s">
        <v>218</v>
      </c>
      <c r="D53" s="74">
        <v>570.69999999999993</v>
      </c>
      <c r="E53" s="54">
        <v>0.2308172131368201</v>
      </c>
      <c r="F53" s="54"/>
      <c r="G53" s="56"/>
      <c r="H53" s="52"/>
      <c r="I53" s="54"/>
      <c r="J53" s="52"/>
      <c r="K53" s="52"/>
      <c r="L53" s="64"/>
      <c r="M53" s="52"/>
      <c r="N53" s="37">
        <f t="shared" si="2"/>
        <v>12.047190843116562</v>
      </c>
      <c r="O53" s="52"/>
    </row>
    <row r="54" spans="1:15" x14ac:dyDescent="0.2">
      <c r="B54" s="18"/>
      <c r="D54" s="18"/>
      <c r="E54" s="18"/>
      <c r="F54" s="18"/>
      <c r="G54" s="40"/>
      <c r="H54" s="52"/>
      <c r="I54" s="18"/>
      <c r="J54" s="18"/>
      <c r="K54" s="18"/>
      <c r="M54" s="52"/>
      <c r="N54" s="18"/>
      <c r="O54" s="18"/>
    </row>
    <row r="55" spans="1:15" x14ac:dyDescent="0.2">
      <c r="A55" s="27" t="s">
        <v>235</v>
      </c>
      <c r="B55" s="33"/>
      <c r="C55" s="34"/>
      <c r="D55" s="33"/>
      <c r="E55" s="53">
        <f>AVERAGE(E45:E53)</f>
        <v>0.19750567320732393</v>
      </c>
      <c r="F55" s="83">
        <f>STDEV(E45:E53)*2/E55*100</f>
        <v>14.326339721265033</v>
      </c>
      <c r="G55" s="84">
        <f>COUNT(E45:E53)</f>
        <v>9</v>
      </c>
      <c r="H55" s="75"/>
      <c r="I55" s="53">
        <v>0.20599999999999999</v>
      </c>
      <c r="J55" s="53">
        <f>0.048*I55</f>
        <v>9.8879999999999992E-3</v>
      </c>
      <c r="K55" s="75">
        <v>14</v>
      </c>
      <c r="L55" s="67" t="s">
        <v>184</v>
      </c>
      <c r="M55" s="75"/>
      <c r="N55" s="53">
        <f>(E55-I55)/I55*100</f>
        <v>-4.1234596080951746</v>
      </c>
      <c r="O55" s="53">
        <f>E55/I55*100</f>
        <v>95.876540391904825</v>
      </c>
    </row>
    <row r="56" spans="1:15" x14ac:dyDescent="0.2">
      <c r="A56" s="55"/>
      <c r="B56" s="77"/>
      <c r="C56" s="72"/>
      <c r="D56" s="76"/>
      <c r="E56" s="54"/>
      <c r="F56" s="54"/>
      <c r="G56" s="56"/>
      <c r="H56" s="52"/>
      <c r="I56" s="54"/>
      <c r="J56" s="54"/>
      <c r="K56" s="52"/>
      <c r="L56" s="64"/>
      <c r="M56" s="52"/>
      <c r="N56" s="54"/>
      <c r="O56" s="52"/>
    </row>
    <row r="57" spans="1:15" x14ac:dyDescent="0.2">
      <c r="A57" s="49" t="s">
        <v>236</v>
      </c>
      <c r="B57" s="52" t="s">
        <v>237</v>
      </c>
      <c r="C57" s="64" t="s">
        <v>238</v>
      </c>
      <c r="D57" s="40">
        <v>259.8</v>
      </c>
      <c r="E57" s="54">
        <v>3.600714741891001</v>
      </c>
      <c r="F57" s="54"/>
      <c r="G57" s="56"/>
      <c r="H57" s="52"/>
      <c r="I57" s="54"/>
      <c r="J57" s="54"/>
      <c r="K57" s="52"/>
      <c r="L57" s="64"/>
      <c r="M57" s="52"/>
      <c r="N57" s="37">
        <f>(E57-I$64)/I$64*100</f>
        <v>-7.9101089030434544</v>
      </c>
      <c r="O57" s="52"/>
    </row>
    <row r="58" spans="1:15" x14ac:dyDescent="0.2">
      <c r="A58" s="49" t="s">
        <v>239</v>
      </c>
      <c r="B58" s="52" t="s">
        <v>240</v>
      </c>
      <c r="C58" s="50" t="s">
        <v>238</v>
      </c>
      <c r="D58" s="40">
        <v>196.46</v>
      </c>
      <c r="E58" s="54">
        <v>3.5881232191993866</v>
      </c>
      <c r="F58" s="54"/>
      <c r="G58" s="56"/>
      <c r="H58" s="52"/>
      <c r="I58" s="54"/>
      <c r="J58" s="54"/>
      <c r="K58" s="52"/>
      <c r="L58" s="64"/>
      <c r="M58" s="52"/>
      <c r="N58" s="37">
        <f t="shared" ref="N58:N61" si="3">(E58-I$64)/I$64*100</f>
        <v>-8.232142731473493</v>
      </c>
      <c r="O58" s="52"/>
    </row>
    <row r="59" spans="1:15" x14ac:dyDescent="0.2">
      <c r="A59" s="49" t="s">
        <v>241</v>
      </c>
      <c r="B59" s="52" t="s">
        <v>242</v>
      </c>
      <c r="C59" s="50" t="s">
        <v>238</v>
      </c>
      <c r="D59" s="40">
        <v>526.41</v>
      </c>
      <c r="E59" s="92">
        <v>3.58</v>
      </c>
      <c r="F59" s="92"/>
      <c r="G59" s="93"/>
      <c r="H59" s="52"/>
      <c r="I59" s="54"/>
      <c r="J59" s="54"/>
      <c r="K59" s="52"/>
      <c r="L59" s="64"/>
      <c r="M59" s="52"/>
      <c r="N59" s="37">
        <f t="shared" si="3"/>
        <v>-8.4398976982097196</v>
      </c>
      <c r="O59" s="52"/>
    </row>
    <row r="60" spans="1:15" x14ac:dyDescent="0.2">
      <c r="A60" s="49" t="s">
        <v>243</v>
      </c>
      <c r="B60" s="52" t="s">
        <v>244</v>
      </c>
      <c r="C60" s="50" t="s">
        <v>238</v>
      </c>
      <c r="D60" s="40">
        <v>482.9</v>
      </c>
      <c r="E60" s="92">
        <v>3.89</v>
      </c>
      <c r="F60" s="92"/>
      <c r="G60" s="93"/>
      <c r="H60" s="52"/>
      <c r="I60" s="54"/>
      <c r="J60" s="54"/>
      <c r="K60" s="52"/>
      <c r="L60" s="64"/>
      <c r="M60" s="52"/>
      <c r="N60" s="37">
        <f t="shared" si="3"/>
        <v>-0.51150895140665009</v>
      </c>
      <c r="O60" s="52"/>
    </row>
    <row r="61" spans="1:15" x14ac:dyDescent="0.2">
      <c r="A61" s="49" t="s">
        <v>245</v>
      </c>
      <c r="B61" s="51" t="s">
        <v>246</v>
      </c>
      <c r="C61" s="50" t="s">
        <v>238</v>
      </c>
      <c r="D61" s="40">
        <v>172.49</v>
      </c>
      <c r="E61" s="54">
        <v>3.5275134458124753</v>
      </c>
      <c r="F61" s="52"/>
      <c r="G61" s="93"/>
      <c r="H61" s="52"/>
      <c r="I61" s="54"/>
      <c r="J61" s="54"/>
      <c r="K61" s="52"/>
      <c r="L61" s="64"/>
      <c r="M61" s="52"/>
      <c r="N61" s="37">
        <f t="shared" si="3"/>
        <v>-9.7822648129801753</v>
      </c>
      <c r="O61" s="52"/>
    </row>
    <row r="62" spans="1:15" x14ac:dyDescent="0.2">
      <c r="A62" s="49" t="s">
        <v>247</v>
      </c>
      <c r="B62" s="52" t="s">
        <v>248</v>
      </c>
      <c r="C62" s="50" t="s">
        <v>238</v>
      </c>
      <c r="D62" s="56">
        <v>511.1</v>
      </c>
      <c r="E62" s="54">
        <v>3.7246490959573952</v>
      </c>
      <c r="F62" s="52"/>
      <c r="G62" s="93"/>
      <c r="H62" s="52"/>
      <c r="I62" s="54"/>
      <c r="J62" s="54"/>
      <c r="K62" s="52"/>
      <c r="L62" s="64"/>
      <c r="M62" s="52"/>
      <c r="N62" s="37"/>
      <c r="O62" s="52"/>
    </row>
    <row r="63" spans="1:15" x14ac:dyDescent="0.2">
      <c r="A63" s="49"/>
      <c r="B63" s="52"/>
      <c r="C63" s="50"/>
      <c r="D63" s="51"/>
      <c r="E63" s="92"/>
      <c r="F63" s="92"/>
      <c r="G63" s="93"/>
      <c r="H63" s="52"/>
      <c r="I63" s="54"/>
      <c r="J63" s="54"/>
      <c r="K63" s="52"/>
      <c r="L63" s="64"/>
      <c r="M63" s="52"/>
      <c r="N63" s="54"/>
      <c r="O63" s="52"/>
    </row>
    <row r="64" spans="1:15" x14ac:dyDescent="0.2">
      <c r="A64" s="66" t="s">
        <v>249</v>
      </c>
      <c r="B64" s="75"/>
      <c r="C64" s="68"/>
      <c r="D64" s="78"/>
      <c r="E64" s="94">
        <f>AVERAGE(E57:E62)</f>
        <v>3.6518334171433762</v>
      </c>
      <c r="F64" s="83">
        <f>STDEV(E57:E62)*2/E64*100</f>
        <v>7.3196697951724596</v>
      </c>
      <c r="G64" s="84">
        <f>COUNT(E57:E62)</f>
        <v>6</v>
      </c>
      <c r="H64" s="75"/>
      <c r="I64" s="53">
        <v>3.91</v>
      </c>
      <c r="J64" s="53"/>
      <c r="K64" s="75">
        <v>1</v>
      </c>
      <c r="L64" s="67" t="s">
        <v>184</v>
      </c>
      <c r="M64" s="75"/>
      <c r="N64" s="53">
        <f>(E64-I64)/I64*100</f>
        <v>-6.6027259042614821</v>
      </c>
      <c r="O64" s="53">
        <f>E64/I64*100</f>
        <v>93.39727409573851</v>
      </c>
    </row>
    <row r="65" spans="1:15" x14ac:dyDescent="0.2">
      <c r="A65" s="55"/>
      <c r="B65" s="52"/>
      <c r="C65" s="64"/>
      <c r="D65" s="52"/>
      <c r="E65" s="52"/>
      <c r="F65" s="52"/>
      <c r="G65" s="56"/>
      <c r="H65" s="52"/>
      <c r="I65" s="52"/>
      <c r="J65" s="54"/>
      <c r="K65" s="52"/>
      <c r="L65" s="64"/>
      <c r="M65" s="52"/>
      <c r="N65" s="52"/>
      <c r="O65" s="52"/>
    </row>
    <row r="66" spans="1:15" x14ac:dyDescent="0.2">
      <c r="A66" s="55" t="s">
        <v>250</v>
      </c>
      <c r="B66" s="52" t="s">
        <v>251</v>
      </c>
      <c r="C66" s="64" t="s">
        <v>252</v>
      </c>
      <c r="D66" s="52"/>
      <c r="E66" s="54">
        <v>0.6552776719692861</v>
      </c>
      <c r="F66" s="54"/>
      <c r="G66" s="56"/>
      <c r="H66" s="52"/>
      <c r="I66" s="52"/>
      <c r="J66" s="54"/>
      <c r="K66" s="52"/>
      <c r="L66" s="64"/>
      <c r="M66" s="52"/>
      <c r="N66" s="37">
        <f>(E66-I$72)/I$72*100</f>
        <v>20.677287655485461</v>
      </c>
      <c r="O66" s="52"/>
    </row>
    <row r="67" spans="1:15" x14ac:dyDescent="0.2">
      <c r="A67" s="55" t="s">
        <v>253</v>
      </c>
      <c r="B67" s="52" t="s">
        <v>254</v>
      </c>
      <c r="C67" s="50" t="s">
        <v>252</v>
      </c>
      <c r="D67" s="51"/>
      <c r="E67" s="54">
        <v>0.64169016839864779</v>
      </c>
      <c r="F67" s="54"/>
      <c r="G67" s="56"/>
      <c r="H67" s="52"/>
      <c r="I67" s="52"/>
      <c r="J67" s="54"/>
      <c r="K67" s="52"/>
      <c r="L67" s="64"/>
      <c r="M67" s="52"/>
      <c r="N67" s="37">
        <f t="shared" ref="N67:N70" si="4">(E67-I$72)/I$72*100</f>
        <v>18.174984972126655</v>
      </c>
      <c r="O67" s="52"/>
    </row>
    <row r="68" spans="1:15" x14ac:dyDescent="0.2">
      <c r="A68" s="55" t="s">
        <v>255</v>
      </c>
      <c r="B68" s="52" t="s">
        <v>256</v>
      </c>
      <c r="C68" s="50" t="s">
        <v>252</v>
      </c>
      <c r="D68" s="51"/>
      <c r="E68" s="54">
        <v>0.56824793437410137</v>
      </c>
      <c r="F68" s="54"/>
      <c r="G68" s="56"/>
      <c r="H68" s="52"/>
      <c r="I68" s="52"/>
      <c r="J68" s="54"/>
      <c r="K68" s="52"/>
      <c r="L68" s="64"/>
      <c r="M68" s="52"/>
      <c r="N68" s="37">
        <f t="shared" si="4"/>
        <v>4.6497116711052175</v>
      </c>
      <c r="O68" s="52"/>
    </row>
    <row r="69" spans="1:15" x14ac:dyDescent="0.2">
      <c r="A69" s="49" t="s">
        <v>257</v>
      </c>
      <c r="B69" s="51" t="s">
        <v>258</v>
      </c>
      <c r="C69" s="50" t="s">
        <v>252</v>
      </c>
      <c r="D69" s="52"/>
      <c r="E69" s="19">
        <v>0.58525610217301838</v>
      </c>
      <c r="F69" s="54"/>
      <c r="G69" s="56"/>
      <c r="H69" s="52"/>
      <c r="I69" s="52"/>
      <c r="J69" s="54"/>
      <c r="K69" s="52"/>
      <c r="L69" s="64"/>
      <c r="M69" s="52"/>
      <c r="N69" s="37">
        <f t="shared" si="4"/>
        <v>7.7819709342575205</v>
      </c>
      <c r="O69" s="52"/>
    </row>
    <row r="70" spans="1:15" x14ac:dyDescent="0.2">
      <c r="A70" s="49" t="s">
        <v>259</v>
      </c>
      <c r="B70" s="51" t="s">
        <v>260</v>
      </c>
      <c r="C70" s="50" t="s">
        <v>252</v>
      </c>
      <c r="D70" s="52"/>
      <c r="E70" s="19">
        <v>0.58470054402331573</v>
      </c>
      <c r="F70" s="54"/>
      <c r="G70" s="56"/>
      <c r="H70" s="52"/>
      <c r="I70" s="52"/>
      <c r="J70" s="54"/>
      <c r="K70" s="52"/>
      <c r="L70" s="64"/>
      <c r="M70" s="52"/>
      <c r="N70" s="37">
        <f t="shared" si="4"/>
        <v>7.679658199505651</v>
      </c>
      <c r="O70" s="52"/>
    </row>
    <row r="71" spans="1:15" x14ac:dyDescent="0.2">
      <c r="A71" s="55"/>
      <c r="B71" s="52"/>
      <c r="C71" s="50"/>
      <c r="D71" s="51"/>
      <c r="E71" s="54"/>
      <c r="F71" s="54"/>
      <c r="G71" s="56"/>
      <c r="H71" s="52"/>
      <c r="I71" s="52"/>
      <c r="J71" s="54"/>
      <c r="K71" s="52"/>
      <c r="L71" s="64"/>
      <c r="M71" s="52"/>
      <c r="N71" s="54"/>
      <c r="O71" s="52"/>
    </row>
    <row r="72" spans="1:15" x14ac:dyDescent="0.2">
      <c r="A72" s="66" t="s">
        <v>261</v>
      </c>
      <c r="B72" s="75"/>
      <c r="C72" s="68"/>
      <c r="D72" s="78"/>
      <c r="E72" s="53">
        <f>AVERAGE(E66:E70)</f>
        <v>0.60703448418767392</v>
      </c>
      <c r="F72" s="83">
        <f>STDEV(E66:E70)*2/E72*100</f>
        <v>12.766634937483371</v>
      </c>
      <c r="G72" s="84">
        <f>COUNT(E66:E70)</f>
        <v>5</v>
      </c>
      <c r="H72" s="75"/>
      <c r="I72" s="78">
        <v>0.54300000000000004</v>
      </c>
      <c r="J72" s="53">
        <v>2.9000000000000001E-2</v>
      </c>
      <c r="K72" s="78">
        <v>6</v>
      </c>
      <c r="L72" s="67" t="s">
        <v>173</v>
      </c>
      <c r="M72" s="75"/>
      <c r="N72" s="53">
        <f>(E72-I72)/I72*100</f>
        <v>11.792722686496109</v>
      </c>
      <c r="O72" s="53">
        <f>E72/I72*100</f>
        <v>111.79272268649612</v>
      </c>
    </row>
    <row r="73" spans="1:15" x14ac:dyDescent="0.2">
      <c r="A73" s="55"/>
      <c r="B73" s="52"/>
      <c r="C73" s="50"/>
      <c r="D73" s="51"/>
      <c r="E73" s="54"/>
      <c r="F73" s="54"/>
      <c r="G73" s="56"/>
      <c r="H73" s="52"/>
      <c r="I73" s="52"/>
      <c r="J73" s="52"/>
      <c r="K73" s="52"/>
      <c r="L73" s="64"/>
      <c r="M73" s="52"/>
      <c r="N73" s="54"/>
      <c r="O73" s="52"/>
    </row>
    <row r="74" spans="1:15" x14ac:dyDescent="0.2">
      <c r="A74" s="55" t="s">
        <v>262</v>
      </c>
      <c r="B74" s="50" t="s">
        <v>263</v>
      </c>
      <c r="D74" s="51"/>
      <c r="E74" s="57">
        <v>4.2536645994282267</v>
      </c>
      <c r="F74" s="57"/>
      <c r="G74" s="56"/>
      <c r="H74" s="52"/>
      <c r="I74" s="52">
        <v>5</v>
      </c>
      <c r="J74" s="52"/>
      <c r="K74" s="52"/>
      <c r="L74" s="64"/>
      <c r="M74" s="52"/>
      <c r="N74" s="54">
        <f t="shared" ref="N74:N83" si="5">(E74-I74)/I74*100</f>
        <v>-14.926708011435466</v>
      </c>
      <c r="O74" s="54">
        <f t="shared" ref="O74:O83" si="6">E74/I74*100</f>
        <v>85.073291988564534</v>
      </c>
    </row>
    <row r="75" spans="1:15" x14ac:dyDescent="0.2">
      <c r="A75" s="55" t="s">
        <v>264</v>
      </c>
      <c r="B75" s="64" t="s">
        <v>265</v>
      </c>
      <c r="D75" s="52"/>
      <c r="E75" s="57">
        <v>49.748522349308061</v>
      </c>
      <c r="F75" s="57"/>
      <c r="G75" s="56"/>
      <c r="H75" s="52"/>
      <c r="I75" s="52">
        <v>50</v>
      </c>
      <c r="J75" s="52"/>
      <c r="K75" s="52"/>
      <c r="L75" s="64"/>
      <c r="M75" s="52"/>
      <c r="N75" s="54">
        <f t="shared" si="5"/>
        <v>-0.5029553013838779</v>
      </c>
      <c r="O75" s="54">
        <f t="shared" si="6"/>
        <v>99.497044698616122</v>
      </c>
    </row>
    <row r="76" spans="1:15" x14ac:dyDescent="0.2">
      <c r="A76" s="55" t="s">
        <v>266</v>
      </c>
      <c r="B76" s="64" t="s">
        <v>267</v>
      </c>
      <c r="D76" s="52"/>
      <c r="E76" s="57">
        <v>5.2547993994602891</v>
      </c>
      <c r="F76" s="57"/>
      <c r="G76" s="56"/>
      <c r="H76" s="52"/>
      <c r="I76" s="52">
        <v>5</v>
      </c>
      <c r="J76" s="52"/>
      <c r="K76" s="52"/>
      <c r="L76" s="64"/>
      <c r="M76" s="52"/>
      <c r="N76" s="54">
        <f t="shared" si="5"/>
        <v>5.0959879892057813</v>
      </c>
      <c r="O76" s="54">
        <f t="shared" si="6"/>
        <v>105.09598798920578</v>
      </c>
    </row>
    <row r="77" spans="1:15" x14ac:dyDescent="0.2">
      <c r="A77" s="55" t="s">
        <v>268</v>
      </c>
      <c r="B77" s="64" t="s">
        <v>269</v>
      </c>
      <c r="D77" s="52"/>
      <c r="E77" s="57">
        <v>500.72836791214604</v>
      </c>
      <c r="F77" s="57"/>
      <c r="G77" s="56"/>
      <c r="H77" s="52"/>
      <c r="I77" s="52">
        <v>500</v>
      </c>
      <c r="J77" s="52"/>
      <c r="K77" s="52"/>
      <c r="L77" s="64"/>
      <c r="M77" s="52"/>
      <c r="N77" s="54">
        <f t="shared" si="5"/>
        <v>0.14567358242920819</v>
      </c>
      <c r="O77" s="54">
        <f t="shared" si="6"/>
        <v>100.14567358242921</v>
      </c>
    </row>
    <row r="78" spans="1:15" x14ac:dyDescent="0.2">
      <c r="A78" s="55" t="s">
        <v>270</v>
      </c>
      <c r="B78" s="64" t="s">
        <v>271</v>
      </c>
      <c r="D78" s="52"/>
      <c r="E78" s="57">
        <v>502.1516852502981</v>
      </c>
      <c r="F78" s="57"/>
      <c r="G78" s="56"/>
      <c r="H78" s="52"/>
      <c r="I78" s="52">
        <v>500</v>
      </c>
      <c r="J78" s="52"/>
      <c r="K78" s="52"/>
      <c r="L78" s="64"/>
      <c r="M78" s="52"/>
      <c r="N78" s="54">
        <f t="shared" si="5"/>
        <v>0.43033705005962014</v>
      </c>
      <c r="O78" s="54">
        <f t="shared" si="6"/>
        <v>100.43033705005962</v>
      </c>
    </row>
    <row r="79" spans="1:15" x14ac:dyDescent="0.2">
      <c r="A79" s="55" t="s">
        <v>272</v>
      </c>
      <c r="B79" s="64" t="s">
        <v>271</v>
      </c>
      <c r="D79" s="52"/>
      <c r="E79" s="57">
        <v>504.03292080679194</v>
      </c>
      <c r="F79" s="57"/>
      <c r="G79" s="56"/>
      <c r="H79" s="52"/>
      <c r="I79" s="52">
        <v>500</v>
      </c>
      <c r="J79" s="52"/>
      <c r="K79" s="52"/>
      <c r="L79" s="64"/>
      <c r="M79" s="52"/>
      <c r="N79" s="54">
        <f t="shared" si="5"/>
        <v>0.80658416135838706</v>
      </c>
      <c r="O79" s="54">
        <f t="shared" si="6"/>
        <v>100.80658416135839</v>
      </c>
    </row>
    <row r="80" spans="1:15" x14ac:dyDescent="0.2">
      <c r="A80" s="49" t="s">
        <v>273</v>
      </c>
      <c r="B80" s="50" t="s">
        <v>274</v>
      </c>
      <c r="D80" s="54"/>
      <c r="E80" s="57">
        <v>231.68319031941067</v>
      </c>
      <c r="F80" s="57"/>
      <c r="G80" s="56"/>
      <c r="H80" s="52"/>
      <c r="I80" s="52">
        <f>0.05*95*50</f>
        <v>237.5</v>
      </c>
      <c r="J80" s="52"/>
      <c r="K80" s="52"/>
      <c r="L80" s="64"/>
      <c r="M80" s="52"/>
      <c r="N80" s="54">
        <f t="shared" si="5"/>
        <v>-2.4491830234060337</v>
      </c>
      <c r="O80" s="54">
        <f t="shared" si="6"/>
        <v>97.550816976593964</v>
      </c>
    </row>
    <row r="81" spans="1:15" x14ac:dyDescent="0.2">
      <c r="A81" s="49" t="s">
        <v>275</v>
      </c>
      <c r="B81" s="50" t="s">
        <v>276</v>
      </c>
      <c r="D81" s="54"/>
      <c r="E81" s="57">
        <v>249.96636807830004</v>
      </c>
      <c r="F81" s="57"/>
      <c r="G81" s="56"/>
      <c r="H81" s="52"/>
      <c r="I81" s="51">
        <v>250</v>
      </c>
      <c r="J81" s="52"/>
      <c r="K81" s="52"/>
      <c r="L81" s="64"/>
      <c r="M81" s="52"/>
      <c r="N81" s="54">
        <f t="shared" si="5"/>
        <v>-1.3452768679985639E-2</v>
      </c>
      <c r="O81" s="54">
        <f t="shared" si="6"/>
        <v>99.986547231320017</v>
      </c>
    </row>
    <row r="82" spans="1:15" x14ac:dyDescent="0.2">
      <c r="A82" s="49" t="s">
        <v>277</v>
      </c>
      <c r="B82" s="50" t="s">
        <v>276</v>
      </c>
      <c r="D82" s="54"/>
      <c r="E82" s="57">
        <v>247.06355190299004</v>
      </c>
      <c r="F82" s="57"/>
      <c r="G82" s="56"/>
      <c r="H82" s="52"/>
      <c r="I82" s="51">
        <v>250</v>
      </c>
      <c r="J82" s="52"/>
      <c r="K82" s="52"/>
      <c r="L82" s="64"/>
      <c r="M82" s="52"/>
      <c r="N82" s="54">
        <f t="shared" si="5"/>
        <v>-1.1745792388039831</v>
      </c>
      <c r="O82" s="54">
        <f t="shared" si="6"/>
        <v>98.825420761196014</v>
      </c>
    </row>
    <row r="83" spans="1:15" x14ac:dyDescent="0.2">
      <c r="A83" s="49" t="s">
        <v>278</v>
      </c>
      <c r="B83" s="50" t="s">
        <v>276</v>
      </c>
      <c r="D83" s="54"/>
      <c r="E83" s="54">
        <v>252.71916030699859</v>
      </c>
      <c r="F83" s="52"/>
      <c r="G83" s="56"/>
      <c r="H83" s="52"/>
      <c r="I83" s="51">
        <v>250</v>
      </c>
      <c r="J83" s="52"/>
      <c r="K83" s="52"/>
      <c r="L83" s="64"/>
      <c r="M83" s="52"/>
      <c r="N83" s="54">
        <f t="shared" si="5"/>
        <v>1.0876641227994355</v>
      </c>
      <c r="O83" s="54">
        <f t="shared" si="6"/>
        <v>101.08766412279944</v>
      </c>
    </row>
    <row r="84" spans="1:15" x14ac:dyDescent="0.2">
      <c r="A84" s="49"/>
      <c r="B84" s="52"/>
      <c r="C84" s="50"/>
      <c r="D84" s="54"/>
      <c r="E84" s="54"/>
      <c r="F84" s="52"/>
      <c r="G84" s="56"/>
      <c r="H84" s="52"/>
      <c r="I84" s="51"/>
      <c r="J84" s="52"/>
      <c r="K84" s="52"/>
      <c r="L84" s="64"/>
      <c r="M84" s="52"/>
      <c r="N84" s="54"/>
      <c r="O84" s="54"/>
    </row>
    <row r="85" spans="1:15" x14ac:dyDescent="0.2">
      <c r="A85" s="49"/>
      <c r="B85" s="52"/>
      <c r="C85" s="50"/>
      <c r="D85" s="54"/>
      <c r="E85" s="54"/>
      <c r="F85" s="52"/>
      <c r="G85" s="56"/>
      <c r="H85" s="52"/>
      <c r="I85" s="51"/>
      <c r="J85" s="52"/>
      <c r="K85" s="52"/>
      <c r="L85" s="81"/>
      <c r="M85" s="54"/>
      <c r="N85" s="53">
        <f>AVERAGE(N74:N83)</f>
        <v>-1.1500631437856916</v>
      </c>
      <c r="O85" s="53">
        <f>AVERAGE(O74:O83)</f>
        <v>98.849936856214313</v>
      </c>
    </row>
    <row r="86" spans="1:15" x14ac:dyDescent="0.2">
      <c r="A86" s="49"/>
      <c r="B86" s="52"/>
      <c r="C86" s="50"/>
      <c r="D86" s="54"/>
      <c r="E86" s="54"/>
      <c r="F86" s="52"/>
      <c r="G86" s="56"/>
      <c r="H86" s="52"/>
      <c r="I86" s="51"/>
      <c r="J86" s="52"/>
      <c r="K86" s="52"/>
      <c r="L86" s="64"/>
      <c r="M86" s="52"/>
      <c r="N86" s="52"/>
      <c r="O86" s="52"/>
    </row>
    <row r="87" spans="1:15" x14ac:dyDescent="0.2">
      <c r="A87" s="48" t="s">
        <v>307</v>
      </c>
      <c r="B87" s="18"/>
      <c r="D87" s="18"/>
      <c r="E87" s="18"/>
      <c r="F87" s="18"/>
      <c r="G87" s="18"/>
      <c r="H87" s="52"/>
      <c r="I87" s="18"/>
      <c r="J87" s="18"/>
      <c r="K87" s="18"/>
      <c r="M87" s="52"/>
      <c r="N87" s="18"/>
      <c r="O87" s="18"/>
    </row>
    <row r="88" spans="1:15" x14ac:dyDescent="0.2">
      <c r="B88" s="18"/>
      <c r="D88" s="18"/>
      <c r="E88" s="18"/>
      <c r="F88" s="18"/>
      <c r="G88" s="18"/>
      <c r="H88" s="52"/>
      <c r="I88" s="18"/>
      <c r="J88" s="18"/>
      <c r="K88" s="18"/>
      <c r="M88" s="52"/>
      <c r="N88" s="18"/>
      <c r="O88" s="18"/>
    </row>
    <row r="89" spans="1:15" x14ac:dyDescent="0.2">
      <c r="B89" s="18"/>
      <c r="D89" s="18"/>
      <c r="E89" s="18"/>
      <c r="F89" s="18"/>
      <c r="G89" s="18"/>
      <c r="H89" s="52"/>
      <c r="I89" s="18"/>
      <c r="J89" s="18"/>
      <c r="K89" s="18"/>
      <c r="M89" s="52"/>
      <c r="N89" s="18"/>
      <c r="O89" s="18"/>
    </row>
    <row r="90" spans="1:15" x14ac:dyDescent="0.2">
      <c r="B90" s="18"/>
      <c r="D90" s="18"/>
      <c r="E90" s="18"/>
      <c r="F90" s="18"/>
      <c r="G90" s="18"/>
      <c r="H90" s="52"/>
      <c r="I90" s="18"/>
      <c r="J90" s="18"/>
      <c r="K90" s="18"/>
      <c r="M90" s="52"/>
      <c r="N90" s="18"/>
      <c r="O90" s="18"/>
    </row>
    <row r="91" spans="1:15" x14ac:dyDescent="0.2">
      <c r="B91" s="18"/>
      <c r="D91" s="18"/>
      <c r="E91" s="18"/>
      <c r="F91" s="18"/>
      <c r="G91" s="18"/>
      <c r="H91" s="52"/>
      <c r="I91" s="18"/>
      <c r="J91" s="18"/>
      <c r="K91" s="18"/>
      <c r="M91" s="52"/>
      <c r="N91" s="18"/>
      <c r="O91" s="18"/>
    </row>
    <row r="92" spans="1:15" x14ac:dyDescent="0.2">
      <c r="B92" s="18"/>
      <c r="D92" s="18"/>
      <c r="E92" s="18"/>
      <c r="F92" s="18"/>
      <c r="G92" s="18"/>
      <c r="H92" s="52"/>
      <c r="I92" s="18"/>
      <c r="J92" s="18"/>
      <c r="K92" s="18"/>
      <c r="M92" s="52"/>
      <c r="N92" s="18"/>
      <c r="O92" s="18"/>
    </row>
    <row r="93" spans="1:15" x14ac:dyDescent="0.2">
      <c r="B93" s="18"/>
      <c r="D93" s="18"/>
      <c r="E93" s="18"/>
      <c r="F93" s="18"/>
      <c r="G93" s="18"/>
      <c r="H93" s="52"/>
      <c r="I93" s="18"/>
      <c r="J93" s="18"/>
      <c r="K93" s="18"/>
      <c r="M93" s="52"/>
      <c r="N93" s="18"/>
      <c r="O93" s="18"/>
    </row>
    <row r="94" spans="1:15" x14ac:dyDescent="0.2">
      <c r="B94" s="18"/>
      <c r="D94" s="18"/>
      <c r="E94" s="18"/>
      <c r="F94" s="18"/>
      <c r="G94" s="18"/>
      <c r="H94" s="52"/>
      <c r="I94" s="18"/>
      <c r="J94" s="18"/>
      <c r="K94" s="18"/>
      <c r="M94" s="52"/>
      <c r="N94" s="18"/>
      <c r="O94" s="18"/>
    </row>
    <row r="95" spans="1:15" x14ac:dyDescent="0.2">
      <c r="B95" s="18"/>
      <c r="D95" s="18"/>
      <c r="E95" s="18"/>
      <c r="F95" s="18"/>
      <c r="G95" s="18"/>
      <c r="H95" s="52"/>
      <c r="I95" s="18"/>
      <c r="J95" s="18"/>
      <c r="K95" s="18"/>
      <c r="M95" s="52"/>
      <c r="N95" s="18"/>
      <c r="O95" s="18"/>
    </row>
  </sheetData>
  <mergeCells count="4">
    <mergeCell ref="N1:O1"/>
    <mergeCell ref="A2:B2"/>
    <mergeCell ref="C1:G1"/>
    <mergeCell ref="I1:L1"/>
  </mergeCells>
  <phoneticPr fontId="21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2</vt:lpstr>
      <vt:lpstr>Table 3</vt:lpstr>
      <vt:lpstr>Table 4</vt:lpstr>
      <vt:lpstr>Table S1</vt:lpstr>
      <vt:lpstr>Table S2</vt:lpstr>
      <vt:lpstr>Table S3</vt:lpstr>
      <vt:lpstr>Table S4</vt:lpstr>
      <vt:lpstr>Table S5</vt:lpstr>
      <vt:lpstr>Table S6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Dellinger</dc:creator>
  <cp:lastModifiedBy>Mathieu Dellinger</cp:lastModifiedBy>
  <cp:lastPrinted>2019-10-14T14:52:32Z</cp:lastPrinted>
  <dcterms:created xsi:type="dcterms:W3CDTF">2019-07-31T08:51:01Z</dcterms:created>
  <dcterms:modified xsi:type="dcterms:W3CDTF">2019-10-14T15:13:19Z</dcterms:modified>
</cp:coreProperties>
</file>