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ddanaci\Box Sync\Papers\AdsEval\Surrogate\"/>
    </mc:Choice>
  </mc:AlternateContent>
  <xr:revisionPtr revIDLastSave="0" documentId="13_ncr:1_{D7A0F09E-67FE-4A48-B0F9-30B83F48742F}" xr6:coauthVersionLast="41" xr6:coauthVersionMax="41" xr10:uidLastSave="{00000000-0000-0000-0000-000000000000}"/>
  <workbookProtection workbookAlgorithmName="SHA-512" workbookHashValue="UX+ymYYub7d1nPGqtBtJYN6fHJR4HOBMMbeRkTGz0bHjou7obZ3VyDRjtewwGRrxZ1uwzpQR/fH6/ESF0J+nJw==" workbookSaltValue="+AXKbpXHv3FGaqjI6WSBSA==" workbookSpinCount="100000" lockStructure="1"/>
  <bookViews>
    <workbookView xWindow="-120" yWindow="-120" windowWidth="29040" windowHeight="15840" xr2:uid="{6FB7B75B-BC76-4D26-8D7D-B5F116C93F50}"/>
  </bookViews>
  <sheets>
    <sheet name="Introduction" sheetId="2" r:id="rId1"/>
    <sheet name="Model" sheetId="3" r:id="rId2"/>
    <sheet name="Calculations" sheetId="1"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1" l="1"/>
  <c r="B2" i="1"/>
  <c r="B1" i="1"/>
  <c r="W102" i="1" l="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W70" i="1"/>
  <c r="W71" i="1"/>
  <c r="W72" i="1"/>
  <c r="W73" i="1"/>
  <c r="W74" i="1"/>
  <c r="W75" i="1"/>
  <c r="W76" i="1"/>
  <c r="W77" i="1"/>
  <c r="W78" i="1"/>
  <c r="W79" i="1"/>
  <c r="W80" i="1"/>
  <c r="W81" i="1"/>
  <c r="W82" i="1"/>
  <c r="W83" i="1"/>
  <c r="W84" i="1"/>
  <c r="W85" i="1"/>
  <c r="W86" i="1"/>
  <c r="W87" i="1"/>
  <c r="W88" i="1"/>
  <c r="W89" i="1"/>
  <c r="W90" i="1"/>
  <c r="W91" i="1"/>
  <c r="W92" i="1"/>
  <c r="W93" i="1"/>
  <c r="N70" i="1"/>
  <c r="N71" i="1"/>
  <c r="N72" i="1"/>
  <c r="N73" i="1"/>
  <c r="N74" i="1"/>
  <c r="N75" i="1"/>
  <c r="N76" i="1"/>
  <c r="N77" i="1"/>
  <c r="N78" i="1"/>
  <c r="N79" i="1"/>
  <c r="N80" i="1"/>
  <c r="N81" i="1"/>
  <c r="N82" i="1"/>
  <c r="N83" i="1"/>
  <c r="N84" i="1"/>
  <c r="N85" i="1"/>
  <c r="N86" i="1"/>
  <c r="N87" i="1"/>
  <c r="N88" i="1"/>
  <c r="N89" i="1"/>
  <c r="N90" i="1"/>
  <c r="N91" i="1"/>
  <c r="N92" i="1"/>
  <c r="N93" i="1"/>
  <c r="N94" i="1"/>
  <c r="N95" i="1"/>
  <c r="E70" i="1" l="1"/>
  <c r="E71" i="1"/>
  <c r="E72" i="1"/>
  <c r="E73" i="1"/>
  <c r="E74" i="1"/>
  <c r="E75" i="1"/>
  <c r="E76" i="1"/>
  <c r="E77" i="1"/>
  <c r="E78" i="1"/>
  <c r="E79" i="1"/>
  <c r="E80" i="1"/>
  <c r="E81" i="1"/>
  <c r="E82" i="1"/>
  <c r="E83" i="1"/>
  <c r="E84" i="1"/>
  <c r="E85" i="1"/>
  <c r="E86" i="1"/>
  <c r="E87" i="1"/>
  <c r="E88" i="1"/>
  <c r="E89" i="1"/>
  <c r="E90" i="1"/>
  <c r="E91" i="1"/>
  <c r="E92" i="1"/>
  <c r="E93" i="1"/>
  <c r="W40" i="1"/>
  <c r="W41" i="1"/>
  <c r="W42" i="1"/>
  <c r="W43" i="1"/>
  <c r="W44" i="1"/>
  <c r="W45" i="1"/>
  <c r="W46" i="1"/>
  <c r="W47" i="1"/>
  <c r="W48" i="1"/>
  <c r="W49" i="1"/>
  <c r="W50" i="1"/>
  <c r="W51" i="1"/>
  <c r="W52" i="1"/>
  <c r="W53" i="1"/>
  <c r="W54" i="1"/>
  <c r="W55" i="1"/>
  <c r="W56" i="1"/>
  <c r="W57" i="1"/>
  <c r="W58" i="1"/>
  <c r="W59" i="1"/>
  <c r="W60" i="1"/>
  <c r="W61" i="1"/>
  <c r="W62" i="1"/>
  <c r="W63" i="1"/>
  <c r="N40" i="1"/>
  <c r="N41" i="1"/>
  <c r="N42" i="1"/>
  <c r="N43" i="1"/>
  <c r="N44" i="1"/>
  <c r="N45" i="1"/>
  <c r="N46" i="1"/>
  <c r="N47" i="1"/>
  <c r="N48" i="1"/>
  <c r="N49" i="1"/>
  <c r="N50" i="1"/>
  <c r="N51" i="1"/>
  <c r="N52" i="1"/>
  <c r="N53" i="1"/>
  <c r="N54" i="1"/>
  <c r="N55" i="1"/>
  <c r="N56" i="1"/>
  <c r="N57" i="1"/>
  <c r="N58" i="1"/>
  <c r="N59" i="1"/>
  <c r="N60" i="1"/>
  <c r="N61" i="1"/>
  <c r="N62" i="1"/>
  <c r="N63" i="1"/>
  <c r="E40" i="1"/>
  <c r="E41" i="1"/>
  <c r="E42" i="1"/>
  <c r="E43" i="1"/>
  <c r="E44" i="1"/>
  <c r="E45" i="1"/>
  <c r="E46" i="1"/>
  <c r="E47" i="1"/>
  <c r="E48" i="1"/>
  <c r="E49" i="1"/>
  <c r="E50" i="1"/>
  <c r="E51" i="1"/>
  <c r="E52" i="1"/>
  <c r="E53" i="1"/>
  <c r="E54" i="1"/>
  <c r="E55" i="1"/>
  <c r="E56" i="1"/>
  <c r="E57" i="1"/>
  <c r="E58" i="1"/>
  <c r="E59" i="1"/>
  <c r="E60" i="1"/>
  <c r="E61" i="1"/>
  <c r="E62" i="1"/>
  <c r="E63" i="1"/>
  <c r="W10" i="1"/>
  <c r="W11" i="1"/>
  <c r="W12" i="1"/>
  <c r="W13" i="1"/>
  <c r="W14" i="1"/>
  <c r="W15" i="1"/>
  <c r="W16" i="1"/>
  <c r="W17" i="1"/>
  <c r="W18" i="1"/>
  <c r="W19" i="1"/>
  <c r="W20" i="1"/>
  <c r="W21" i="1"/>
  <c r="W22" i="1"/>
  <c r="W23" i="1"/>
  <c r="W24" i="1"/>
  <c r="W25" i="1"/>
  <c r="W26" i="1"/>
  <c r="W27" i="1"/>
  <c r="N24" i="1"/>
  <c r="N10" i="1"/>
  <c r="N11" i="1"/>
  <c r="N12" i="1"/>
  <c r="N13" i="1"/>
  <c r="N14" i="1"/>
  <c r="N15" i="1"/>
  <c r="N16" i="1"/>
  <c r="N17" i="1"/>
  <c r="N18" i="1"/>
  <c r="N19" i="1"/>
  <c r="N20" i="1"/>
  <c r="N21" i="1"/>
  <c r="N22" i="1"/>
  <c r="N23" i="1"/>
  <c r="N25" i="1"/>
  <c r="C3" i="1"/>
  <c r="Y45" i="1" s="1"/>
  <c r="C2" i="1"/>
  <c r="F45" i="1" s="1"/>
  <c r="E10" i="1"/>
  <c r="E11" i="1"/>
  <c r="E12" i="1"/>
  <c r="E13" i="1"/>
  <c r="E14" i="1"/>
  <c r="E15" i="1"/>
  <c r="E16" i="1"/>
  <c r="E17" i="1"/>
  <c r="E18" i="1"/>
  <c r="E19" i="1"/>
  <c r="E20" i="1"/>
  <c r="E21" i="1"/>
  <c r="E22" i="1"/>
  <c r="E23" i="1"/>
  <c r="E24" i="1"/>
  <c r="E25" i="1"/>
  <c r="E26" i="1"/>
  <c r="E27" i="1"/>
  <c r="E28" i="1"/>
  <c r="E29" i="1"/>
  <c r="E30" i="1"/>
  <c r="E31" i="1"/>
  <c r="E32" i="1"/>
  <c r="E33" i="1"/>
  <c r="G61" i="1" l="1"/>
  <c r="P54" i="1"/>
  <c r="P61" i="1"/>
  <c r="Y41" i="1"/>
  <c r="G93" i="1"/>
  <c r="Y125" i="1"/>
  <c r="P117" i="1"/>
  <c r="G109" i="1"/>
  <c r="P89" i="1"/>
  <c r="G77" i="1"/>
  <c r="P55" i="1"/>
  <c r="G43" i="1"/>
  <c r="P16" i="1"/>
  <c r="Y129" i="1"/>
  <c r="Y119" i="1"/>
  <c r="Y108" i="1"/>
  <c r="P122" i="1"/>
  <c r="P111" i="1"/>
  <c r="G107" i="1"/>
  <c r="G118" i="1"/>
  <c r="G128" i="1"/>
  <c r="Y91" i="1"/>
  <c r="Y80" i="1"/>
  <c r="Y70" i="1"/>
  <c r="Y121" i="1"/>
  <c r="P113" i="1"/>
  <c r="G105" i="1"/>
  <c r="P85" i="1"/>
  <c r="G73" i="1"/>
  <c r="P51" i="1"/>
  <c r="Y24" i="1"/>
  <c r="P14" i="1"/>
  <c r="Y128" i="1"/>
  <c r="Y118" i="1"/>
  <c r="Y107" i="1"/>
  <c r="P120" i="1"/>
  <c r="P110" i="1"/>
  <c r="G108" i="1"/>
  <c r="G119" i="1"/>
  <c r="G102" i="1"/>
  <c r="Y90" i="1"/>
  <c r="Y79" i="1"/>
  <c r="Y117" i="1"/>
  <c r="P109" i="1"/>
  <c r="Y89" i="1"/>
  <c r="P81" i="1"/>
  <c r="Y59" i="1"/>
  <c r="P47" i="1"/>
  <c r="Y21" i="1"/>
  <c r="P12" i="1"/>
  <c r="Y127" i="1"/>
  <c r="Y116" i="1"/>
  <c r="Y106" i="1"/>
  <c r="P129" i="1"/>
  <c r="P119" i="1"/>
  <c r="P108" i="1"/>
  <c r="G110" i="1"/>
  <c r="G120" i="1"/>
  <c r="Y88" i="1"/>
  <c r="Y78" i="1"/>
  <c r="Y113" i="1"/>
  <c r="P105" i="1"/>
  <c r="Y85" i="1"/>
  <c r="P77" i="1"/>
  <c r="Y55" i="1"/>
  <c r="P43" i="1"/>
  <c r="Y18" i="1"/>
  <c r="G13" i="1"/>
  <c r="Y126" i="1"/>
  <c r="Y115" i="1"/>
  <c r="Y104" i="1"/>
  <c r="P128" i="1"/>
  <c r="P118" i="1"/>
  <c r="P107" i="1"/>
  <c r="G111" i="1"/>
  <c r="G122" i="1"/>
  <c r="Y87" i="1"/>
  <c r="Y76" i="1"/>
  <c r="Y109" i="1"/>
  <c r="G125" i="1"/>
  <c r="Y81" i="1"/>
  <c r="P73" i="1"/>
  <c r="Y51" i="1"/>
  <c r="G59" i="1"/>
  <c r="Y15" i="1"/>
  <c r="G17" i="1"/>
  <c r="Y124" i="1"/>
  <c r="Y114" i="1"/>
  <c r="Y103" i="1"/>
  <c r="P127" i="1"/>
  <c r="P116" i="1"/>
  <c r="P106" i="1"/>
  <c r="G129" i="1"/>
  <c r="G112" i="1"/>
  <c r="G123" i="1"/>
  <c r="Y86" i="1"/>
  <c r="Y75" i="1"/>
  <c r="Y105" i="1"/>
  <c r="G121" i="1"/>
  <c r="Y77" i="1"/>
  <c r="G89" i="1"/>
  <c r="Y47" i="1"/>
  <c r="G55" i="1"/>
  <c r="Y12" i="1"/>
  <c r="G21" i="1"/>
  <c r="Y123" i="1"/>
  <c r="Y112" i="1"/>
  <c r="Y102" i="1"/>
  <c r="P126" i="1"/>
  <c r="P115" i="1"/>
  <c r="P104" i="1"/>
  <c r="G103" i="1"/>
  <c r="G114" i="1"/>
  <c r="G124" i="1"/>
  <c r="Y84" i="1"/>
  <c r="Y74" i="1"/>
  <c r="P125" i="1"/>
  <c r="G117" i="1"/>
  <c r="Y73" i="1"/>
  <c r="G85" i="1"/>
  <c r="Y43" i="1"/>
  <c r="G51" i="1"/>
  <c r="P22" i="1"/>
  <c r="G25" i="1"/>
  <c r="Y122" i="1"/>
  <c r="Y111" i="1"/>
  <c r="P124" i="1"/>
  <c r="P114" i="1"/>
  <c r="P103" i="1"/>
  <c r="G104" i="1"/>
  <c r="G115" i="1"/>
  <c r="G126" i="1"/>
  <c r="Y93" i="1"/>
  <c r="Y83" i="1"/>
  <c r="Y72" i="1"/>
  <c r="P121" i="1"/>
  <c r="G113" i="1"/>
  <c r="P90" i="1"/>
  <c r="G81" i="1"/>
  <c r="P59" i="1"/>
  <c r="G47" i="1"/>
  <c r="P19" i="1"/>
  <c r="G29" i="1"/>
  <c r="Y120" i="1"/>
  <c r="Y110" i="1"/>
  <c r="P123" i="1"/>
  <c r="P112" i="1"/>
  <c r="P102" i="1"/>
  <c r="G106" i="1"/>
  <c r="G116" i="1"/>
  <c r="G127" i="1"/>
  <c r="Y92" i="1"/>
  <c r="Y82" i="1"/>
  <c r="Y71" i="1"/>
  <c r="Y58" i="1"/>
  <c r="G76" i="1"/>
  <c r="G83" i="1"/>
  <c r="F48" i="1"/>
  <c r="F93" i="1"/>
  <c r="X127" i="1"/>
  <c r="X120" i="1"/>
  <c r="X113" i="1"/>
  <c r="Z113" i="1" s="1"/>
  <c r="X106" i="1"/>
  <c r="O118" i="1"/>
  <c r="O114" i="1"/>
  <c r="O107" i="1"/>
  <c r="F104" i="1"/>
  <c r="F117" i="1"/>
  <c r="F120" i="1"/>
  <c r="X92" i="1"/>
  <c r="X88" i="1"/>
  <c r="Z88" i="1" s="1"/>
  <c r="X77" i="1"/>
  <c r="Z77" i="1" s="1"/>
  <c r="X73" i="1"/>
  <c r="X123" i="1"/>
  <c r="X116" i="1"/>
  <c r="X109" i="1"/>
  <c r="X102" i="1"/>
  <c r="O128" i="1"/>
  <c r="O125" i="1"/>
  <c r="O121" i="1"/>
  <c r="O103" i="1"/>
  <c r="F114" i="1"/>
  <c r="X84" i="1"/>
  <c r="X80" i="1"/>
  <c r="X119" i="1"/>
  <c r="X112" i="1"/>
  <c r="X105" i="1"/>
  <c r="O117" i="1"/>
  <c r="O113" i="1"/>
  <c r="O110" i="1"/>
  <c r="O106" i="1"/>
  <c r="F127" i="1"/>
  <c r="F108" i="1"/>
  <c r="F111" i="1"/>
  <c r="F124" i="1"/>
  <c r="X91" i="1"/>
  <c r="X87" i="1"/>
  <c r="Z87" i="1" s="1"/>
  <c r="X76" i="1"/>
  <c r="Z76" i="1" s="1"/>
  <c r="X72" i="1"/>
  <c r="Z72" i="1" s="1"/>
  <c r="X126" i="1"/>
  <c r="X115" i="1"/>
  <c r="X108" i="1"/>
  <c r="O124" i="1"/>
  <c r="O120" i="1"/>
  <c r="Q120" i="1" s="1"/>
  <c r="F128" i="1"/>
  <c r="H128" i="1" s="1"/>
  <c r="F105" i="1"/>
  <c r="F115" i="1"/>
  <c r="F118" i="1"/>
  <c r="F121" i="1"/>
  <c r="X83" i="1"/>
  <c r="X79" i="1"/>
  <c r="X78" i="1"/>
  <c r="Z78" i="1" s="1"/>
  <c r="X129" i="1"/>
  <c r="X122" i="1"/>
  <c r="X111" i="1"/>
  <c r="X104" i="1"/>
  <c r="O127" i="1"/>
  <c r="O116" i="1"/>
  <c r="O112" i="1"/>
  <c r="O109" i="1"/>
  <c r="Q109" i="1" s="1"/>
  <c r="O105" i="1"/>
  <c r="O102" i="1"/>
  <c r="F129" i="1"/>
  <c r="F109" i="1"/>
  <c r="H109" i="1" s="1"/>
  <c r="F112" i="1"/>
  <c r="F125" i="1"/>
  <c r="F102" i="1"/>
  <c r="X90" i="1"/>
  <c r="X86" i="1"/>
  <c r="X75" i="1"/>
  <c r="X71" i="1"/>
  <c r="X125" i="1"/>
  <c r="X118" i="1"/>
  <c r="X107" i="1"/>
  <c r="O123" i="1"/>
  <c r="O119" i="1"/>
  <c r="F126" i="1"/>
  <c r="F106" i="1"/>
  <c r="F122" i="1"/>
  <c r="X82" i="1"/>
  <c r="X128" i="1"/>
  <c r="Z128" i="1" s="1"/>
  <c r="X121" i="1"/>
  <c r="X114" i="1"/>
  <c r="X103" i="1"/>
  <c r="O115" i="1"/>
  <c r="O108" i="1"/>
  <c r="O104" i="1"/>
  <c r="Q104" i="1" s="1"/>
  <c r="F103" i="1"/>
  <c r="H103" i="1" s="1"/>
  <c r="F116" i="1"/>
  <c r="F119" i="1"/>
  <c r="X93" i="1"/>
  <c r="X89" i="1"/>
  <c r="X74" i="1"/>
  <c r="X70" i="1"/>
  <c r="X124" i="1"/>
  <c r="Z124" i="1" s="1"/>
  <c r="X117" i="1"/>
  <c r="X110" i="1"/>
  <c r="Z110" i="1" s="1"/>
  <c r="O129" i="1"/>
  <c r="O126" i="1"/>
  <c r="O122" i="1"/>
  <c r="O111" i="1"/>
  <c r="F107" i="1"/>
  <c r="F110" i="1"/>
  <c r="H110" i="1" s="1"/>
  <c r="F113" i="1"/>
  <c r="F123" i="1"/>
  <c r="X85" i="1"/>
  <c r="X81" i="1"/>
  <c r="F42" i="1"/>
  <c r="O40" i="1"/>
  <c r="X48" i="1"/>
  <c r="X52" i="1"/>
  <c r="O47" i="1"/>
  <c r="Q47" i="1" s="1"/>
  <c r="X55" i="1"/>
  <c r="Z55" i="1" s="1"/>
  <c r="F58" i="1"/>
  <c r="O58" i="1"/>
  <c r="X62" i="1"/>
  <c r="F87" i="1"/>
  <c r="G57" i="1"/>
  <c r="G54" i="1"/>
  <c r="F51" i="1"/>
  <c r="G44" i="1"/>
  <c r="G41" i="1"/>
  <c r="P40" i="1"/>
  <c r="O44" i="1"/>
  <c r="O51" i="1"/>
  <c r="P58" i="1"/>
  <c r="O62" i="1"/>
  <c r="X42" i="1"/>
  <c r="Y48" i="1"/>
  <c r="Y52" i="1"/>
  <c r="X59" i="1"/>
  <c r="Y62" i="1"/>
  <c r="F70" i="1"/>
  <c r="F77" i="1"/>
  <c r="G80" i="1"/>
  <c r="F84" i="1"/>
  <c r="G87" i="1"/>
  <c r="F91" i="1"/>
  <c r="F73" i="1"/>
  <c r="F80" i="1"/>
  <c r="G60" i="1"/>
  <c r="F57" i="1"/>
  <c r="F54" i="1"/>
  <c r="F44" i="1"/>
  <c r="F41" i="1"/>
  <c r="O41" i="1"/>
  <c r="P44" i="1"/>
  <c r="O48" i="1"/>
  <c r="O55" i="1"/>
  <c r="P62" i="1"/>
  <c r="Y42" i="1"/>
  <c r="X46" i="1"/>
  <c r="X49" i="1"/>
  <c r="X53" i="1"/>
  <c r="G70" i="1"/>
  <c r="F74" i="1"/>
  <c r="F81" i="1"/>
  <c r="G84" i="1"/>
  <c r="F88" i="1"/>
  <c r="G91" i="1"/>
  <c r="G56" i="1"/>
  <c r="G53" i="1"/>
  <c r="G50" i="1"/>
  <c r="F47" i="1"/>
  <c r="F60" i="1"/>
  <c r="P41" i="1"/>
  <c r="O45" i="1"/>
  <c r="P48" i="1"/>
  <c r="O52" i="1"/>
  <c r="O59" i="1"/>
  <c r="O63" i="1"/>
  <c r="X43" i="1"/>
  <c r="Y46" i="1"/>
  <c r="Y49" i="1"/>
  <c r="Y53" i="1"/>
  <c r="X56" i="1"/>
  <c r="X60" i="1"/>
  <c r="X63" i="1"/>
  <c r="G74" i="1"/>
  <c r="F78" i="1"/>
  <c r="F85" i="1"/>
  <c r="G88" i="1"/>
  <c r="F92" i="1"/>
  <c r="F56" i="1"/>
  <c r="F53" i="1"/>
  <c r="F50" i="1"/>
  <c r="F63" i="1"/>
  <c r="O42" i="1"/>
  <c r="P45" i="1"/>
  <c r="O49" i="1"/>
  <c r="P52" i="1"/>
  <c r="O56" i="1"/>
  <c r="P63" i="1"/>
  <c r="X50" i="1"/>
  <c r="Y56" i="1"/>
  <c r="Y60" i="1"/>
  <c r="Y63" i="1"/>
  <c r="F71" i="1"/>
  <c r="G78" i="1"/>
  <c r="F82" i="1"/>
  <c r="F89" i="1"/>
  <c r="G92" i="1"/>
  <c r="F40" i="1"/>
  <c r="F59" i="1"/>
  <c r="G52" i="1"/>
  <c r="G49" i="1"/>
  <c r="G46" i="1"/>
  <c r="F43" i="1"/>
  <c r="F62" i="1"/>
  <c r="P42" i="1"/>
  <c r="O46" i="1"/>
  <c r="P49" i="1"/>
  <c r="O53" i="1"/>
  <c r="P56" i="1"/>
  <c r="O60" i="1"/>
  <c r="X40" i="1"/>
  <c r="X44" i="1"/>
  <c r="X47" i="1"/>
  <c r="Y50" i="1"/>
  <c r="X54" i="1"/>
  <c r="X57" i="1"/>
  <c r="X61" i="1"/>
  <c r="G71" i="1"/>
  <c r="F75" i="1"/>
  <c r="G82" i="1"/>
  <c r="F86" i="1"/>
  <c r="F13" i="1"/>
  <c r="H13" i="1" s="1"/>
  <c r="O79" i="1"/>
  <c r="O86" i="1"/>
  <c r="O89" i="1"/>
  <c r="O93" i="1"/>
  <c r="O76" i="1"/>
  <c r="O83" i="1"/>
  <c r="O94" i="1"/>
  <c r="O73" i="1"/>
  <c r="O80" i="1"/>
  <c r="O90" i="1"/>
  <c r="O95" i="1"/>
  <c r="O77" i="1"/>
  <c r="O87" i="1"/>
  <c r="O91" i="1"/>
  <c r="O92" i="1"/>
  <c r="O74" i="1"/>
  <c r="O84" i="1"/>
  <c r="O71" i="1"/>
  <c r="O78" i="1"/>
  <c r="O81" i="1"/>
  <c r="O88" i="1"/>
  <c r="O75" i="1"/>
  <c r="O85" i="1"/>
  <c r="Q85" i="1" s="1"/>
  <c r="O72" i="1"/>
  <c r="O82" i="1"/>
  <c r="O70" i="1"/>
  <c r="G40" i="1"/>
  <c r="F52" i="1"/>
  <c r="F49" i="1"/>
  <c r="F46" i="1"/>
  <c r="F61" i="1"/>
  <c r="H61" i="1" s="1"/>
  <c r="P46" i="1"/>
  <c r="O50" i="1"/>
  <c r="P53" i="1"/>
  <c r="O57" i="1"/>
  <c r="P60" i="1"/>
  <c r="Y40" i="1"/>
  <c r="Y44" i="1"/>
  <c r="X51" i="1"/>
  <c r="Y54" i="1"/>
  <c r="Y57" i="1"/>
  <c r="Y61" i="1"/>
  <c r="F72" i="1"/>
  <c r="G75" i="1"/>
  <c r="F79" i="1"/>
  <c r="G86" i="1"/>
  <c r="F90" i="1"/>
  <c r="P95" i="1"/>
  <c r="P72" i="1"/>
  <c r="P82" i="1"/>
  <c r="P92" i="1"/>
  <c r="P79" i="1"/>
  <c r="P86" i="1"/>
  <c r="P76" i="1"/>
  <c r="P83" i="1"/>
  <c r="P93" i="1"/>
  <c r="P80" i="1"/>
  <c r="P94" i="1"/>
  <c r="P74" i="1"/>
  <c r="P84" i="1"/>
  <c r="P87" i="1"/>
  <c r="P71" i="1"/>
  <c r="P78" i="1"/>
  <c r="P88" i="1"/>
  <c r="P91" i="1"/>
  <c r="P70" i="1"/>
  <c r="P75" i="1"/>
  <c r="G62" i="1"/>
  <c r="G58" i="1"/>
  <c r="F55" i="1"/>
  <c r="G48" i="1"/>
  <c r="H48" i="1" s="1"/>
  <c r="G45" i="1"/>
  <c r="H45" i="1" s="1"/>
  <c r="G42" i="1"/>
  <c r="G63" i="1"/>
  <c r="O43" i="1"/>
  <c r="P50" i="1"/>
  <c r="O54" i="1"/>
  <c r="P57" i="1"/>
  <c r="O61" i="1"/>
  <c r="Q61" i="1" s="1"/>
  <c r="X41" i="1"/>
  <c r="Z41" i="1" s="1"/>
  <c r="X45" i="1"/>
  <c r="Z45" i="1" s="1"/>
  <c r="X58" i="1"/>
  <c r="G72" i="1"/>
  <c r="F76" i="1"/>
  <c r="G79" i="1"/>
  <c r="F83" i="1"/>
  <c r="G90" i="1"/>
  <c r="O19" i="1"/>
  <c r="O11" i="1"/>
  <c r="X23" i="1"/>
  <c r="X15" i="1"/>
  <c r="O18" i="1"/>
  <c r="O23" i="1"/>
  <c r="X22" i="1"/>
  <c r="X14" i="1"/>
  <c r="O17" i="1"/>
  <c r="O25" i="1"/>
  <c r="X21" i="1"/>
  <c r="Z21" i="1" s="1"/>
  <c r="X13" i="1"/>
  <c r="O16" i="1"/>
  <c r="O24" i="1"/>
  <c r="X20" i="1"/>
  <c r="X12" i="1"/>
  <c r="O10" i="1"/>
  <c r="O15" i="1"/>
  <c r="X19" i="1"/>
  <c r="X11" i="1"/>
  <c r="O22" i="1"/>
  <c r="O14" i="1"/>
  <c r="X18" i="1"/>
  <c r="X25" i="1"/>
  <c r="O21" i="1"/>
  <c r="O13" i="1"/>
  <c r="X10" i="1"/>
  <c r="X17" i="1"/>
  <c r="X27" i="1"/>
  <c r="O20" i="1"/>
  <c r="O12" i="1"/>
  <c r="X24" i="1"/>
  <c r="X16" i="1"/>
  <c r="X26" i="1"/>
  <c r="Y25" i="1"/>
  <c r="P25" i="1"/>
  <c r="P18" i="1"/>
  <c r="P15" i="1"/>
  <c r="Y14" i="1"/>
  <c r="Y11" i="1"/>
  <c r="P21" i="1"/>
  <c r="Y17" i="1"/>
  <c r="P11" i="1"/>
  <c r="Y23" i="1"/>
  <c r="Y20" i="1"/>
  <c r="P10" i="1"/>
  <c r="P17" i="1"/>
  <c r="Y10" i="1"/>
  <c r="Y13" i="1"/>
  <c r="P24" i="1"/>
  <c r="P20" i="1"/>
  <c r="Y26" i="1"/>
  <c r="Y22" i="1"/>
  <c r="Y19" i="1"/>
  <c r="Y16" i="1"/>
  <c r="P23" i="1"/>
  <c r="P13" i="1"/>
  <c r="Y27" i="1"/>
  <c r="F33" i="1"/>
  <c r="G28" i="1"/>
  <c r="G20" i="1"/>
  <c r="G12" i="1"/>
  <c r="G33" i="1"/>
  <c r="F32" i="1"/>
  <c r="F31" i="1"/>
  <c r="F30" i="1"/>
  <c r="F20" i="1"/>
  <c r="G27" i="1"/>
  <c r="F10" i="1"/>
  <c r="F26" i="1"/>
  <c r="F18" i="1"/>
  <c r="G10" i="1"/>
  <c r="G26" i="1"/>
  <c r="G18" i="1"/>
  <c r="F25" i="1"/>
  <c r="F17" i="1"/>
  <c r="F27" i="1"/>
  <c r="F11" i="1"/>
  <c r="G19" i="1"/>
  <c r="G11" i="1"/>
  <c r="F23" i="1"/>
  <c r="G23" i="1"/>
  <c r="F22" i="1"/>
  <c r="F14" i="1"/>
  <c r="G30" i="1"/>
  <c r="G22" i="1"/>
  <c r="G14" i="1"/>
  <c r="F28" i="1"/>
  <c r="F12" i="1"/>
  <c r="F19" i="1"/>
  <c r="F24" i="1"/>
  <c r="F16" i="1"/>
  <c r="G32" i="1"/>
  <c r="G24" i="1"/>
  <c r="G16" i="1"/>
  <c r="F15" i="1"/>
  <c r="G31" i="1"/>
  <c r="G15" i="1"/>
  <c r="F29" i="1"/>
  <c r="F21" i="1"/>
  <c r="Q122" i="1" l="1"/>
  <c r="Z89" i="1"/>
  <c r="Z90" i="1"/>
  <c r="H60" i="1"/>
  <c r="Q73" i="1"/>
  <c r="Z81" i="1"/>
  <c r="Z79" i="1"/>
  <c r="Z106" i="1"/>
  <c r="Q103" i="1"/>
  <c r="Z43" i="1"/>
  <c r="Z103" i="1"/>
  <c r="Q118" i="1"/>
  <c r="Z121" i="1"/>
  <c r="Q77" i="1"/>
  <c r="H83" i="1"/>
  <c r="H89" i="1"/>
  <c r="H56" i="1"/>
  <c r="Z46" i="1"/>
  <c r="H44" i="1"/>
  <c r="H113" i="1"/>
  <c r="Z82" i="1"/>
  <c r="Z126" i="1"/>
  <c r="Z71" i="1"/>
  <c r="H129" i="1"/>
  <c r="H104" i="1"/>
  <c r="H93" i="1"/>
  <c r="Q43" i="1"/>
  <c r="Q89" i="1"/>
  <c r="Z48" i="1"/>
  <c r="H106" i="1"/>
  <c r="Z75" i="1"/>
  <c r="Z122" i="1"/>
  <c r="Q110" i="1"/>
  <c r="H114" i="1"/>
  <c r="H47" i="1"/>
  <c r="Q126" i="1"/>
  <c r="Z93" i="1"/>
  <c r="Q123" i="1"/>
  <c r="H124" i="1"/>
  <c r="Z105" i="1"/>
  <c r="Q125" i="1"/>
  <c r="Z57" i="1"/>
  <c r="H81" i="1"/>
  <c r="H53" i="1"/>
  <c r="H76" i="1"/>
  <c r="H51" i="1"/>
  <c r="Z117" i="1"/>
  <c r="H118" i="1"/>
  <c r="Z127" i="1"/>
  <c r="H122" i="1"/>
  <c r="H115" i="1"/>
  <c r="Z84" i="1"/>
  <c r="Z58" i="1"/>
  <c r="H77" i="1"/>
  <c r="H107" i="1"/>
  <c r="Q102" i="1"/>
  <c r="H105" i="1"/>
  <c r="Z123" i="1"/>
  <c r="Q107" i="1"/>
  <c r="H50" i="1"/>
  <c r="Q106" i="1"/>
  <c r="Z116" i="1"/>
  <c r="H59" i="1"/>
  <c r="Q111" i="1"/>
  <c r="Z74" i="1"/>
  <c r="H126" i="1"/>
  <c r="Q113" i="1"/>
  <c r="Q112" i="1"/>
  <c r="H111" i="1"/>
  <c r="Z107" i="1"/>
  <c r="Q116" i="1"/>
  <c r="Z112" i="1"/>
  <c r="Q54" i="1"/>
  <c r="H43" i="1"/>
  <c r="Z118" i="1"/>
  <c r="Q127" i="1"/>
  <c r="H121" i="1"/>
  <c r="Z102" i="1"/>
  <c r="H120" i="1"/>
  <c r="Z61" i="1"/>
  <c r="H71" i="1"/>
  <c r="Q45" i="1"/>
  <c r="Q62" i="1"/>
  <c r="Z111" i="1"/>
  <c r="Z70" i="1"/>
  <c r="Q108" i="1"/>
  <c r="H102" i="1"/>
  <c r="Z108" i="1"/>
  <c r="Z125" i="1"/>
  <c r="H117" i="1"/>
  <c r="Q115" i="1"/>
  <c r="Q105" i="1"/>
  <c r="Z129" i="1"/>
  <c r="Z91" i="1"/>
  <c r="Q129" i="1"/>
  <c r="Z83" i="1"/>
  <c r="H116" i="1"/>
  <c r="H112" i="1"/>
  <c r="Z115" i="1"/>
  <c r="H108" i="1"/>
  <c r="Z104" i="1"/>
  <c r="H127" i="1"/>
  <c r="Z80" i="1"/>
  <c r="Z109" i="1"/>
  <c r="Q53" i="1"/>
  <c r="Z54" i="1"/>
  <c r="Q42" i="1"/>
  <c r="H70" i="1"/>
  <c r="Z86" i="1"/>
  <c r="Z73" i="1"/>
  <c r="Q114" i="1"/>
  <c r="Q72" i="1"/>
  <c r="Q74" i="1"/>
  <c r="Q46" i="1"/>
  <c r="H78" i="1"/>
  <c r="H74" i="1"/>
  <c r="H80" i="1"/>
  <c r="Q119" i="1"/>
  <c r="Q117" i="1"/>
  <c r="Q121" i="1"/>
  <c r="H55" i="1"/>
  <c r="Q92" i="1"/>
  <c r="Z114" i="1"/>
  <c r="Q124" i="1"/>
  <c r="H46" i="1"/>
  <c r="Q91" i="1"/>
  <c r="Z53" i="1"/>
  <c r="Z85" i="1"/>
  <c r="H119" i="1"/>
  <c r="H125" i="1"/>
  <c r="Q128" i="1"/>
  <c r="Z92" i="1"/>
  <c r="H88" i="1"/>
  <c r="H49" i="1"/>
  <c r="Q56" i="1"/>
  <c r="Z60" i="1"/>
  <c r="H41" i="1"/>
  <c r="H123" i="1"/>
  <c r="Z119" i="1"/>
  <c r="Z120" i="1"/>
  <c r="H86" i="1"/>
  <c r="Q40" i="1"/>
  <c r="Z63" i="1"/>
  <c r="Q58" i="1"/>
  <c r="Z20" i="1"/>
  <c r="H63" i="1"/>
  <c r="H42" i="1"/>
  <c r="Z52" i="1"/>
  <c r="Z62" i="1"/>
  <c r="H58" i="1"/>
  <c r="Q59" i="1"/>
  <c r="H72" i="1"/>
  <c r="H52" i="1"/>
  <c r="Q88" i="1"/>
  <c r="Q87" i="1"/>
  <c r="Q76" i="1"/>
  <c r="Z47" i="1"/>
  <c r="Q49" i="1"/>
  <c r="Q63" i="1"/>
  <c r="H91" i="1"/>
  <c r="Z59" i="1"/>
  <c r="H87" i="1"/>
  <c r="Q57" i="1"/>
  <c r="Q81" i="1"/>
  <c r="Q93" i="1"/>
  <c r="Z44" i="1"/>
  <c r="H62" i="1"/>
  <c r="Q44" i="1"/>
  <c r="Q78" i="1"/>
  <c r="Q95" i="1"/>
  <c r="H75" i="1"/>
  <c r="Z40" i="1"/>
  <c r="Z50" i="1"/>
  <c r="Q55" i="1"/>
  <c r="H54" i="1"/>
  <c r="H84" i="1"/>
  <c r="Q50" i="1"/>
  <c r="Q70" i="1"/>
  <c r="Q71" i="1"/>
  <c r="Q90" i="1"/>
  <c r="Q86" i="1"/>
  <c r="Q60" i="1"/>
  <c r="H85" i="1"/>
  <c r="H92" i="1"/>
  <c r="Z56" i="1"/>
  <c r="Q52" i="1"/>
  <c r="Q51" i="1"/>
  <c r="H57" i="1"/>
  <c r="H90" i="1"/>
  <c r="Z51" i="1"/>
  <c r="Q82" i="1"/>
  <c r="Q84" i="1"/>
  <c r="Q80" i="1"/>
  <c r="Q79" i="1"/>
  <c r="H82" i="1"/>
  <c r="Q48" i="1"/>
  <c r="Z42" i="1"/>
  <c r="H73" i="1"/>
  <c r="H79" i="1"/>
  <c r="Q94" i="1"/>
  <c r="Z49" i="1"/>
  <c r="Q41" i="1"/>
  <c r="Q75" i="1"/>
  <c r="Q83" i="1"/>
  <c r="H40" i="1"/>
  <c r="Q10" i="1"/>
  <c r="Q23" i="1"/>
  <c r="H15" i="1"/>
  <c r="Q17" i="1"/>
  <c r="Z12" i="1"/>
  <c r="Z14" i="1"/>
  <c r="Z11" i="1"/>
  <c r="Z15" i="1"/>
  <c r="Z23" i="1"/>
  <c r="Z26" i="1"/>
  <c r="Q14" i="1"/>
  <c r="Q16" i="1"/>
  <c r="Q18" i="1"/>
  <c r="Q11" i="1"/>
  <c r="Q15" i="1"/>
  <c r="Z10" i="1"/>
  <c r="Z19" i="1"/>
  <c r="Q19" i="1"/>
  <c r="Q12" i="1"/>
  <c r="Z18" i="1"/>
  <c r="Z25" i="1"/>
  <c r="Z24" i="1"/>
  <c r="H25" i="1"/>
  <c r="H23" i="1"/>
  <c r="Z22" i="1"/>
  <c r="Z17" i="1"/>
  <c r="Q13" i="1"/>
  <c r="Z13" i="1"/>
  <c r="Q21" i="1"/>
  <c r="Q22" i="1"/>
  <c r="Z27" i="1"/>
  <c r="Q20" i="1"/>
  <c r="Q24" i="1"/>
  <c r="Z16" i="1"/>
  <c r="Q25" i="1"/>
  <c r="H28" i="1"/>
  <c r="H12" i="1"/>
  <c r="H33" i="1"/>
  <c r="H32" i="1"/>
  <c r="H22" i="1"/>
  <c r="H10" i="1"/>
  <c r="H17" i="1"/>
  <c r="H20" i="1"/>
  <c r="H11" i="1"/>
  <c r="H21" i="1"/>
  <c r="H30" i="1"/>
  <c r="H29" i="1"/>
  <c r="H24" i="1"/>
  <c r="H14" i="1"/>
  <c r="H31" i="1"/>
  <c r="H16" i="1"/>
  <c r="H27" i="1"/>
  <c r="H19" i="1"/>
  <c r="H18" i="1"/>
  <c r="H26" i="1"/>
  <c r="AE13" i="1" l="1"/>
  <c r="E23" i="3" s="1"/>
  <c r="AF13" i="1"/>
  <c r="F23" i="3" s="1"/>
  <c r="AG12" i="1"/>
  <c r="G22" i="3" s="1"/>
  <c r="AG13" i="1"/>
  <c r="G23" i="3" s="1"/>
  <c r="AE12" i="1"/>
  <c r="E22" i="3" s="1"/>
  <c r="AF11" i="1"/>
  <c r="F21" i="3" s="1"/>
  <c r="AF12" i="1"/>
  <c r="F22" i="3" s="1"/>
  <c r="AE10" i="1"/>
  <c r="E20" i="3" s="1"/>
  <c r="AF10" i="1"/>
  <c r="F20" i="3" s="1"/>
  <c r="AG10" i="1"/>
  <c r="G20" i="3" s="1"/>
  <c r="AE11" i="1"/>
  <c r="E21" i="3" s="1"/>
  <c r="AG11" i="1"/>
  <c r="G21" i="3" s="1"/>
</calcChain>
</file>

<file path=xl/sharedStrings.xml><?xml version="1.0" encoding="utf-8"?>
<sst xmlns="http://schemas.openxmlformats.org/spreadsheetml/2006/main" count="192" uniqueCount="66">
  <si>
    <t>m</t>
  </si>
  <si>
    <t>dHCO2</t>
  </si>
  <si>
    <t>dHN2</t>
  </si>
  <si>
    <t>min</t>
  </si>
  <si>
    <t>max</t>
  </si>
  <si>
    <t>out</t>
  </si>
  <si>
    <t>chk1</t>
  </si>
  <si>
    <t>chk2</t>
  </si>
  <si>
    <t>select</t>
  </si>
  <si>
    <t>NGCC Purity</t>
  </si>
  <si>
    <t>NGCC Recovery</t>
  </si>
  <si>
    <t>NGCC Cost</t>
  </si>
  <si>
    <t>NGCC</t>
  </si>
  <si>
    <t>PC</t>
  </si>
  <si>
    <t>Steel</t>
  </si>
  <si>
    <t>Cement</t>
  </si>
  <si>
    <t>Pur</t>
  </si>
  <si>
    <t>Rec</t>
  </si>
  <si>
    <t>ACC</t>
  </si>
  <si>
    <t>PC Purity</t>
  </si>
  <si>
    <t>PC Recovery</t>
  </si>
  <si>
    <t>PC Cost</t>
  </si>
  <si>
    <t>Cement Purity</t>
  </si>
  <si>
    <t>Cement Recovery</t>
  </si>
  <si>
    <t>Cement Cost</t>
  </si>
  <si>
    <t>Steel Purity</t>
  </si>
  <si>
    <t>Steel Recovery</t>
  </si>
  <si>
    <t>Steel Cost</t>
  </si>
  <si>
    <t>Associated content for:</t>
  </si>
  <si>
    <t>Surrogate Model</t>
  </si>
  <si>
    <t>D. Danaci, M. Bui, N. Mac Dowell, C. Petit</t>
  </si>
  <si>
    <t>Scope</t>
  </si>
  <si>
    <t>Adsorbent physical properties fixed to UTSA-16</t>
  </si>
  <si>
    <t>See sensitivity analysis in main paper for implications</t>
  </si>
  <si>
    <t>Single-site Langmuir isotherms only</t>
  </si>
  <si>
    <t>Desorption pressure fixed at 0.01 bar(a)</t>
  </si>
  <si>
    <t>Use instructions</t>
  </si>
  <si>
    <r>
      <t xml:space="preserve">mmax in mol/kg, </t>
    </r>
    <r>
      <rPr>
        <sz val="11"/>
        <color theme="1"/>
        <rFont val="Calibri"/>
        <family val="2"/>
      </rPr>
      <t>ΔH in J/mol, P in bar</t>
    </r>
  </si>
  <si>
    <t>Fit CO2 and N2 isotherm data simultaneously to simplified SSL equation</t>
  </si>
  <si>
    <t>Ensure fit is appropriate for pressure range of interest</t>
  </si>
  <si>
    <t>N2 data must be fit well up to at least 1 bar(a)</t>
  </si>
  <si>
    <t>CO2 data must be fit well up to at least 0.40 bar(a)</t>
  </si>
  <si>
    <t>Minimum 2 temperatures required for each, ideally 3 - above 20 °C</t>
  </si>
  <si>
    <t>Input the 3 fitting parameters in to "Model" sheet</t>
  </si>
  <si>
    <t>Input parameters</t>
  </si>
  <si>
    <r>
      <t xml:space="preserve">1 </t>
    </r>
    <r>
      <rPr>
        <sz val="11"/>
        <color theme="1"/>
        <rFont val="Calibri"/>
        <family val="2"/>
      </rPr>
      <t>≤</t>
    </r>
    <r>
      <rPr>
        <sz val="14.3"/>
        <color theme="1"/>
        <rFont val="Calibri"/>
        <family val="2"/>
      </rPr>
      <t xml:space="preserve"> </t>
    </r>
    <r>
      <rPr>
        <sz val="11"/>
        <color theme="1"/>
        <rFont val="Calibri"/>
        <family val="2"/>
        <scheme val="minor"/>
      </rPr>
      <t>m</t>
    </r>
    <r>
      <rPr>
        <vertAlign val="subscript"/>
        <sz val="11"/>
        <color theme="1"/>
        <rFont val="Calibri"/>
        <family val="2"/>
        <scheme val="minor"/>
      </rPr>
      <t>max</t>
    </r>
    <r>
      <rPr>
        <sz val="11"/>
        <color theme="1"/>
        <rFont val="Calibri"/>
        <family val="2"/>
        <scheme val="minor"/>
      </rPr>
      <t xml:space="preserve"> ≤ 16</t>
    </r>
  </si>
  <si>
    <r>
      <t xml:space="preserve">24000 ≤ </t>
    </r>
    <r>
      <rPr>
        <sz val="11"/>
        <color theme="1"/>
        <rFont val="Calibri"/>
        <family val="2"/>
      </rPr>
      <t>Δ</t>
    </r>
    <r>
      <rPr>
        <sz val="11"/>
        <color theme="1"/>
        <rFont val="Calibri"/>
        <family val="2"/>
        <scheme val="minor"/>
      </rPr>
      <t>H</t>
    </r>
    <r>
      <rPr>
        <vertAlign val="subscript"/>
        <sz val="11"/>
        <color theme="1"/>
        <rFont val="Calibri"/>
        <family val="2"/>
        <scheme val="minor"/>
      </rPr>
      <t>CO2</t>
    </r>
    <r>
      <rPr>
        <sz val="11"/>
        <color theme="1"/>
        <rFont val="Calibri"/>
        <family val="2"/>
        <scheme val="minor"/>
      </rPr>
      <t xml:space="preserve"> ≤ 60000</t>
    </r>
  </si>
  <si>
    <r>
      <t xml:space="preserve">11000 ≤ </t>
    </r>
    <r>
      <rPr>
        <sz val="11"/>
        <color theme="1"/>
        <rFont val="Calibri"/>
        <family val="2"/>
      </rPr>
      <t>Δ</t>
    </r>
    <r>
      <rPr>
        <sz val="11"/>
        <color theme="1"/>
        <rFont val="Calibri"/>
        <family val="2"/>
        <scheme val="minor"/>
      </rPr>
      <t>H</t>
    </r>
    <r>
      <rPr>
        <vertAlign val="subscript"/>
        <sz val="11"/>
        <color theme="1"/>
        <rFont val="Calibri"/>
        <family val="2"/>
        <scheme val="minor"/>
      </rPr>
      <t>N2</t>
    </r>
    <r>
      <rPr>
        <sz val="11"/>
        <color theme="1"/>
        <rFont val="Calibri"/>
        <family val="2"/>
        <scheme val="minor"/>
      </rPr>
      <t xml:space="preserve"> ≤ 20000</t>
    </r>
  </si>
  <si>
    <t>Ensure all parameters are within the range defined in the scope above</t>
  </si>
  <si>
    <t>Model output</t>
  </si>
  <si>
    <t>Natural gas scenario</t>
  </si>
  <si>
    <t>Coal scenario</t>
  </si>
  <si>
    <t>Cement scenario</t>
  </si>
  <si>
    <t>Steel scenario</t>
  </si>
  <si>
    <t>Purity</t>
  </si>
  <si>
    <t>Recovery</t>
  </si>
  <si>
    <t>Capture Cost</t>
  </si>
  <si>
    <r>
      <t>m</t>
    </r>
    <r>
      <rPr>
        <b/>
        <vertAlign val="subscript"/>
        <sz val="11"/>
        <color theme="1"/>
        <rFont val="Calibri"/>
        <family val="2"/>
        <scheme val="minor"/>
      </rPr>
      <t>max</t>
    </r>
  </si>
  <si>
    <r>
      <t>ΔH</t>
    </r>
    <r>
      <rPr>
        <b/>
        <vertAlign val="subscript"/>
        <sz val="11"/>
        <color theme="1"/>
        <rFont val="Calibri"/>
        <family val="2"/>
      </rPr>
      <t>CO2</t>
    </r>
  </si>
  <si>
    <r>
      <t>ΔH</t>
    </r>
    <r>
      <rPr>
        <b/>
        <vertAlign val="subscript"/>
        <sz val="11"/>
        <color theme="1"/>
        <rFont val="Calibri"/>
        <family val="2"/>
      </rPr>
      <t>N2</t>
    </r>
  </si>
  <si>
    <t>CO2 molar fraction</t>
  </si>
  <si>
    <t>£/t - CEPCI = 616.3</t>
  </si>
  <si>
    <t>Units</t>
  </si>
  <si>
    <t>mol/kg</t>
  </si>
  <si>
    <t>J/mol</t>
  </si>
  <si>
    <t>Exploring the limits of adsorption-based CO2 capture using MOFs with PVSA – from molecular design to process economics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</si>
</sst>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6"/>
      <color theme="1"/>
      <name val="Calibri"/>
      <family val="2"/>
      <scheme val="minor"/>
    </font>
    <font>
      <i/>
      <sz val="14"/>
      <color theme="1"/>
      <name val="Calibri"/>
      <family val="2"/>
      <scheme val="minor"/>
    </font>
    <font>
      <sz val="11"/>
      <color theme="1"/>
      <name val="Calibri"/>
      <family val="2"/>
    </font>
    <font>
      <vertAlign val="subscript"/>
      <sz val="11"/>
      <color theme="1"/>
      <name val="Calibri"/>
      <family val="2"/>
      <scheme val="minor"/>
    </font>
    <font>
      <sz val="14.3"/>
      <color theme="1"/>
      <name val="Calibri"/>
      <family val="2"/>
    </font>
    <font>
      <b/>
      <vertAlign val="subscript"/>
      <sz val="11"/>
      <color theme="1"/>
      <name val="Calibri"/>
      <family val="2"/>
      <scheme val="minor"/>
    </font>
    <font>
      <b/>
      <sz val="11"/>
      <color theme="1"/>
      <name val="Calibri"/>
      <family val="2"/>
    </font>
    <font>
      <b/>
      <vertAlign val="subscript"/>
      <sz val="11"/>
      <color theme="1"/>
      <name val="Calibri"/>
      <family val="2"/>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0" fontId="2" fillId="2" borderId="0" xfId="0" applyFont="1" applyFill="1"/>
    <xf numFmtId="0" fontId="0" fillId="2" borderId="0" xfId="0" applyFill="1"/>
    <xf numFmtId="0" fontId="3" fillId="2" borderId="0" xfId="0" applyFont="1" applyFill="1"/>
    <xf numFmtId="0" fontId="1" fillId="2" borderId="0" xfId="0" applyFont="1" applyFill="1"/>
    <xf numFmtId="0" fontId="0" fillId="2" borderId="1" xfId="0" applyFill="1" applyBorder="1" applyAlignment="1">
      <alignment horizontal="center"/>
    </xf>
    <xf numFmtId="0" fontId="0" fillId="2" borderId="2" xfId="0" applyFill="1" applyBorder="1"/>
    <xf numFmtId="0" fontId="0" fillId="2" borderId="3" xfId="0" applyFill="1" applyBorder="1"/>
    <xf numFmtId="0" fontId="0" fillId="2" borderId="0" xfId="0" applyFill="1" applyBorder="1"/>
    <xf numFmtId="0" fontId="0" fillId="2" borderId="4" xfId="0" applyFill="1" applyBorder="1" applyAlignment="1">
      <alignment horizontal="center"/>
    </xf>
    <xf numFmtId="0" fontId="0" fillId="2" borderId="5" xfId="0" applyFill="1" applyBorder="1"/>
    <xf numFmtId="0" fontId="0" fillId="2" borderId="0" xfId="0" applyFill="1" applyBorder="1" applyAlignment="1">
      <alignment horizontal="left" indent="1"/>
    </xf>
    <xf numFmtId="0" fontId="0" fillId="2" borderId="6" xfId="0" applyFill="1" applyBorder="1"/>
    <xf numFmtId="0" fontId="0" fillId="2" borderId="7" xfId="0" applyFill="1" applyBorder="1"/>
    <xf numFmtId="0" fontId="0" fillId="2" borderId="8" xfId="0" applyFill="1" applyBorder="1"/>
    <xf numFmtId="0" fontId="0" fillId="2" borderId="0" xfId="0" applyFill="1" applyBorder="1" applyAlignment="1">
      <alignment horizontal="center"/>
    </xf>
    <xf numFmtId="0" fontId="1" fillId="2" borderId="0" xfId="0" applyFont="1" applyFill="1" applyBorder="1"/>
    <xf numFmtId="0" fontId="0" fillId="2" borderId="4" xfId="0" applyFill="1" applyBorder="1"/>
    <xf numFmtId="0" fontId="0" fillId="2" borderId="1" xfId="0" applyFill="1" applyBorder="1"/>
    <xf numFmtId="0" fontId="1" fillId="2" borderId="4" xfId="0" applyFont="1" applyFill="1" applyBorder="1" applyAlignment="1">
      <alignment horizontal="left" indent="1"/>
    </xf>
    <xf numFmtId="0" fontId="8" fillId="2" borderId="4" xfId="0" applyFont="1" applyFill="1" applyBorder="1" applyAlignment="1">
      <alignment horizontal="left" indent="1"/>
    </xf>
    <xf numFmtId="0" fontId="1" fillId="2" borderId="0" xfId="0" applyFont="1" applyFill="1" applyBorder="1" applyAlignment="1">
      <alignment horizontal="center"/>
    </xf>
    <xf numFmtId="0" fontId="10" fillId="2" borderId="4" xfId="0" applyFont="1" applyFill="1" applyBorder="1" applyAlignment="1">
      <alignment horizontal="left" indent="1"/>
    </xf>
    <xf numFmtId="0" fontId="0" fillId="3" borderId="0" xfId="0" applyFill="1" applyBorder="1" applyAlignment="1" applyProtection="1">
      <alignment horizontal="center"/>
      <protection locked="0"/>
    </xf>
    <xf numFmtId="0" fontId="1" fillId="2" borderId="9" xfId="0" applyFont="1" applyFill="1" applyBorder="1" applyAlignment="1">
      <alignment horizontal="left" indent="1"/>
    </xf>
    <xf numFmtId="0" fontId="0" fillId="2" borderId="10" xfId="0" applyFill="1" applyBorder="1"/>
    <xf numFmtId="2" fontId="0" fillId="2" borderId="10" xfId="0" applyNumberFormat="1" applyFill="1" applyBorder="1" applyAlignment="1">
      <alignment horizontal="center"/>
    </xf>
    <xf numFmtId="1" fontId="0" fillId="2" borderId="10" xfId="0" applyNumberFormat="1" applyFill="1" applyBorder="1" applyAlignment="1">
      <alignment horizontal="center"/>
    </xf>
    <xf numFmtId="0" fontId="0" fillId="2" borderId="11" xfId="0" applyFill="1" applyBorder="1"/>
    <xf numFmtId="0" fontId="0" fillId="2" borderId="0" xfId="0" applyFill="1" applyBorder="1" applyAlignment="1">
      <alignment horizontal="left" indent="2"/>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2</xdr:col>
      <xdr:colOff>33129</xdr:colOff>
      <xdr:row>26</xdr:row>
      <xdr:rowOff>49698</xdr:rowOff>
    </xdr:from>
    <xdr:to>
      <xdr:col>7</xdr:col>
      <xdr:colOff>286981</xdr:colOff>
      <xdr:row>38</xdr:row>
      <xdr:rowOff>16568</xdr:rowOff>
    </xdr:to>
    <xdr:pic>
      <xdr:nvPicPr>
        <xdr:cNvPr id="5" name="Picture 4">
          <a:extLst>
            <a:ext uri="{FF2B5EF4-FFF2-40B4-BE49-F238E27FC236}">
              <a16:creationId xmlns:a16="http://schemas.microsoft.com/office/drawing/2014/main" id="{1A648C21-1B53-4B45-824A-E262DA06B0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8955" y="4530589"/>
          <a:ext cx="3318417" cy="22528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5F57D-9F6E-48BA-98A2-4F926CAC09A6}">
  <dimension ref="B2:L48"/>
  <sheetViews>
    <sheetView tabSelected="1" zoomScale="130" zoomScaleNormal="130" workbookViewId="0"/>
  </sheetViews>
  <sheetFormatPr defaultRowHeight="15" x14ac:dyDescent="0.25"/>
  <cols>
    <col min="1" max="16384" width="9.140625" style="5"/>
  </cols>
  <sheetData>
    <row r="2" spans="2:12" ht="21" x14ac:dyDescent="0.35">
      <c r="B2" s="4" t="s">
        <v>28</v>
      </c>
    </row>
    <row r="3" spans="2:12" ht="21" x14ac:dyDescent="0.35">
      <c r="B3" s="4" t="s">
        <v>65</v>
      </c>
    </row>
    <row r="4" spans="2:12" ht="18.75" x14ac:dyDescent="0.3">
      <c r="B4" s="6" t="s">
        <v>30</v>
      </c>
    </row>
    <row r="6" spans="2:12" ht="21" x14ac:dyDescent="0.35">
      <c r="B6" s="4" t="s">
        <v>29</v>
      </c>
    </row>
    <row r="10" spans="2:12" ht="15.75" thickBot="1" x14ac:dyDescent="0.3">
      <c r="B10" s="7" t="s">
        <v>31</v>
      </c>
    </row>
    <row r="11" spans="2:12" x14ac:dyDescent="0.25">
      <c r="B11" s="8">
        <v>1</v>
      </c>
      <c r="C11" s="9" t="s">
        <v>35</v>
      </c>
      <c r="D11" s="9"/>
      <c r="E11" s="9"/>
      <c r="F11" s="9"/>
      <c r="G11" s="9"/>
      <c r="H11" s="9"/>
      <c r="I11" s="9"/>
      <c r="J11" s="10"/>
      <c r="K11" s="11"/>
      <c r="L11" s="11"/>
    </row>
    <row r="12" spans="2:12" x14ac:dyDescent="0.25">
      <c r="B12" s="12"/>
      <c r="C12" s="11"/>
      <c r="D12" s="11"/>
      <c r="E12" s="11"/>
      <c r="F12" s="11"/>
      <c r="G12" s="11"/>
      <c r="H12" s="11"/>
      <c r="I12" s="11"/>
      <c r="J12" s="13"/>
      <c r="K12" s="11"/>
      <c r="L12" s="11"/>
    </row>
    <row r="13" spans="2:12" x14ac:dyDescent="0.25">
      <c r="B13" s="12">
        <v>2</v>
      </c>
      <c r="C13" s="11" t="s">
        <v>32</v>
      </c>
      <c r="D13" s="11"/>
      <c r="E13" s="11"/>
      <c r="F13" s="11"/>
      <c r="G13" s="11"/>
      <c r="H13" s="11"/>
      <c r="I13" s="11"/>
      <c r="J13" s="13"/>
      <c r="K13" s="11"/>
      <c r="L13" s="11"/>
    </row>
    <row r="14" spans="2:12" x14ac:dyDescent="0.25">
      <c r="B14" s="12"/>
      <c r="C14" s="14" t="s">
        <v>33</v>
      </c>
      <c r="D14" s="11"/>
      <c r="E14" s="11"/>
      <c r="F14" s="11"/>
      <c r="G14" s="11"/>
      <c r="H14" s="11"/>
      <c r="I14" s="11"/>
      <c r="J14" s="13"/>
      <c r="K14" s="11"/>
      <c r="L14" s="11"/>
    </row>
    <row r="15" spans="2:12" x14ac:dyDescent="0.25">
      <c r="B15" s="12"/>
      <c r="C15" s="11"/>
      <c r="D15" s="11"/>
      <c r="E15" s="11"/>
      <c r="F15" s="11"/>
      <c r="G15" s="11"/>
      <c r="H15" s="11"/>
      <c r="I15" s="11"/>
      <c r="J15" s="13"/>
      <c r="K15" s="11"/>
      <c r="L15" s="11"/>
    </row>
    <row r="16" spans="2:12" x14ac:dyDescent="0.25">
      <c r="B16" s="12">
        <v>3</v>
      </c>
      <c r="C16" s="11" t="s">
        <v>34</v>
      </c>
      <c r="D16" s="11"/>
      <c r="E16" s="11"/>
      <c r="F16" s="11"/>
      <c r="G16" s="11"/>
      <c r="H16" s="11"/>
      <c r="I16" s="11"/>
      <c r="J16" s="13"/>
      <c r="K16" s="11"/>
      <c r="L16" s="11"/>
    </row>
    <row r="17" spans="2:12" ht="19.5" x14ac:dyDescent="0.35">
      <c r="B17" s="20"/>
      <c r="C17" s="14" t="s">
        <v>45</v>
      </c>
      <c r="D17" s="11"/>
      <c r="E17" s="11"/>
      <c r="F17" s="11"/>
      <c r="G17" s="11"/>
      <c r="H17" s="11"/>
      <c r="I17" s="11"/>
      <c r="J17" s="13"/>
      <c r="K17" s="11"/>
      <c r="L17" s="11"/>
    </row>
    <row r="18" spans="2:12" ht="18" x14ac:dyDescent="0.35">
      <c r="B18" s="20"/>
      <c r="C18" s="14" t="s">
        <v>46</v>
      </c>
      <c r="D18" s="11"/>
      <c r="E18" s="11"/>
      <c r="F18" s="11"/>
      <c r="G18" s="11"/>
      <c r="H18" s="11"/>
      <c r="I18" s="11"/>
      <c r="J18" s="13"/>
      <c r="K18" s="11"/>
      <c r="L18" s="11"/>
    </row>
    <row r="19" spans="2:12" ht="18" x14ac:dyDescent="0.35">
      <c r="B19" s="20"/>
      <c r="C19" s="14" t="s">
        <v>47</v>
      </c>
      <c r="D19" s="11"/>
      <c r="E19" s="11"/>
      <c r="F19" s="11"/>
      <c r="G19" s="11"/>
      <c r="H19" s="11"/>
      <c r="I19" s="11"/>
      <c r="J19" s="13"/>
      <c r="K19" s="11"/>
      <c r="L19" s="11"/>
    </row>
    <row r="20" spans="2:12" ht="15.75" thickBot="1" x14ac:dyDescent="0.3">
      <c r="B20" s="15"/>
      <c r="C20" s="16"/>
      <c r="D20" s="16"/>
      <c r="E20" s="16"/>
      <c r="F20" s="16"/>
      <c r="G20" s="16"/>
      <c r="H20" s="16"/>
      <c r="I20" s="16"/>
      <c r="J20" s="17"/>
      <c r="K20" s="11"/>
      <c r="L20" s="11"/>
    </row>
    <row r="21" spans="2:12" x14ac:dyDescent="0.25">
      <c r="B21" s="11"/>
      <c r="C21" s="11"/>
      <c r="D21" s="11"/>
      <c r="E21" s="11"/>
      <c r="F21" s="11"/>
      <c r="G21" s="11"/>
      <c r="H21" s="11"/>
      <c r="I21" s="11"/>
      <c r="J21" s="11"/>
      <c r="K21" s="11"/>
      <c r="L21" s="11"/>
    </row>
    <row r="22" spans="2:12" x14ac:dyDescent="0.25">
      <c r="B22" s="18"/>
      <c r="C22" s="11"/>
      <c r="D22" s="11"/>
      <c r="E22" s="11"/>
      <c r="F22" s="11"/>
      <c r="G22" s="11"/>
      <c r="H22" s="11"/>
      <c r="I22" s="11"/>
      <c r="J22" s="11"/>
      <c r="K22" s="11"/>
      <c r="L22" s="11"/>
    </row>
    <row r="23" spans="2:12" ht="15.75" thickBot="1" x14ac:dyDescent="0.3">
      <c r="B23" s="19" t="s">
        <v>36</v>
      </c>
      <c r="C23" s="11"/>
      <c r="D23" s="11"/>
      <c r="E23" s="11"/>
      <c r="F23" s="11"/>
      <c r="G23" s="11"/>
      <c r="H23" s="11"/>
      <c r="I23" s="11"/>
      <c r="J23" s="11"/>
      <c r="K23" s="11"/>
      <c r="L23" s="11"/>
    </row>
    <row r="24" spans="2:12" x14ac:dyDescent="0.25">
      <c r="B24" s="8">
        <v>1</v>
      </c>
      <c r="C24" s="9" t="s">
        <v>38</v>
      </c>
      <c r="D24" s="9"/>
      <c r="E24" s="9"/>
      <c r="F24" s="9"/>
      <c r="G24" s="9"/>
      <c r="H24" s="9"/>
      <c r="I24" s="9"/>
      <c r="J24" s="10"/>
      <c r="K24" s="11"/>
      <c r="L24" s="11"/>
    </row>
    <row r="25" spans="2:12" x14ac:dyDescent="0.25">
      <c r="B25" s="12"/>
      <c r="C25" s="14" t="s">
        <v>42</v>
      </c>
      <c r="D25" s="11"/>
      <c r="E25" s="11"/>
      <c r="F25" s="11"/>
      <c r="G25" s="11"/>
      <c r="H25" s="11"/>
      <c r="I25" s="11"/>
      <c r="J25" s="13"/>
      <c r="K25" s="11"/>
      <c r="L25" s="11"/>
    </row>
    <row r="26" spans="2:12" x14ac:dyDescent="0.25">
      <c r="B26" s="12"/>
      <c r="C26" s="14" t="s">
        <v>37</v>
      </c>
      <c r="D26" s="11"/>
      <c r="E26" s="11"/>
      <c r="F26" s="11"/>
      <c r="G26" s="11"/>
      <c r="H26" s="11"/>
      <c r="I26" s="11"/>
      <c r="J26" s="13"/>
      <c r="K26" s="11"/>
      <c r="L26" s="11"/>
    </row>
    <row r="27" spans="2:12" x14ac:dyDescent="0.25">
      <c r="B27" s="12"/>
      <c r="C27" s="11"/>
      <c r="D27" s="11"/>
      <c r="E27" s="11"/>
      <c r="F27" s="11"/>
      <c r="G27" s="11"/>
      <c r="H27" s="11"/>
      <c r="I27" s="11"/>
      <c r="J27" s="13"/>
      <c r="K27" s="11"/>
      <c r="L27" s="11"/>
    </row>
    <row r="28" spans="2:12" x14ac:dyDescent="0.25">
      <c r="B28" s="12"/>
      <c r="C28" s="11"/>
      <c r="D28" s="11"/>
      <c r="E28" s="11"/>
      <c r="F28" s="11"/>
      <c r="G28" s="11"/>
      <c r="H28" s="11"/>
      <c r="I28" s="11"/>
      <c r="J28" s="13"/>
      <c r="K28" s="11"/>
      <c r="L28" s="11"/>
    </row>
    <row r="29" spans="2:12" x14ac:dyDescent="0.25">
      <c r="B29" s="12"/>
      <c r="C29" s="11"/>
      <c r="D29" s="11"/>
      <c r="E29" s="11"/>
      <c r="F29" s="11"/>
      <c r="G29" s="11"/>
      <c r="H29" s="11"/>
      <c r="I29" s="11"/>
      <c r="J29" s="13"/>
      <c r="K29" s="11"/>
      <c r="L29" s="11"/>
    </row>
    <row r="30" spans="2:12" x14ac:dyDescent="0.25">
      <c r="B30" s="12"/>
      <c r="C30" s="11"/>
      <c r="D30" s="11"/>
      <c r="E30" s="11"/>
      <c r="F30" s="11"/>
      <c r="G30" s="11"/>
      <c r="H30" s="11"/>
      <c r="I30" s="11"/>
      <c r="J30" s="13"/>
      <c r="K30" s="11"/>
      <c r="L30" s="11"/>
    </row>
    <row r="31" spans="2:12" x14ac:dyDescent="0.25">
      <c r="B31" s="12"/>
      <c r="C31" s="11"/>
      <c r="D31" s="11"/>
      <c r="E31" s="11"/>
      <c r="F31" s="11"/>
      <c r="G31" s="11"/>
      <c r="H31" s="11"/>
      <c r="I31" s="11"/>
      <c r="J31" s="13"/>
      <c r="K31" s="11"/>
      <c r="L31" s="11"/>
    </row>
    <row r="32" spans="2:12" x14ac:dyDescent="0.25">
      <c r="B32" s="12"/>
      <c r="C32" s="11"/>
      <c r="D32" s="11"/>
      <c r="E32" s="11"/>
      <c r="F32" s="11"/>
      <c r="G32" s="11"/>
      <c r="H32" s="11"/>
      <c r="I32" s="11"/>
      <c r="J32" s="13"/>
    </row>
    <row r="33" spans="2:10" x14ac:dyDescent="0.25">
      <c r="B33" s="12"/>
      <c r="C33" s="11"/>
      <c r="D33" s="11"/>
      <c r="E33" s="11"/>
      <c r="F33" s="11"/>
      <c r="G33" s="11"/>
      <c r="H33" s="11"/>
      <c r="I33" s="11"/>
      <c r="J33" s="13"/>
    </row>
    <row r="34" spans="2:10" x14ac:dyDescent="0.25">
      <c r="B34" s="12"/>
      <c r="C34" s="11"/>
      <c r="D34" s="11"/>
      <c r="E34" s="11"/>
      <c r="F34" s="11"/>
      <c r="G34" s="11"/>
      <c r="H34" s="11"/>
      <c r="I34" s="11"/>
      <c r="J34" s="13"/>
    </row>
    <row r="35" spans="2:10" x14ac:dyDescent="0.25">
      <c r="B35" s="12"/>
      <c r="C35" s="11"/>
      <c r="D35" s="11"/>
      <c r="E35" s="11"/>
      <c r="F35" s="11"/>
      <c r="G35" s="11"/>
      <c r="H35" s="11"/>
      <c r="I35" s="11"/>
      <c r="J35" s="13"/>
    </row>
    <row r="36" spans="2:10" x14ac:dyDescent="0.25">
      <c r="B36" s="12"/>
      <c r="C36" s="11"/>
      <c r="D36" s="11"/>
      <c r="E36" s="11"/>
      <c r="F36" s="11"/>
      <c r="G36" s="11"/>
      <c r="H36" s="11"/>
      <c r="I36" s="11"/>
      <c r="J36" s="13"/>
    </row>
    <row r="37" spans="2:10" x14ac:dyDescent="0.25">
      <c r="B37" s="12"/>
      <c r="C37" s="11"/>
      <c r="D37" s="11"/>
      <c r="E37" s="11"/>
      <c r="F37" s="11"/>
      <c r="G37" s="11"/>
      <c r="H37" s="11"/>
      <c r="I37" s="11"/>
      <c r="J37" s="13"/>
    </row>
    <row r="38" spans="2:10" x14ac:dyDescent="0.25">
      <c r="B38" s="12"/>
      <c r="C38" s="11"/>
      <c r="D38" s="11"/>
      <c r="E38" s="11"/>
      <c r="F38" s="11"/>
      <c r="G38" s="11"/>
      <c r="H38" s="11"/>
      <c r="I38" s="11"/>
      <c r="J38" s="13"/>
    </row>
    <row r="39" spans="2:10" x14ac:dyDescent="0.25">
      <c r="B39" s="12"/>
      <c r="C39" s="11"/>
      <c r="D39" s="11"/>
      <c r="E39" s="11"/>
      <c r="F39" s="11"/>
      <c r="G39" s="11"/>
      <c r="H39" s="11"/>
      <c r="I39" s="11"/>
      <c r="J39" s="13"/>
    </row>
    <row r="40" spans="2:10" x14ac:dyDescent="0.25">
      <c r="B40" s="12">
        <v>2</v>
      </c>
      <c r="C40" s="11" t="s">
        <v>39</v>
      </c>
      <c r="D40" s="11"/>
      <c r="E40" s="11"/>
      <c r="F40" s="11"/>
      <c r="G40" s="11"/>
      <c r="H40" s="11"/>
      <c r="I40" s="11"/>
      <c r="J40" s="13"/>
    </row>
    <row r="41" spans="2:10" x14ac:dyDescent="0.25">
      <c r="B41" s="12"/>
      <c r="C41" s="14" t="s">
        <v>40</v>
      </c>
      <c r="D41" s="11"/>
      <c r="E41" s="11"/>
      <c r="F41" s="11"/>
      <c r="G41" s="11"/>
      <c r="H41" s="11"/>
      <c r="I41" s="11"/>
      <c r="J41" s="13"/>
    </row>
    <row r="42" spans="2:10" x14ac:dyDescent="0.25">
      <c r="B42" s="12"/>
      <c r="C42" s="14" t="s">
        <v>41</v>
      </c>
      <c r="D42" s="11"/>
      <c r="E42" s="11"/>
      <c r="F42" s="11"/>
      <c r="G42" s="11"/>
      <c r="H42" s="11"/>
      <c r="I42" s="11"/>
      <c r="J42" s="13"/>
    </row>
    <row r="43" spans="2:10" x14ac:dyDescent="0.25">
      <c r="B43" s="12"/>
      <c r="C43" s="11"/>
      <c r="D43" s="11"/>
      <c r="E43" s="11"/>
      <c r="F43" s="11"/>
      <c r="G43" s="11"/>
      <c r="H43" s="11"/>
      <c r="I43" s="11"/>
      <c r="J43" s="13"/>
    </row>
    <row r="44" spans="2:10" x14ac:dyDescent="0.25">
      <c r="B44" s="12">
        <v>3</v>
      </c>
      <c r="C44" s="11" t="s">
        <v>43</v>
      </c>
      <c r="D44" s="11"/>
      <c r="E44" s="11"/>
      <c r="F44" s="11"/>
      <c r="G44" s="11"/>
      <c r="H44" s="11"/>
      <c r="I44" s="11"/>
      <c r="J44" s="13"/>
    </row>
    <row r="45" spans="2:10" x14ac:dyDescent="0.25">
      <c r="B45" s="12"/>
      <c r="C45" s="14" t="s">
        <v>48</v>
      </c>
      <c r="D45" s="11"/>
      <c r="E45" s="11"/>
      <c r="F45" s="11"/>
      <c r="G45" s="11"/>
      <c r="H45" s="11"/>
      <c r="I45" s="11"/>
      <c r="J45" s="13"/>
    </row>
    <row r="46" spans="2:10" ht="15.75" thickBot="1" x14ac:dyDescent="0.3">
      <c r="B46" s="15"/>
      <c r="C46" s="16"/>
      <c r="D46" s="16"/>
      <c r="E46" s="16"/>
      <c r="F46" s="16"/>
      <c r="G46" s="16"/>
      <c r="H46" s="16"/>
      <c r="I46" s="16"/>
      <c r="J46" s="17"/>
    </row>
    <row r="47" spans="2:10" x14ac:dyDescent="0.25">
      <c r="B47" s="18"/>
      <c r="C47" s="11"/>
      <c r="D47" s="11"/>
      <c r="E47" s="11"/>
      <c r="F47" s="11"/>
      <c r="G47" s="11"/>
      <c r="H47" s="11"/>
      <c r="I47" s="11"/>
      <c r="J47" s="11"/>
    </row>
    <row r="48" spans="2:10" x14ac:dyDescent="0.25">
      <c r="B48" s="11"/>
      <c r="C48" s="11"/>
      <c r="D48" s="11"/>
      <c r="E48" s="11"/>
      <c r="F48" s="11"/>
      <c r="G48" s="11"/>
      <c r="H48" s="11"/>
      <c r="I48" s="11"/>
      <c r="J48" s="11"/>
    </row>
  </sheetData>
  <sheetProtection algorithmName="SHA-512" hashValue="59bd+Yifl++ey5byqIIsA6k5LQoEbRSjg9OkydO+Uqao4Rb2itXq5xLErWiiGcW5NIV1hbSMWzjAz4sKed48FA==" saltValue="mQeL6mlkYdWed4UmCfRPgg==" spinCount="100000" sheet="1" objects="1" scenarios="1" selectLockedCells="1" selectUn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56319-DC6D-4364-863B-18587A584E08}">
  <dimension ref="B2:N24"/>
  <sheetViews>
    <sheetView zoomScale="130" zoomScaleNormal="130" workbookViewId="0">
      <selection activeCell="C11" sqref="C11"/>
    </sheetView>
  </sheetViews>
  <sheetFormatPr defaultRowHeight="15" x14ac:dyDescent="0.25"/>
  <cols>
    <col min="1" max="3" width="9.140625" style="5"/>
    <col min="4" max="4" width="9.140625" style="5" customWidth="1"/>
    <col min="5" max="6" width="9.140625" style="5"/>
    <col min="7" max="7" width="12.28515625" style="5" customWidth="1"/>
    <col min="8" max="8" width="9.140625" style="5" customWidth="1"/>
    <col min="9" max="12" width="9.140625" style="5"/>
    <col min="13" max="14" width="9.140625" style="5" customWidth="1"/>
    <col min="15" max="16384" width="9.140625" style="5"/>
  </cols>
  <sheetData>
    <row r="2" spans="2:7" ht="21" x14ac:dyDescent="0.35">
      <c r="B2" s="4" t="s">
        <v>28</v>
      </c>
    </row>
    <row r="3" spans="2:7" ht="21" x14ac:dyDescent="0.35">
      <c r="B3" s="4" t="s">
        <v>65</v>
      </c>
    </row>
    <row r="4" spans="2:7" ht="18.75" x14ac:dyDescent="0.3">
      <c r="B4" s="6" t="s">
        <v>30</v>
      </c>
    </row>
    <row r="6" spans="2:7" ht="21" x14ac:dyDescent="0.35">
      <c r="B6" s="4" t="s">
        <v>29</v>
      </c>
    </row>
    <row r="9" spans="2:7" ht="15.75" thickBot="1" x14ac:dyDescent="0.3">
      <c r="B9" s="7" t="s">
        <v>44</v>
      </c>
    </row>
    <row r="10" spans="2:7" x14ac:dyDescent="0.25">
      <c r="B10" s="21"/>
      <c r="C10" s="9"/>
      <c r="D10" s="9"/>
      <c r="E10" s="9"/>
      <c r="F10" s="9"/>
      <c r="G10" s="10"/>
    </row>
    <row r="11" spans="2:7" ht="19.5" x14ac:dyDescent="0.35">
      <c r="B11" s="22" t="s">
        <v>57</v>
      </c>
      <c r="C11" s="26">
        <v>4.16</v>
      </c>
      <c r="D11" s="14" t="s">
        <v>63</v>
      </c>
      <c r="E11" s="32" t="s">
        <v>45</v>
      </c>
      <c r="F11" s="11"/>
      <c r="G11" s="13"/>
    </row>
    <row r="12" spans="2:7" ht="18" x14ac:dyDescent="0.35">
      <c r="B12" s="23" t="s">
        <v>58</v>
      </c>
      <c r="C12" s="26">
        <v>30400</v>
      </c>
      <c r="D12" s="14" t="s">
        <v>64</v>
      </c>
      <c r="E12" s="32" t="s">
        <v>46</v>
      </c>
      <c r="F12" s="11"/>
      <c r="G12" s="13"/>
    </row>
    <row r="13" spans="2:7" ht="18" x14ac:dyDescent="0.35">
      <c r="B13" s="23" t="s">
        <v>59</v>
      </c>
      <c r="C13" s="26">
        <v>17800</v>
      </c>
      <c r="D13" s="14" t="s">
        <v>64</v>
      </c>
      <c r="E13" s="32" t="s">
        <v>47</v>
      </c>
      <c r="F13" s="11"/>
      <c r="G13" s="13"/>
    </row>
    <row r="14" spans="2:7" ht="15.75" thickBot="1" x14ac:dyDescent="0.3">
      <c r="B14" s="15"/>
      <c r="C14" s="16"/>
      <c r="D14" s="16"/>
      <c r="E14" s="16"/>
      <c r="F14" s="16"/>
      <c r="G14" s="17"/>
    </row>
    <row r="17" spans="2:14" ht="15.75" thickBot="1" x14ac:dyDescent="0.3">
      <c r="B17" s="7" t="s">
        <v>49</v>
      </c>
      <c r="J17" s="7" t="s">
        <v>62</v>
      </c>
    </row>
    <row r="18" spans="2:14" x14ac:dyDescent="0.25">
      <c r="B18" s="21"/>
      <c r="C18" s="9"/>
      <c r="D18" s="9"/>
      <c r="E18" s="9"/>
      <c r="F18" s="9"/>
      <c r="G18" s="9"/>
      <c r="H18" s="10"/>
      <c r="J18" s="21"/>
      <c r="K18" s="9"/>
      <c r="L18" s="9"/>
      <c r="M18" s="9"/>
      <c r="N18" s="10"/>
    </row>
    <row r="19" spans="2:14" x14ac:dyDescent="0.25">
      <c r="B19" s="20"/>
      <c r="C19" s="11"/>
      <c r="D19" s="11"/>
      <c r="E19" s="24" t="s">
        <v>54</v>
      </c>
      <c r="F19" s="24" t="s">
        <v>55</v>
      </c>
      <c r="G19" s="24" t="s">
        <v>56</v>
      </c>
      <c r="H19" s="13"/>
      <c r="J19" s="25" t="s">
        <v>54</v>
      </c>
      <c r="K19" s="11"/>
      <c r="L19" s="11" t="s">
        <v>60</v>
      </c>
      <c r="M19" s="11"/>
      <c r="N19" s="13"/>
    </row>
    <row r="20" spans="2:14" x14ac:dyDescent="0.25">
      <c r="B20" s="27" t="s">
        <v>50</v>
      </c>
      <c r="C20" s="28"/>
      <c r="D20" s="28"/>
      <c r="E20" s="29">
        <f>Calculations!AE10</f>
        <v>0.71267812463088376</v>
      </c>
      <c r="F20" s="29">
        <f>Calculations!AF10</f>
        <v>0.81662593474987899</v>
      </c>
      <c r="G20" s="30">
        <f>Calculations!AG10</f>
        <v>385.50421007160912</v>
      </c>
      <c r="H20" s="31"/>
      <c r="J20" s="25" t="s">
        <v>55</v>
      </c>
      <c r="K20" s="11"/>
      <c r="L20" s="11" t="s">
        <v>60</v>
      </c>
      <c r="M20" s="11"/>
      <c r="N20" s="13"/>
    </row>
    <row r="21" spans="2:14" x14ac:dyDescent="0.25">
      <c r="B21" s="27" t="s">
        <v>51</v>
      </c>
      <c r="C21" s="28"/>
      <c r="D21" s="28"/>
      <c r="E21" s="29">
        <f>Calculations!AE11</f>
        <v>0.85342222602184437</v>
      </c>
      <c r="F21" s="29">
        <f>Calculations!AF11</f>
        <v>0.92687567524004777</v>
      </c>
      <c r="G21" s="30">
        <f>Calculations!AG11</f>
        <v>277.81652884750503</v>
      </c>
      <c r="H21" s="31"/>
      <c r="J21" s="25" t="s">
        <v>56</v>
      </c>
      <c r="K21" s="11"/>
      <c r="L21" s="11" t="s">
        <v>61</v>
      </c>
      <c r="M21" s="11"/>
      <c r="N21" s="13"/>
    </row>
    <row r="22" spans="2:14" ht="15.75" thickBot="1" x14ac:dyDescent="0.3">
      <c r="B22" s="27" t="s">
        <v>52</v>
      </c>
      <c r="C22" s="28"/>
      <c r="D22" s="28"/>
      <c r="E22" s="29">
        <f>Calculations!AE12</f>
        <v>0.89072765261400577</v>
      </c>
      <c r="F22" s="29">
        <f>Calculations!AF12</f>
        <v>0.95096434325042267</v>
      </c>
      <c r="G22" s="30">
        <f>Calculations!AG12</f>
        <v>250.91562540189372</v>
      </c>
      <c r="H22" s="31"/>
      <c r="J22" s="15"/>
      <c r="K22" s="16"/>
      <c r="L22" s="16"/>
      <c r="M22" s="16"/>
      <c r="N22" s="17"/>
    </row>
    <row r="23" spans="2:14" x14ac:dyDescent="0.25">
      <c r="B23" s="27" t="s">
        <v>53</v>
      </c>
      <c r="C23" s="28"/>
      <c r="D23" s="28"/>
      <c r="E23" s="29">
        <f>Calculations!AE13</f>
        <v>0.90122063102156447</v>
      </c>
      <c r="F23" s="29">
        <f>Calculations!AF13</f>
        <v>0.95715899472391364</v>
      </c>
      <c r="G23" s="30">
        <f>Calculations!AG13</f>
        <v>247.65221954043955</v>
      </c>
      <c r="H23" s="31"/>
      <c r="J23" s="11"/>
      <c r="K23" s="11"/>
      <c r="L23" s="11"/>
      <c r="M23" s="11"/>
      <c r="N23" s="11"/>
    </row>
    <row r="24" spans="2:14" ht="15.75" thickBot="1" x14ac:dyDescent="0.3">
      <c r="B24" s="15"/>
      <c r="C24" s="16"/>
      <c r="D24" s="16"/>
      <c r="E24" s="16"/>
      <c r="F24" s="16"/>
      <c r="G24" s="16"/>
      <c r="H24" s="17"/>
    </row>
  </sheetData>
  <sheetProtection algorithmName="SHA-512" hashValue="PmCkb6sJnBKzNqbWPpc5g3h1fUcyqTFWq+oWIJeNwEReZubAasQdKCu+oOQj1LoCA0eZHYEcgUJjbahAjtbTeg==" saltValue="utzdxxdqrDPgNS5v/4kp6g==" spinCount="100000"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C0243-24C8-46E4-840B-B7A691F5189D}">
  <dimension ref="A1:AG129"/>
  <sheetViews>
    <sheetView zoomScale="85" zoomScaleNormal="85" workbookViewId="0"/>
  </sheetViews>
  <sheetFormatPr defaultRowHeight="15" x14ac:dyDescent="0.25"/>
  <sheetData>
    <row r="1" spans="1:33" x14ac:dyDescent="0.25">
      <c r="A1" s="3" t="s">
        <v>0</v>
      </c>
      <c r="B1">
        <f>Model!C11</f>
        <v>4.16</v>
      </c>
    </row>
    <row r="2" spans="1:33" x14ac:dyDescent="0.25">
      <c r="A2" s="3" t="s">
        <v>1</v>
      </c>
      <c r="B2">
        <f>Model!C12</f>
        <v>30400</v>
      </c>
      <c r="C2">
        <f>B2/1000</f>
        <v>30.4</v>
      </c>
    </row>
    <row r="3" spans="1:33" x14ac:dyDescent="0.25">
      <c r="A3" s="3" t="s">
        <v>2</v>
      </c>
      <c r="B3">
        <f>Model!C13</f>
        <v>17800</v>
      </c>
      <c r="C3">
        <f>B3/1000</f>
        <v>17.8</v>
      </c>
    </row>
    <row r="7" spans="1:33" x14ac:dyDescent="0.25">
      <c r="A7" s="33" t="s">
        <v>9</v>
      </c>
      <c r="B7" s="33"/>
      <c r="C7" s="33"/>
      <c r="D7" s="33"/>
      <c r="E7" s="33"/>
      <c r="F7" s="33"/>
      <c r="G7" s="33"/>
      <c r="H7" s="33"/>
      <c r="J7" s="33" t="s">
        <v>10</v>
      </c>
      <c r="K7" s="33"/>
      <c r="L7" s="33"/>
      <c r="M7" s="33"/>
      <c r="N7" s="33"/>
      <c r="O7" s="33"/>
      <c r="P7" s="33"/>
      <c r="Q7" s="33"/>
      <c r="S7" s="33" t="s">
        <v>11</v>
      </c>
      <c r="T7" s="33"/>
      <c r="U7" s="33"/>
      <c r="V7" s="33"/>
      <c r="W7" s="33"/>
      <c r="X7" s="33"/>
      <c r="Y7" s="33"/>
      <c r="Z7" s="33"/>
    </row>
    <row r="8" spans="1:33" x14ac:dyDescent="0.25">
      <c r="A8" s="33" t="s">
        <v>1</v>
      </c>
      <c r="B8" s="33"/>
      <c r="C8" s="33" t="s">
        <v>2</v>
      </c>
      <c r="D8" s="33"/>
      <c r="E8" s="1"/>
      <c r="F8" s="1"/>
      <c r="G8" s="1"/>
      <c r="H8" s="1"/>
      <c r="J8" s="33" t="s">
        <v>1</v>
      </c>
      <c r="K8" s="33"/>
      <c r="L8" s="33" t="s">
        <v>2</v>
      </c>
      <c r="M8" s="33"/>
      <c r="N8" s="1"/>
      <c r="O8" s="1"/>
      <c r="P8" s="1"/>
      <c r="Q8" s="1"/>
      <c r="S8" s="33" t="s">
        <v>1</v>
      </c>
      <c r="T8" s="33"/>
      <c r="U8" s="33" t="s">
        <v>2</v>
      </c>
      <c r="V8" s="33"/>
      <c r="W8" s="1"/>
      <c r="X8" s="1"/>
      <c r="Y8" s="1"/>
      <c r="Z8" s="1"/>
    </row>
    <row r="9" spans="1:33" x14ac:dyDescent="0.25">
      <c r="A9" s="2" t="s">
        <v>3</v>
      </c>
      <c r="B9" s="2" t="s">
        <v>4</v>
      </c>
      <c r="C9" s="2" t="s">
        <v>3</v>
      </c>
      <c r="D9" s="2" t="s">
        <v>4</v>
      </c>
      <c r="E9" s="2" t="s">
        <v>5</v>
      </c>
      <c r="F9" s="2" t="s">
        <v>6</v>
      </c>
      <c r="G9" s="2" t="s">
        <v>7</v>
      </c>
      <c r="H9" s="2" t="s">
        <v>8</v>
      </c>
      <c r="J9" s="2" t="s">
        <v>3</v>
      </c>
      <c r="K9" s="2" t="s">
        <v>4</v>
      </c>
      <c r="L9" s="2" t="s">
        <v>3</v>
      </c>
      <c r="M9" s="2" t="s">
        <v>4</v>
      </c>
      <c r="N9" s="2" t="s">
        <v>5</v>
      </c>
      <c r="O9" s="2" t="s">
        <v>6</v>
      </c>
      <c r="P9" s="2" t="s">
        <v>7</v>
      </c>
      <c r="Q9" s="2" t="s">
        <v>8</v>
      </c>
      <c r="S9" s="2" t="s">
        <v>3</v>
      </c>
      <c r="T9" s="2" t="s">
        <v>4</v>
      </c>
      <c r="U9" s="2" t="s">
        <v>3</v>
      </c>
      <c r="V9" s="2" t="s">
        <v>4</v>
      </c>
      <c r="W9" s="2" t="s">
        <v>5</v>
      </c>
      <c r="X9" s="2" t="s">
        <v>6</v>
      </c>
      <c r="Y9" s="2" t="s">
        <v>7</v>
      </c>
      <c r="Z9" s="2" t="s">
        <v>8</v>
      </c>
      <c r="AE9" s="2" t="s">
        <v>16</v>
      </c>
      <c r="AF9" s="2" t="s">
        <v>17</v>
      </c>
      <c r="AG9" s="2" t="s">
        <v>18</v>
      </c>
    </row>
    <row r="10" spans="1:33" x14ac:dyDescent="0.25">
      <c r="A10" s="1">
        <v>24</v>
      </c>
      <c r="B10" s="1">
        <v>30</v>
      </c>
      <c r="C10" s="1">
        <v>11</v>
      </c>
      <c r="D10" s="1">
        <v>14</v>
      </c>
      <c r="E10" s="1">
        <f xml:space="preserve"> 0.389357032011122 * B1 + 0.000254450269262142 * B2 - 0.0000171450958418383 * B3 + 0.0640689905682832 * LN(B1) - 0.848589185253608 * LN(B2) + 0.576810459674278 * LN(B3) - 3.28735515112194E-09 * B2^2 - 3890.00524616374 * (B1*B2)^-1 - 2104.80652508942 * (B1*B3)^-1 - 8.10673268891371E-06 * B1*B2 - 0.0000012279050020492 * B1*B3 - 4282.58118082452 * B1/B2 + 1.4115644698975E-10 * (B2/B1)^2 - 1.44093434913483 * (B3/B2)^2</f>
        <v>0.7412024615175058</v>
      </c>
      <c r="F10" s="1">
        <f>IF(AND($C$2&gt;=A10,$C$2&lt;B10),1,0)</f>
        <v>0</v>
      </c>
      <c r="G10" s="1">
        <f>IF(AND($C$3&gt;=C10,$C$3&lt;D10),1,0)</f>
        <v>0</v>
      </c>
      <c r="H10" s="1">
        <f>E10*F10*G10</f>
        <v>0</v>
      </c>
      <c r="J10" s="1">
        <v>24</v>
      </c>
      <c r="K10" s="1">
        <v>30</v>
      </c>
      <c r="L10" s="1">
        <v>11</v>
      </c>
      <c r="M10" s="1">
        <v>15</v>
      </c>
      <c r="N10" s="1">
        <f xml:space="preserve"> 0.0150145479324586 * B1 + 0.00015099707826605 * B2 + 0.000106046651895192 * B3 - 0.0944617723507312 * LN(B1) - 4.17476146306869 * LN(B2) + 0.899014731036032 * LN(B3) - 4.06301862006508 * B1^-5 + 9.83518678156056 * B1^-4 - 9.05961654946257 * B1^-3 + 4.30698825600659 * B1^-2 - 52117.6555547893 * B2^-1 + 14793.0687496336 * B3^-1 - 23126.9836856046 * (B1*B2)^-1 + 1322.16550131484 * (B1*B3)^-1 - 2.36452214427922E-07 * B1*B2 - 5.72137400363858E-07 * B1*B3 - 4.08545044752869E-09 * B2*B3 - 0.736500006929699 * (B2/B3)^-4 + 0.000934562490811531 * (B3/B2)^-4 + 2.18061391816705E-10 * (B1/B3)^-2 - 0.0635390141003772 * (B3/B2)^-2 - 0.0000233072176049142 * (B1/B2)^-1 + 32.2992391213899</f>
        <v>0.80189179159500767</v>
      </c>
      <c r="O10" s="1">
        <f t="shared" ref="O10:O22" si="0">IF(AND($C$2&gt;=J10,$C$2&lt;K10),1,0)</f>
        <v>0</v>
      </c>
      <c r="P10" s="1">
        <f t="shared" ref="P10:P24" si="1">IF(AND($C$3&gt;=L10,$C$3&lt;M10),1,0)</f>
        <v>0</v>
      </c>
      <c r="Q10" s="1">
        <f t="shared" ref="Q10:Q25" si="2">N10*O10*P10</f>
        <v>0</v>
      </c>
      <c r="S10" s="1">
        <v>24</v>
      </c>
      <c r="T10" s="1">
        <v>30</v>
      </c>
      <c r="U10" s="1">
        <v>11</v>
      </c>
      <c r="V10" s="1">
        <v>14</v>
      </c>
      <c r="W10" s="1">
        <f xml:space="preserve"> 77.8896245451544 * B1 + 0.314661423401562 * B2 + 0.981282824198148 * B3 + 1177.31196935466 * LN(B1) - 124.342415789013 * LN(B2) - 2232.49495202509 * LN(B3) + 42749.0734506763 * B1^-5 - 104313.963408741 * B1^-4 + 97326.6946943737 * B1^-3 - 47775.5743925256 * B1^-2 + 168802730.884737 * B2^-1 + 128022509.210243 * (B1*B2)^-1 + 48429496.636829 * (B1*B3)^-1 - 0.00207116889382297 * B1*B2 + 0.000181880897631451 * B1*B3 - 0.0000179034315418108 * B2*B3 + 34212.9621558879 * (B2/B3)^-4 - 0.51663020684881 * (B3/B2)^-4 - 34582.3798165475 * (B2/B3)^-3 + 2.41307119102278E-07 * (B1/B2)^-2 + 1.64428091170713E-08 * (B1/B3)^-2 + 0.110364595142339 * (B1/B2)^-1 + 0.312522909439742 * (B1/B3)^-1 - 1531761.94792365 * (B2/B1)^-1</f>
        <v>484.12791564763745</v>
      </c>
      <c r="X10" s="1">
        <f t="shared" ref="X10:X24" si="3">IF(AND($C$2&gt;=S10,$C$2&lt;T10),1,0)</f>
        <v>0</v>
      </c>
      <c r="Y10" s="1">
        <f t="shared" ref="Y10:Y26" si="4">IF(AND($C$3&gt;=U10,$C$3&lt;V10),1,0)</f>
        <v>0</v>
      </c>
      <c r="Z10" s="1">
        <f>W10*X10*Y10</f>
        <v>0</v>
      </c>
      <c r="AD10" s="3" t="s">
        <v>12</v>
      </c>
      <c r="AE10" s="1">
        <f>SUM(H10:H33)</f>
        <v>0.71267812463088376</v>
      </c>
      <c r="AF10" s="1">
        <f>SUM(Q10:Q25)</f>
        <v>0.81662593474987899</v>
      </c>
      <c r="AG10" s="1">
        <f>SUM(Z10:Z27)</f>
        <v>385.50421007160912</v>
      </c>
    </row>
    <row r="11" spans="1:33" x14ac:dyDescent="0.25">
      <c r="A11" s="1">
        <v>24</v>
      </c>
      <c r="B11" s="1">
        <v>30</v>
      </c>
      <c r="C11" s="1">
        <v>14</v>
      </c>
      <c r="D11" s="1">
        <v>16</v>
      </c>
      <c r="E11" s="1">
        <f xml:space="preserve"> 0.619241950700263 * B1 + 0.00199080710015604 * B2 - 0.0033438564735777 * B3 + 0.0635984396114466 * LN(B1) - 20.1840986033278 * LN(B2) + 20.7996292960028 * LN(B3) - 2.25297238798276E-08 * B2^2 + 4.12527819827931E-08 * B3^2 - 4287.93859165935 * (B1*B3)^-1 - 0.00001198138686472 * B1*B2 - 1.96404320249447E-06 * B1*B3 + 1.43207184632357E-08 * B2*B3 - 7334.39805959003 * B1/B2 + 3.51745548714416E-06 * B2/B1 + 7.78186573933033 * B3/B2 + 2.0174472481291E-10 * (B3/B1)^2</f>
        <v>0.74971205300707067</v>
      </c>
      <c r="F11" s="1">
        <f t="shared" ref="F11:F29" si="5">IF(AND($C$2&gt;=A11,$C$2&lt;B11),1,0)</f>
        <v>0</v>
      </c>
      <c r="G11" s="1">
        <f t="shared" ref="G11:G32" si="6">IF(AND($C$3&gt;=C11,$C$3&lt;D11),1,0)</f>
        <v>0</v>
      </c>
      <c r="H11" s="1">
        <f t="shared" ref="H11:H33" si="7">E11*F11*G11</f>
        <v>0</v>
      </c>
      <c r="J11" s="1">
        <v>24</v>
      </c>
      <c r="K11" s="1">
        <v>30</v>
      </c>
      <c r="L11" s="1">
        <v>15</v>
      </c>
      <c r="M11" s="1">
        <v>17</v>
      </c>
      <c r="N11" s="1">
        <f xml:space="preserve"> 0.214183086089249 * B1 + 0.000167526089712905 * B2 + 0.000552033545338058 * B3 + 0.0393681508603477 * LN(B1) + 2.57213180439868 * LN(B2) - 3.76873082064566 * LN(B3) - 0.000014852861519735 * B1^-4 + 0.0497997320015183 * B1^-3 - 0.21727697074448 * B1^-2 + 69709.0732680712 * B2^-1 - 4798.44241655907 * (B1*B2)^-1 + 4665.21692444596 * (B1*B3)^-1 - 7.33775827724884E-07 * B1*B2 - 7.30176704052487E-06 * B1*B3 - 1.07459928399832E-08 * B2*B3 - 1.4832271054241 * (B2/B3)^-4 - 0.011874372072443 * (B3/B2)^-4 + 3.67288229543501E-10 * (B1/B3)^-2 - 1343.41619692899 * (B3/B1)^-1</f>
        <v>0.80707438163783807</v>
      </c>
      <c r="O11" s="1">
        <f t="shared" si="0"/>
        <v>0</v>
      </c>
      <c r="P11" s="1">
        <f t="shared" si="1"/>
        <v>0</v>
      </c>
      <c r="Q11" s="1">
        <f t="shared" si="2"/>
        <v>0</v>
      </c>
      <c r="S11" s="1">
        <v>24</v>
      </c>
      <c r="T11" s="1">
        <v>30</v>
      </c>
      <c r="U11" s="1">
        <v>14</v>
      </c>
      <c r="V11" s="1">
        <v>17</v>
      </c>
      <c r="W11" s="1">
        <f xml:space="preserve">  - 195.506746614776 * B1 + 0.356357905192868 * B2 + 1.21394347565461 * B3 + 1555.51538392326 * LN(B1) + 561.406596359801 * LN(B2) - 3380.8404352691 * LN(B3) + 57315.6189811733 * B1^-5 - 139812.174220382 * B1^-4 + 130351.638522824 * B1^-3 - 63747.9136400689 * B1^-2 + 273887648.535879 * B2^-1 - 29060498.3914024 * B3^-1 + 129440500.939372 * (B1*B2)^-1 + 96897082.9279418 * (B1*B3)^-1 + 0.000138760627531379 * B1*B2 + 0.0053463882713068 * B1*B3 - 0.0000208223605087239 * B2*B3 + 11215.3562250206 * (B2/B3)^-4 + 1.90889625157099E-07 * (B1/B2)^-2 - 1.10524627789669E-07 * (B1/B3)^-2 - 20236.575464035 * (B2/B3)^-2 + 0.118974144819898 * (B1/B2)^-1 + 0.4091757017778 * (B1/B3)^-1 + 1037032.49310134 * (B3/B1)^-1</f>
        <v>364.64178308859539</v>
      </c>
      <c r="X11" s="1">
        <f t="shared" si="3"/>
        <v>0</v>
      </c>
      <c r="Y11" s="1">
        <f t="shared" si="4"/>
        <v>0</v>
      </c>
      <c r="Z11" s="1">
        <f t="shared" ref="Z11:Z27" si="8">W11*X11*Y11</f>
        <v>0</v>
      </c>
      <c r="AD11" s="3" t="s">
        <v>13</v>
      </c>
      <c r="AE11" s="1">
        <f>SUM(H40:H63)</f>
        <v>0.85342222602184437</v>
      </c>
      <c r="AF11" s="1">
        <f>SUM(Q40:Q63)</f>
        <v>0.92687567524004777</v>
      </c>
      <c r="AG11" s="1">
        <f>SUM(Z40:Z63)</f>
        <v>277.81652884750503</v>
      </c>
    </row>
    <row r="12" spans="1:33" x14ac:dyDescent="0.25">
      <c r="A12" s="1">
        <v>24</v>
      </c>
      <c r="B12" s="1">
        <v>30</v>
      </c>
      <c r="C12" s="1">
        <v>16</v>
      </c>
      <c r="D12" s="1">
        <v>18</v>
      </c>
      <c r="E12" s="1">
        <f xml:space="preserve"> 0.9991913447884 * B1 + 1.54612401687867E-09 * B2^2 - 1.7752875666025E-09 * B3^2 + 3631.0207827027 * (B1*B2)^-1 - 7406.06315295771 * (B1*B3)^-1 - 0.0000189922147216743 * B1*B2 - 2.21192035310865E-06 * B1*B3 - 12205.9422065822 * B1/B2 + 3.34086633606296E-10 * (B3/B1)^2</f>
        <v>0.72192477131013943</v>
      </c>
      <c r="F12" s="1">
        <f t="shared" si="5"/>
        <v>0</v>
      </c>
      <c r="G12" s="1">
        <f t="shared" si="6"/>
        <v>1</v>
      </c>
      <c r="H12" s="1">
        <f t="shared" si="7"/>
        <v>0</v>
      </c>
      <c r="J12" s="1">
        <v>24</v>
      </c>
      <c r="K12" s="1">
        <v>30</v>
      </c>
      <c r="L12" s="1">
        <v>17</v>
      </c>
      <c r="M12" s="1">
        <v>20</v>
      </c>
      <c r="N12" s="1">
        <f xml:space="preserve"> 0.934162370203741 * B1 + 0.00120338300929523 * B2 + 0.00120955264672154 * B3 + 0.107882771187507 * LN(B1) - 25.6384416861769 * LN(B2) + 22.2153144848944 * LN(B3) + 0.394881219294605 * B1^-5 - 0.475992434705615 * B1^-4 + 246358.905228129 * B3^-1 - 107.10483804019 * (B1*B2)^-1 + 4144.78628848348 * (B1*B3)^-1 - 2.42256394244655E-06 * B1*B2 - 0.000027166495990091 * B1*B3 - 3.74595911671476E-08 * B2*B3 + 19.8835186250826 * (B2/B3)^-4 + 0.0139434744073916 * (B3/B2)^-4 - 30.8231229045224 * (B2/B3)^-3 - 7159.89033205399 * (B3/B1)^-1</f>
        <v>0.82899198148944397</v>
      </c>
      <c r="O12" s="1">
        <f t="shared" si="0"/>
        <v>0</v>
      </c>
      <c r="P12" s="1">
        <f>IF(AND($C$3&gt;=L12,$C$3&lt;=M12),1,0)</f>
        <v>1</v>
      </c>
      <c r="Q12" s="1">
        <f t="shared" si="2"/>
        <v>0</v>
      </c>
      <c r="S12" s="1">
        <v>24</v>
      </c>
      <c r="T12" s="1">
        <v>30</v>
      </c>
      <c r="U12" s="1">
        <v>17</v>
      </c>
      <c r="V12" s="1">
        <v>20</v>
      </c>
      <c r="W12" s="1">
        <f xml:space="preserve">  - 1155.34847959863 * B1 + 0.84118065677862 * B2 - 4.37945133192341 * B3 + 174.172888189709 * LN(B1) - 34389.7002170681 * LN(B2) + 40889.446837391 * LN(B3) + 624.811706182917 * B1^-5 - 612.836902253768 * B1^-4 - 280766321.625144 * B2^-1 + 0.0000681856180938015 * B3^2 + 0.000917723130496766 * B1^4 + 44210036.4494611 * (B1*B2)^-1 - 26006262.2373828 * (B1*B3)^-1 + 0.000803890303548508 * B1*B2 + 0.0350224850657167 * B1*B3 - 6.64499009031401E-06 * B2*B3 + 14026.9526619384 * (B2/B3)^-4 - 16358.2596686409 * (B2/B3)^-3 - 1.25009384971825E-06 * (B1/B3)^-2 + 0.0264791162670633 * (B1/B2)^-1 + 8922263.35257903 * (B3/B1)^-1</f>
        <v>350.85170384306684</v>
      </c>
      <c r="X12" s="1">
        <f t="shared" si="3"/>
        <v>0</v>
      </c>
      <c r="Y12" s="1">
        <f>IF(AND($C$3&gt;=U12,$C$3&lt;=V12),1,0)</f>
        <v>1</v>
      </c>
      <c r="Z12" s="1">
        <f t="shared" si="8"/>
        <v>0</v>
      </c>
      <c r="AD12" s="3" t="s">
        <v>15</v>
      </c>
      <c r="AE12" s="1">
        <f>SUM(H70:H93)</f>
        <v>0.89072765261400577</v>
      </c>
      <c r="AF12" s="1">
        <f>SUM(Q70:Q95)</f>
        <v>0.95096434325042267</v>
      </c>
      <c r="AG12" s="1">
        <f>SUM(Z70:Z93)</f>
        <v>250.91562540189372</v>
      </c>
    </row>
    <row r="13" spans="1:33" x14ac:dyDescent="0.25">
      <c r="A13" s="1">
        <v>24</v>
      </c>
      <c r="B13" s="1">
        <v>30</v>
      </c>
      <c r="C13" s="1">
        <v>18</v>
      </c>
      <c r="D13" s="1">
        <v>20</v>
      </c>
      <c r="E13" s="1">
        <f xml:space="preserve"> 0.00357723335284997 * B2 - 0.00424411022906525 * B3 + 0.106015662151063 * LN(B1) + 0.0120356974244224 * LN(B2) - 0.126356538485041 * LN(B3) + 0.000325577847681908 * B1^2 - 2.76119683843137E-08 * B2^2 + 6.86369388326908E-08 * B3^2 + 152433.470669912 * (B1*B2)^-1 - 107869.347330351 * (B1*B3)^-1 - 3.37279757258228E-06 * B1*B2 - 2.32682279368687E-08 * B2*B3 + 1215.70481951669 * B1/B3 + 0.000196572426203564 * B2/B1 - 17.2395728503911 * B2/B3 - 0.000278156719229121 * B3/B1 + 24.6190442002054 * B3/B2</f>
        <v>0.70994713935800924</v>
      </c>
      <c r="F13" s="1">
        <f t="shared" si="5"/>
        <v>0</v>
      </c>
      <c r="G13" s="1">
        <f>IF(AND($C$3&gt;=C13,$C$3&lt;=D13),1,0)</f>
        <v>0</v>
      </c>
      <c r="H13" s="1">
        <f t="shared" si="7"/>
        <v>0</v>
      </c>
      <c r="J13" s="1">
        <v>30</v>
      </c>
      <c r="K13" s="1">
        <v>36</v>
      </c>
      <c r="L13" s="1">
        <v>11</v>
      </c>
      <c r="M13" s="1">
        <v>16</v>
      </c>
      <c r="N13" s="1">
        <f xml:space="preserve"> 0.0689737759208108 * B1 - 0.0000201602163081022 * B2 + 0.00171790428131754 * B3 - 0.0643599270996156 * LN(B1) + 0.524207593884234 * LN(B2) - 19.7326161969134 * LN(B3) - 2.3567821021466 * B1^-5 + 5.77076640296142 * B1^-4 - 5.41630933724229 * B1^-3 + 2.64543905849084 * B1^-2 - 72520.9888385445 * B3^-1 - 2.48653846928183E-08 * B3^2 - 10781.0872609846 * (B1*B2)^-1 - 1245.84656535947 * (B1*B3)^-1 + 5.39754844911846E-07 * B1*B2 - 4.61956348895601E-06 * B1*B3 + 4.90610042080398E-10 * B2*B3 + 0.752968511474147 * (B2/B3)^-4 + 1.45219903717003E-10 * (B1/B3)^-2 - 8.09393814411415E-06 * (B1/B2)^-1 - 0.0000138113801775639 * (B1/B3)^-1 + 653.911874861003 * (B2/B1)^-1 - 602.340369468138 * (B3/B1)^-1 + 170.402761877806</f>
        <v>0.8062143513330966</v>
      </c>
      <c r="O13" s="1">
        <f t="shared" si="0"/>
        <v>1</v>
      </c>
      <c r="P13" s="1">
        <f t="shared" si="1"/>
        <v>0</v>
      </c>
      <c r="Q13" s="1">
        <f t="shared" si="2"/>
        <v>0</v>
      </c>
      <c r="S13" s="1">
        <v>30</v>
      </c>
      <c r="T13" s="1">
        <v>36</v>
      </c>
      <c r="U13" s="1">
        <v>11</v>
      </c>
      <c r="V13" s="1">
        <v>14</v>
      </c>
      <c r="W13" s="1">
        <f xml:space="preserve">  - 96.1793674839034 * B1 + 0.00406621306322699 * B2 - 0.246070561575581 * B3 - 4.06410741260432 * LN(B1) - 902.876562761196 * LN(B2) + 1331.01789561206 * LN(B3) + 415.226788109755 * B1^-5 - 904.154626976138 * B1^-4 + 675.490635312964 * B1^-3 - 129.740936632965 * B1^-2 - 4745.32187610561 * B1^-1 - 25590746.4210151 * B2^-1 + 5.57970572631156E-06 * B3^2 + 60294719.0397152 * (B1*B2)^-1 + 6561466.71965029 * (B1*B3)^-1 + 0.000845941450069577 * B1*B2 + 0.00183946113949007 * B1*B3 - 5.92030065835496E-08 * (B1/B2)^-2 - 2.96143707725509E-08 * (B1/B3)^-2 + 0.0564328207634519 * (B1/B2)^-1 + 0.0437666963674014 * (B1/B3)^-1 + 895860.366246786 * (B2/B1)^-1 + 234827.834329092 * (B3/B1)^-1</f>
        <v>411.17587842450627</v>
      </c>
      <c r="X13" s="1">
        <f t="shared" si="3"/>
        <v>1</v>
      </c>
      <c r="Y13" s="1">
        <f t="shared" si="4"/>
        <v>0</v>
      </c>
      <c r="Z13" s="1">
        <f t="shared" si="8"/>
        <v>0</v>
      </c>
      <c r="AD13" s="3" t="s">
        <v>14</v>
      </c>
      <c r="AE13" s="1">
        <f>SUM(H102:H129)</f>
        <v>0.90122063102156447</v>
      </c>
      <c r="AF13" s="1">
        <f>SUM(Q102:Q129)</f>
        <v>0.95715899472391364</v>
      </c>
      <c r="AG13" s="1">
        <f>SUM(Z102:Z129)</f>
        <v>247.65221954043955</v>
      </c>
    </row>
    <row r="14" spans="1:33" x14ac:dyDescent="0.25">
      <c r="A14" s="1">
        <v>30</v>
      </c>
      <c r="B14" s="1">
        <v>36</v>
      </c>
      <c r="C14" s="1">
        <v>11</v>
      </c>
      <c r="D14" s="1">
        <v>14</v>
      </c>
      <c r="E14" s="1">
        <f xml:space="preserve"> 0.0000235210046591968 * B2 + 0.000293239971665225 * B3 - 0.737837639783371 * LN(B2) + 0.939199957494593 * LN(B3) - 14719.634239204 * (B1*B2)^-1 - 1.42266289065381E-06 * B1*B3 - 5.65307331239704E-09 * B2*B3 + 454.698278163174 * B1/B2 + 9.66998485727615E-06 * B2/B1 - 6.1598557316866 * B3/B2</f>
        <v>0.75590971356358105</v>
      </c>
      <c r="F14" s="1">
        <f t="shared" si="5"/>
        <v>1</v>
      </c>
      <c r="G14" s="1">
        <f t="shared" si="6"/>
        <v>0</v>
      </c>
      <c r="H14" s="1">
        <f t="shared" si="7"/>
        <v>0</v>
      </c>
      <c r="J14" s="1">
        <v>30</v>
      </c>
      <c r="K14" s="1">
        <v>36</v>
      </c>
      <c r="L14" s="1">
        <v>16</v>
      </c>
      <c r="M14" s="1">
        <v>20</v>
      </c>
      <c r="N14" s="1">
        <f xml:space="preserve"> 1.00160493045364 * B1 + 0.00218535518722637 * B2 - 0.00231180074635796 * B3 - 0.818352234871317 * LN(B1) - 78.9491939330789 * LN(B2) + 81.0166062357361 * LN(B3) - 20.1788439242722 * B1^-5 + 51.2181724065348 * B1^-4 - 50.7206179638668 * B1^-3 + 27.0519535824894 * B1^-2 - 7.79827655451151 * B1^-1 - 961351.277634159 * B2^-1 + 721424.898167973 * B3^-1 - 1.03953450801563E-08 * B2^2 - 21851.0103765332 * (B1*B2)^-1 - 7524.76523653516 * (B1*B3)^-1 + 2.26462147121944E-06 * B1*B2 - 0.0000362139508592162 * B1*B3 + 1.02208159737868E-09 * B2*B3 + 1.29434257255278 * (B2/B3)^-4 - 1.82284072481203E-10 * (B1/B2)^-2 + 2.41532819635321E-10 * (B1/B3)^-2 - 0.0000440692705136657 * (B1/B3)^-1 + 2752.22404697559 * (B2/B1)^-1 - 8990.63687242647 * (B3/B1)^-1</f>
        <v>0.81662593474987899</v>
      </c>
      <c r="O14" s="1">
        <f t="shared" si="0"/>
        <v>1</v>
      </c>
      <c r="P14" s="1">
        <f>IF(AND($C$3&gt;=L14,$C$3&lt;=M14),1,0)</f>
        <v>1</v>
      </c>
      <c r="Q14" s="1">
        <f t="shared" si="2"/>
        <v>0.81662593474987899</v>
      </c>
      <c r="S14" s="1">
        <v>30</v>
      </c>
      <c r="T14" s="1">
        <v>36</v>
      </c>
      <c r="U14" s="1">
        <v>14</v>
      </c>
      <c r="V14" s="1">
        <v>17</v>
      </c>
      <c r="W14" s="1">
        <f xml:space="preserve">  - 286.942780734254 * B1 - 0.128623624930157 * B2 - 0.687458443715672 * B3 + 427.217263577 * LN(B1) + 2246.38614979786 * LN(B2) - 1077.96949405154 * LN(B3) + 17334.7551235585 * B1^-5 - 42100.7641905536 * B1^-4 + 38948.1010191354 * B1^-3 - 18623.941231459 * B1^-2 - 62106649.6305636 * B3^-1 + 0.0000112456154661529 * B3^2 + 57772432.0763593 * (B1*B2)^-1 + 16783340.2388432 * (B1*B3)^-1 + 0.000835662290643884 * B1*B2 + 0.00815120455042262 * B1*B3 + 4.13249785854833E-06 * B2*B3 + 1605.41820018715 * (B2/B3)^-4 + 2.13253378289444 * (B3/B2)^-4 - 5.76605513596388E-08 * (B1/B2)^-2 - 2.50163676429693E-07 * (B1/B3)^-2 + 0.0540432570533117 * (B1/B2)^-1 + 0.0827062386906725 * (B1/B3)^-1 + 719031.896425556 * (B2/B1)^-1 + 1586527.46353118 * (B3/B1)^-1</f>
        <v>364.20347607315279</v>
      </c>
      <c r="X14" s="1">
        <f t="shared" si="3"/>
        <v>1</v>
      </c>
      <c r="Y14" s="1">
        <f t="shared" si="4"/>
        <v>0</v>
      </c>
      <c r="Z14" s="1">
        <f t="shared" si="8"/>
        <v>0</v>
      </c>
    </row>
    <row r="15" spans="1:33" x14ac:dyDescent="0.25">
      <c r="A15" s="1">
        <v>30</v>
      </c>
      <c r="B15" s="1">
        <v>36</v>
      </c>
      <c r="C15" s="1">
        <v>14</v>
      </c>
      <c r="D15" s="1">
        <v>16</v>
      </c>
      <c r="E15" s="1">
        <f xml:space="preserve">  - 0.193322252467325 * B1 - 0.00151727058965859 * B2 + 0.0044268515332761 * B3 + 28.3579761835026 * LN(B2) - 31.5970212870303 * LN(B3) + 1.00037765478295E-08 * B2^2 - 7.77685065171644E-08 * B3^2 - 85121.7384957266 * (B1*B2)^-1 + 31624.0408398137 * (B1*B3)^-1 + 3.75251580579064E-06 * B1*B2 - 4.37093701222468E-06 * B1*B3 + 4848.98036134651 * B1/B2 - 323.054768671853 * B1/B3 - 0.0000556358607048458 * B2/B1 + 0.000146060931292104 * B3/B1</f>
        <v>0.66301360780553298</v>
      </c>
      <c r="F15" s="1">
        <f t="shared" si="5"/>
        <v>1</v>
      </c>
      <c r="G15" s="1">
        <f t="shared" si="6"/>
        <v>0</v>
      </c>
      <c r="H15" s="1">
        <f t="shared" si="7"/>
        <v>0</v>
      </c>
      <c r="J15" s="1">
        <v>36</v>
      </c>
      <c r="K15" s="1">
        <v>42</v>
      </c>
      <c r="L15" s="1">
        <v>11</v>
      </c>
      <c r="M15" s="1">
        <v>16</v>
      </c>
      <c r="N15" s="1">
        <f xml:space="preserve"> 0.0859154873274789 * B1 - 0.0000251027626101776 * B2 + 0.00191298665416566 * B3 + 0.00869296148265051 * LN(B1) + 0.42826485404001 * LN(B2) - 23.0302970058738 * LN(B3) + 0.0508799664755388 * B1^-5 - 0.0602808523266565 * B1^-4 - 90617.7694968646 * B3^-1 - 2.73031043352004E-08 * B3^2 + 313.198221890548 * (B1*B3)^-1 + 2.77165780960195E-07 * B1*B2 - 4.69948475335734E-06 * B1*B3 + 9.99277563718987E-10 * B2*B3 + 0.893630753154119 * (B2/B3)^-4 + 0.00102127731387953 * (B3/B2)^-3 + 382.708754754822 * (B2/B1)^-1 - 617.604712350747 * (B3/B1)^-1 + 201.618597575279</f>
        <v>0.80903694122062575</v>
      </c>
      <c r="O15" s="1">
        <f t="shared" si="0"/>
        <v>0</v>
      </c>
      <c r="P15" s="1">
        <f t="shared" si="1"/>
        <v>0</v>
      </c>
      <c r="Q15" s="1">
        <f t="shared" si="2"/>
        <v>0</v>
      </c>
      <c r="S15" s="1">
        <v>30</v>
      </c>
      <c r="T15" s="1">
        <v>36</v>
      </c>
      <c r="U15" s="1">
        <v>17</v>
      </c>
      <c r="V15" s="1">
        <v>20</v>
      </c>
      <c r="W15" s="1">
        <f xml:space="preserve">  - 4202.89961322011 * B1 - 1.61655003606266 * B2 - 11.9278233255485 * B3 - 460.2834582935 * LN(B1) + 59151.403309881 * LN(B2) - 38815.4596359732 * LN(B3) - 1564.86287385118 * B1^-5 + 3606.82317465775 * B1^-3 - 35361.3188924584 * B1^-1 - 1497480902.66856 * B3^-1 + 0.000163167113113712 * B3^2 - 1445499.49589331 * (B1*B2)^-1 + 262634886.382384 * (B1*B3)^-1 + 0.00142803508597696 * B1*B2 + 0.122230100106821 * B1*B3 + 0.0000475751883485334 * B2*B3 - 6594.0497638807 * (B2/B3)^-4 - 5.87232693582047E-06 * (B1/B3)^-2 + 1.10180410662601 * (B1/B3)^-1 + 67355.6415260849 * (B2/B3)^-1 + 35930792.0302337 * (B3/B1)^-1</f>
        <v>385.50421007160912</v>
      </c>
      <c r="X15" s="1">
        <f t="shared" si="3"/>
        <v>1</v>
      </c>
      <c r="Y15" s="1">
        <f>IF(AND($C$3&gt;=U15,$C$3&lt;=V15),1,0)</f>
        <v>1</v>
      </c>
      <c r="Z15" s="1">
        <f t="shared" si="8"/>
        <v>385.50421007160912</v>
      </c>
    </row>
    <row r="16" spans="1:33" x14ac:dyDescent="0.25">
      <c r="A16" s="1">
        <v>30</v>
      </c>
      <c r="B16" s="1">
        <v>36</v>
      </c>
      <c r="C16" s="1">
        <v>16</v>
      </c>
      <c r="D16" s="1">
        <v>18</v>
      </c>
      <c r="E16" s="1">
        <f xml:space="preserve">  - 0.410824062624508 * B1 - 0.00118584186109894 * B2 + 0.000513125406928602 * B3 + 1.15469959254828 * LN(B1) + 17.9374709829378 * LN(B2) + 3.78205351225245 * LN(B3) + 0.0197191527505556 * B1^2 + 9.78436605211048E-09 * B2^2 - 0.000801454827148448 * B1^3 + 0.0000139917386058377 * B1^4 - 52179.7071895718 * (B1*B2)^-1 + 22361.0458927064 * (B1*B3)^-1 + 5.82255762557856E-06 * B1*B2 - 0.0000116916366213413 * B1*B3 - 1.18799074406304E-08 * B2*B3 + 7119.27925464319 * B1/B2 - 2083.7549481915 * B1/B3 + 6.48381113679457E-06 * B2/B1 + 0.000111709471921977 * B3/B1 - 12.5517191788213 * B3/B2 - 3.81263251565511E-10 * (B2/B1)^2 - 5.28515677812605E-10 * (B3/B1)^2 - 190.772066270033</f>
        <v>0.71267812463088376</v>
      </c>
      <c r="F16" s="1">
        <f t="shared" si="5"/>
        <v>1</v>
      </c>
      <c r="G16" s="1">
        <f t="shared" si="6"/>
        <v>1</v>
      </c>
      <c r="H16" s="1">
        <f t="shared" si="7"/>
        <v>0.71267812463088376</v>
      </c>
      <c r="J16" s="1">
        <v>36</v>
      </c>
      <c r="K16" s="1">
        <v>42</v>
      </c>
      <c r="L16" s="1">
        <v>16</v>
      </c>
      <c r="M16" s="1">
        <v>20</v>
      </c>
      <c r="N16" s="1">
        <f xml:space="preserve"> 1.06482305468878 * B1 + 0.00244083523551778 * B2 - 0.00123771649550269 * B3 + 0.154187587263573 * LN(B1) - 48.118361268951 * LN(B2) + 44.6820497637584 * LN(B3) - 0.034023448191392 * B1^-5 + 0.113134209279978 * B1^-1 + 398561.997051193 * B3^-1 + 0.000647574846481564 * B1^2 - 1.54344534002675E-08 * B2^2 + 1817.31428447688 * (B1*B3)^-1 - 0.0000352396471507272 * B1*B3 - 8558.58900876655 * (B3/B1)^-1</f>
        <v>1.0139065062151924</v>
      </c>
      <c r="O16" s="1">
        <f t="shared" si="0"/>
        <v>0</v>
      </c>
      <c r="P16" s="1">
        <f>IF(AND($C$3&gt;=L16,$C$3&lt;=M16),1,0)</f>
        <v>1</v>
      </c>
      <c r="Q16" s="1">
        <f t="shared" si="2"/>
        <v>0</v>
      </c>
      <c r="S16" s="1">
        <v>36</v>
      </c>
      <c r="T16" s="1">
        <v>42</v>
      </c>
      <c r="U16" s="1">
        <v>11</v>
      </c>
      <c r="V16" s="1">
        <v>14</v>
      </c>
      <c r="W16" s="1">
        <f xml:space="preserve"> 53.7633855617621 * B1 - 0.357818859089409 * B2 + 0.0173022323631213 * B3 + 79.2158982515867 * LN(B1) + 4537.93398626182 * LN(B2) - 3963.40431733644 * LN(B3) + 3295.67863549861 * B1^-5 - 8016.23219281742 * B1^-4 + 7433.90297955852 * B1^-3 - 3550.23487811749 * B1^-2 - 39958974.9989039 * B3^-1 + 2.07008964012771E-06 * B2^2 + 5297548.65410424 * (B1*B3)^-1 - 0.00125009469941359 * B1*B2 + 0.00196193720956921 * B1*B3 + 3.82493326846922E-06 * B2*B3 + 1630.68093107769 * (B2/B3)^-4 - 3.00320728208015E-08 * (B1/B2)^-2 + 0.00784312472419624 * (B1/B2)^-1 + 0.0344792381730919 * (B1/B3)^-1 - 1928144.28473606 * (B2/B1)^-1 + 235853.065993927 * (B3/B1)^-1 + 443.955750263492 * B2/B3</f>
        <v>433.73585428091712</v>
      </c>
      <c r="X16" s="1">
        <f t="shared" si="3"/>
        <v>0</v>
      </c>
      <c r="Y16" s="1">
        <f t="shared" si="4"/>
        <v>0</v>
      </c>
      <c r="Z16" s="1">
        <f t="shared" si="8"/>
        <v>0</v>
      </c>
    </row>
    <row r="17" spans="1:26" x14ac:dyDescent="0.25">
      <c r="A17" s="1">
        <v>30</v>
      </c>
      <c r="B17" s="1">
        <v>36</v>
      </c>
      <c r="C17" s="1">
        <v>18</v>
      </c>
      <c r="D17" s="1">
        <v>20</v>
      </c>
      <c r="E17" s="1">
        <f xml:space="preserve">  - 1.33916802019323 * B1 - 0.00197444119254648 * B2 - 0.0000521406674706196 * B3 + 2.71659251076001 * LN(B1) + 42.6962149754459 * LN(B2) + 0.0476855732885823 * B1^2 + 1.36923644851214E-08 * B2^2 - 0.00196611533703987 * B1^3 + 0.0000349652843105511 * B1^4 - 27256.4426063215 * (B1*B2)^-1 + 13019.8187346424 * (B1*B3)^-1 + 9.92713951628324E-06 * B1*B2 - 0.0000052006841093318 * B1*B3 - 6.55335959803648E-09 * B2*B3 + 11519.3277520766 * B1/B2 + 0.0000612916609526287 * B2/B1 - 2.03862742352804 * B2/B3 + 0.000138064473466576 * B3/B1 - 7.13497690190972E-10 * (B2/B1)^2 - 1.57716469694125E-09 * (B3/B1)^2 - 387.057611718805</f>
        <v>0.71052937930448934</v>
      </c>
      <c r="F17" s="1">
        <f t="shared" si="5"/>
        <v>1</v>
      </c>
      <c r="G17" s="1">
        <f>IF(AND($C$3&gt;=C17,$C$3&lt;=D17),1,0)</f>
        <v>0</v>
      </c>
      <c r="H17" s="1">
        <f t="shared" si="7"/>
        <v>0</v>
      </c>
      <c r="J17" s="1">
        <v>42</v>
      </c>
      <c r="K17" s="1">
        <v>48</v>
      </c>
      <c r="L17" s="1">
        <v>11</v>
      </c>
      <c r="M17" s="1">
        <v>16</v>
      </c>
      <c r="N17" s="1">
        <f xml:space="preserve"> 0.102142600492407 * B1 - 0.0000122448987982239 * B2 + 0.00171636937233743 * B3 - 0.0361255173466093 * LN(B1) + 0.22406923962711 * LN(B2) - 20.5451994874108 * LN(B3) + 0.656822248875824 * B1^-5 - 0.946022238580219 * B1^-4 + 0.503618522519848 * B1^-2 - 79668.4829927916 * B3^-1 - 2.3840439290243E-08 * B3^2 - 1613.95423268277 * (B1*B3)^-1 + 6.65658692793749E-08 * B1*B2 - 4.54859491847149E-06 * B1*B3 + 4.58808534085685E-10 * B2*B3 + 0.0000729821662700149 * (B3/B2)^-4 + 1.94449571662327E-10 * (B1/B3)^-2 - 0.0000175139368641334 * (B1/B3)^-1 - 600.124509046569 * (B3/B1)^-1 + 181.289568442569</f>
        <v>0.7642578143953358</v>
      </c>
      <c r="O17" s="1">
        <f t="shared" si="0"/>
        <v>0</v>
      </c>
      <c r="P17" s="1">
        <f t="shared" si="1"/>
        <v>0</v>
      </c>
      <c r="Q17" s="1">
        <f t="shared" si="2"/>
        <v>0</v>
      </c>
      <c r="S17" s="1">
        <v>36</v>
      </c>
      <c r="T17" s="1">
        <v>42</v>
      </c>
      <c r="U17" s="1">
        <v>14</v>
      </c>
      <c r="V17" s="1">
        <v>17</v>
      </c>
      <c r="W17" s="1">
        <f xml:space="preserve">  - 259.341181901472 * B1 - 1.36591428461804 * B2 - 0.0877446608903214 * B3 + 168.805599630243 * LN(B1) + 26853.7609255971 * LN(B2) - 24281.6235744833 * LN(B3) + 8597.69861236132 * B1^-5 - 20711.6162049638 * B1^-4 + 18891.9724103837 * B1^-3 - 8744.98970969578 * B1^-2 - 230754259.984767 * B3^-1 + 0.0000064766954119988 * B2^2 + 16337611.461432 * (B1*B3)^-1 - 0.000578157250692028 * B1*B2 + 0.0112264438868038 * B1*B3 + 0.000014407550167923 * B2*B3 - 18980.3816455228 * (B2/B3)^-4 + 3.40969835441796 * (B3/B2)^-4 + 23257.9238681636 * (B2/B3)^-3 - 3.48480071129837E-08 * (B1/B2)^-2 - 3.27318150620977E-07 * (B1/B3)^-2 + 0.0082738853044651 * (B1/B2)^-1 + 0.0842505894797006 * (B1/B3)^-1 - 1217341.68623806 * (B2/B1)^-1 + 2159203.52697109 * (B3/B1)^-1</f>
        <v>332.53122094619272</v>
      </c>
      <c r="X17" s="1">
        <f t="shared" si="3"/>
        <v>0</v>
      </c>
      <c r="Y17" s="1">
        <f t="shared" si="4"/>
        <v>0</v>
      </c>
      <c r="Z17" s="1">
        <f t="shared" si="8"/>
        <v>0</v>
      </c>
    </row>
    <row r="18" spans="1:26" x14ac:dyDescent="0.25">
      <c r="A18" s="1">
        <v>36</v>
      </c>
      <c r="B18" s="1">
        <v>42</v>
      </c>
      <c r="C18" s="1">
        <v>11</v>
      </c>
      <c r="D18" s="1">
        <v>14</v>
      </c>
      <c r="E18" s="1">
        <f xml:space="preserve"> 0.347535802835253 * B1 + 0.000138106787037462 * B2 + 0.000116956744231895 * B3 - 0.410781297335536 * LN(B1) - 0.266039045712233 * LN(B2) - 0.0656976822708846 * B1^2 - 1.70705558637732E-09 * B2^2 - 6.0559087576046E-09 * B3^2 + 0.00766434612924565 * B1^3 - 0.000533060870383078 * B1^4 + 0.0000199824354657814 * B1^5 - 3.09800371680735E-07 * B1^6 - 1.0499121718497E-10 * (B1/B2)^-2 + 1.22163014403124E-10 * (B1/B3)^-2 + 1.6776545744752 * (B2/B3)^-2 + 282.685844318877 * (B3/B1)^-1</f>
        <v>0.81433557993188765</v>
      </c>
      <c r="F18" s="1">
        <f t="shared" si="5"/>
        <v>0</v>
      </c>
      <c r="G18" s="1">
        <f t="shared" si="6"/>
        <v>0</v>
      </c>
      <c r="H18" s="1">
        <f t="shared" si="7"/>
        <v>0</v>
      </c>
      <c r="J18" s="1">
        <v>42</v>
      </c>
      <c r="K18" s="1">
        <v>48</v>
      </c>
      <c r="L18" s="1">
        <v>16</v>
      </c>
      <c r="M18" s="1">
        <v>18</v>
      </c>
      <c r="N18" s="1">
        <f xml:space="preserve"> 0.721540023642869 * B1 - 5.17178932999102E-07 * B2 + 4.80708031554431E-06 * B3 + 0.0720702685999929 * LN(B1) - 0.00371511154980827 * LN(B2) + 0.318164705506182 * B1^-5 - 0.383169718946066 * B1^-4 + 7459.56494017473 * B3^-1 - 1.39975963353883E-10 * B2^2 + 3093.95046857652 * (B1*B3)^-1 + 6.63437130464901E-07 * B1*B2 - 0.0000257990650064766 * B1*B3 + 7.45681523860232E-10 * B2*B3 - 5883.32228267719 * (B3/B1)^-1 + 789.796691811636 * B1/B2</f>
        <v>0.77644859110594067</v>
      </c>
      <c r="O18" s="1">
        <f t="shared" si="0"/>
        <v>0</v>
      </c>
      <c r="P18" s="1">
        <f t="shared" si="1"/>
        <v>1</v>
      </c>
      <c r="Q18" s="1">
        <f t="shared" si="2"/>
        <v>0</v>
      </c>
      <c r="S18" s="1">
        <v>36</v>
      </c>
      <c r="T18" s="1">
        <v>42</v>
      </c>
      <c r="U18" s="1">
        <v>17</v>
      </c>
      <c r="V18" s="1">
        <v>20</v>
      </c>
      <c r="W18" s="1">
        <f xml:space="preserve">  - 6653.82832101739 * B1 - 2.87891786278808 * B2 - 19.5054250379027 * B3 + 4816.97887710187 * LN(B1) + 33484.8588470673 * LN(B2) + 8143.46067979768 * LN(B3) + 90350.8484029478 * B1^-5 - 230344.918540583 * B1^-4 + 230332.461976829 * B1^-3 - 122310.197727255 * B1^-2 - 2439548836.51192 * B3^-1 + 3.87020790904297 * B1^2 + 0.000250172442477885 * B3^2 + 356726878.991999 * (B1*B3)^-1 + 0.00185052040219672 * B1*B2 + 0.184238386275907 * B1*B3 + 0.0000862220853346409 * B2*B3 + 17682.6303622687 * (B2/B3)^-4 + 8.91652774460332E-08 * (B1/B2)^-2 - 8.46308503600648E-06 * (B1/B3)^-2 + 2269.71979837722 * (B3/B2)^-2 + 1.52669299952813 * (B1/B3)^-1 + 54001171.8066268 * (B3/B1)^-1</f>
        <v>573.61814635701558</v>
      </c>
      <c r="X18" s="1">
        <f t="shared" si="3"/>
        <v>0</v>
      </c>
      <c r="Y18" s="1">
        <f>IF(AND($C$3&gt;=U18,$C$3&lt;=V18),1,0)</f>
        <v>1</v>
      </c>
      <c r="Z18" s="1">
        <f t="shared" si="8"/>
        <v>0</v>
      </c>
    </row>
    <row r="19" spans="1:26" x14ac:dyDescent="0.25">
      <c r="A19" s="1">
        <v>36</v>
      </c>
      <c r="B19" s="1">
        <v>42</v>
      </c>
      <c r="C19" s="1">
        <v>14</v>
      </c>
      <c r="D19" s="1">
        <v>16</v>
      </c>
      <c r="E19" s="1">
        <f xml:space="preserve">  - 0.0850334758729014 * B1 + 0.000443273395580893 * B2 - 0.000383527637759711 * B3 + 0.0941817585762033 * LN(B1) - 4.15423511444724 * LN(B2) + 3.93428030916857 * LN(B3) + 0.000648039992838696 * B1^2 - 4.01282388708458E-09 * B2^2 - 8.93019695703146E-06 * B1^3 - 3.60544289662118E-10 * (B1/B3)^-2 - 6.44031555341311E-06 * (B1/B2)^-1 + 0.0000258616848711018 * (B1/B3)^-1 + 276.105997387467 * (B2/B1)^-1 + 727.825629005566 * (B3/B1)^-1 + 3.7466323549832 * B3/B2</f>
        <v>0.81372711258619779</v>
      </c>
      <c r="F19" s="1">
        <f t="shared" si="5"/>
        <v>0</v>
      </c>
      <c r="G19" s="1">
        <f t="shared" si="6"/>
        <v>0</v>
      </c>
      <c r="H19" s="1">
        <f t="shared" si="7"/>
        <v>0</v>
      </c>
      <c r="J19" s="1">
        <v>42</v>
      </c>
      <c r="K19" s="1">
        <v>48</v>
      </c>
      <c r="L19" s="1">
        <v>18</v>
      </c>
      <c r="M19" s="1">
        <v>20</v>
      </c>
      <c r="N19" s="1">
        <f xml:space="preserve">  - 1.41510151170637 * B1 - 0.00369864861041584 * B2 - 0.004640937368503 * B3 + 184.461797602073 * LN(B2) - 185.823498333423 * LN(B3) - 0.0126185050768806 * B1^-5 - 1614856.45780155 * B3^-1 + 8.77062981508651E-06 * B1*B2 + 0.0000139574563449716 * B1*B3 + 9.97220193439607E-08 * B2*B3 - 63.6465100885616 * (B2/B3)^-4 + 14546.7244912978 * (B2/B1)^-1 + 264.369235229408 * (B2/B3)^-1 + 7724.4550392113 * (B3/B1)^-1</f>
        <v>0.9627617470557186</v>
      </c>
      <c r="O19" s="1">
        <f t="shared" si="0"/>
        <v>0</v>
      </c>
      <c r="P19" s="1">
        <f>IF(AND($C$3&gt;=L19,$C$3&lt;=M19),1,0)</f>
        <v>0</v>
      </c>
      <c r="Q19" s="1">
        <f t="shared" si="2"/>
        <v>0</v>
      </c>
      <c r="S19" s="1">
        <v>42</v>
      </c>
      <c r="T19" s="1">
        <v>50</v>
      </c>
      <c r="U19" s="1">
        <v>11</v>
      </c>
      <c r="V19" s="1">
        <v>14</v>
      </c>
      <c r="W19" s="1">
        <f xml:space="preserve"> 1003.09727139977 * B1 - 4.70767815258837 * B2 + 3.89564330281185 * B3 + 632.886042280545 * LN(B1) + 97050.8636218645 * LN(B2) - 94483.2422281629 * LN(B3) + 22466.7237451595 * B1^-5 - 55176.946654023 * B1^-4 + 51939.1585391621 * B1^-3 - 25713.7049236909 * B1^-2 - 571812898.076216 * B3^-1 + 0.0000224012623331554 * B2^2 - 0.0000773793571208814 * B3^2 + 41434680.066188 * (B1*B3)^-1 - 0.0112333329093499 * B1*B2 + 0.000745205371393264 * B1*B3 + 0.0000428960777913939 * B2*B3 + 116194.400796254 * (B2/B3)^-4 + 4.00531918345586 * (B3/B2)^-4 + 1.80340670177493E-08 * (B1/B2)^-2 + 4.45462972369113E-08 * (B1/B3)^-2 + 0.0408451267133637 * (B1/B2)^-1 + 0.26588897689847 * (B1/B3)^-1 - 23473759.9313598 * (B2/B1)^-1</f>
        <v>5833.1459742516081</v>
      </c>
      <c r="X19" s="1">
        <f t="shared" si="3"/>
        <v>0</v>
      </c>
      <c r="Y19" s="1">
        <f t="shared" si="4"/>
        <v>0</v>
      </c>
      <c r="Z19" s="1">
        <f t="shared" si="8"/>
        <v>0</v>
      </c>
    </row>
    <row r="20" spans="1:26" x14ac:dyDescent="0.25">
      <c r="A20" s="1">
        <v>36</v>
      </c>
      <c r="B20" s="1">
        <v>42</v>
      </c>
      <c r="C20" s="1">
        <v>16</v>
      </c>
      <c r="D20" s="1">
        <v>18</v>
      </c>
      <c r="E20" s="1">
        <f xml:space="preserve">  - 0.376679000767175 * B1 + 0.000592094720301315 * B2 - 0.000528566538823556 * B3 + 0.93295403782187 * LN(B1) - 6.57062040734138 * LN(B2) + 6.32877167316439 * LN(B3) + 0.0213537990021512 * B1^2 - 5.15796302590689E-09 * B2^2 - 0.000917104764533443 * B1^3 + 0.0000028462419162594 * B1^4 + 1.35282628291099E-06 * B1^5 - 3.66434105704146E-08 * B1^6 - 1.41702415546092E-09 * (B1/B3)^-2 - 605241602.95322 * (B1/B2)^-1 + 0.0000837258277586346 * (B1/B3)^-1 + 1158.74226290305 * (B3/B1)^-1 + 605241602.953218 * B2/B1 + 3.77110325263007 * B3/B2</f>
        <v>0.80573644397418542</v>
      </c>
      <c r="F20" s="1">
        <f t="shared" si="5"/>
        <v>0</v>
      </c>
      <c r="G20" s="1">
        <f t="shared" si="6"/>
        <v>1</v>
      </c>
      <c r="H20" s="1">
        <f t="shared" si="7"/>
        <v>0</v>
      </c>
      <c r="J20" s="1">
        <v>48</v>
      </c>
      <c r="K20" s="1">
        <v>54</v>
      </c>
      <c r="L20" s="1">
        <v>11</v>
      </c>
      <c r="M20" s="1">
        <v>16</v>
      </c>
      <c r="N20" s="1">
        <f xml:space="preserve"> 0.0664069633715014 * B1 - 0.0000229102272985059 * B2 + 0.0000851065570559635 * B3 + 0.00481782708745247 * LN(B1) + 0.552579095767402 * LN(B2) - 0.540797261711289 * LN(B3) - 1.24021758424017 * B1^-5 + 2.6905737759598 * B1^-4 - 2.05539849752328 * B1^-3 + 0.710798898541493 * B1^-2 - 2.74593795071075E-09 * B3^2 + 268.841516081288 * (B1*B3)^-1 + 5.54907648336269E-08 * B1*B2 - 3.11431999630306E-06 * B1*B3 + 7.38489833645538E-10 * B2*B3 + 0.000101516739533093 * (B3/B2)^-4 + 3.12878637397442E-12 * (B1/B3)^-2 - 0.0000026591336309774 * (B1/B2)^-1 - 397.851578119024 * (B3/B1)^-1</f>
        <v>0.73126638899739271</v>
      </c>
      <c r="O20" s="1">
        <f t="shared" si="0"/>
        <v>0</v>
      </c>
      <c r="P20" s="1">
        <f t="shared" si="1"/>
        <v>0</v>
      </c>
      <c r="Q20" s="1">
        <f t="shared" si="2"/>
        <v>0</v>
      </c>
      <c r="S20" s="1">
        <v>42</v>
      </c>
      <c r="T20" s="1">
        <v>50</v>
      </c>
      <c r="U20" s="1">
        <v>14</v>
      </c>
      <c r="V20" s="1">
        <v>17</v>
      </c>
      <c r="W20" s="1">
        <f xml:space="preserve"> 506.939451239001 * B1 - 11.6761642759044 * B2 + 4.2048610733678 * B3 - 4.01356393594532 * LN(B1) + 189107.456737424 * LN(B2) - 172050.012563347 * LN(B3) + 1858.77413652275 * B1^-5 - 2402.43380256035 * B1^-4 - 2006789893.08423 * B3^-1 + 0.0000461345149459196 * B2^2 - 0.000102898206829158 * B3^2 - 517674.760183603 * (B1*B3)^-1 - 0.00607176358430534 * B1*B2 + 0.00412994846522981 * B1*B3 + 0.000126674865466636 * B2*B3 + 73861.0187361233 * (B2/B3)^-4 + 3.42859861083817E-07 * (B1/B2)^-2 - 13040766.2564438 * (B2/B1)^-1 + 22672.1421646807 * (B3/B2)^-1</f>
        <v>1152.8637607665805</v>
      </c>
      <c r="X20" s="1">
        <f t="shared" si="3"/>
        <v>0</v>
      </c>
      <c r="Y20" s="1">
        <f t="shared" si="4"/>
        <v>0</v>
      </c>
      <c r="Z20" s="1">
        <f t="shared" si="8"/>
        <v>0</v>
      </c>
    </row>
    <row r="21" spans="1:26" x14ac:dyDescent="0.25">
      <c r="A21" s="1">
        <v>36</v>
      </c>
      <c r="B21" s="1">
        <v>42</v>
      </c>
      <c r="C21" s="1">
        <v>18</v>
      </c>
      <c r="D21" s="1">
        <v>20</v>
      </c>
      <c r="E21" s="1">
        <f xml:space="preserve">  - 0.667894877504304 * B1 + 0.0000885706970484663 * B2 - 0.000177239881591355 * B3 + 2.88294711171346 * LN(B1) + 0.0547619754609188 * LN(B2) + 0.0153513389868763 * B1^2 - 1.36112450574486E-09 * B2^2 + 0.00353787547932949 * B1^3 - 0.000451852372797982 * B1^4 + 0.0000218479264067256 * B1^5 - 3.90785747763803E-07 * B1^6 - 1.7624094214538E-10 * (B1/B2)^-2 - 3.59204370853112E-09 * (B1/B3)^-2 + 0.0000214113516387422 * (B1/B2)^-1 + 0.000226242858282449 * (B1/B3)^-1 - 1709.04001819443 * (B2/B1)^-1 + 456.169546568526 * (B3/B1)^-1 - 0.387994104545029 * (B3/B2)^-1</f>
        <v>0.84596957099620496</v>
      </c>
      <c r="F21" s="1">
        <f t="shared" si="5"/>
        <v>0</v>
      </c>
      <c r="G21" s="1">
        <f>IF(AND($C$3&gt;=C21,$C$3&lt;=D21),1,0)</f>
        <v>0</v>
      </c>
      <c r="H21" s="1">
        <f t="shared" si="7"/>
        <v>0</v>
      </c>
      <c r="J21" s="1">
        <v>48</v>
      </c>
      <c r="K21" s="1">
        <v>54</v>
      </c>
      <c r="L21" s="1">
        <v>16</v>
      </c>
      <c r="M21" s="1">
        <v>18</v>
      </c>
      <c r="N21" s="1">
        <f xml:space="preserve">  - 0.529108650505149 * B1 - 0.000214946790157695 * B2 + 0.000179074233615024 * B3 + 0.0105944497366134 * LN(B1) + 2.23356491479785 * LN(B2) - 1.94285642547041 * LN(B3) + 1.43914312312754E-09 * B2^2 + 6.02063846294949E-06 * B1*B2 - 2.50414167777867E-06 * B1*B3 - 21.2912077623945 * (B2/B3)^-4 + 13035.0215947491 * (B2/B1)^-1</f>
        <v>-0.30506025638196621</v>
      </c>
      <c r="O21" s="1">
        <f t="shared" si="0"/>
        <v>0</v>
      </c>
      <c r="P21" s="1">
        <f t="shared" si="1"/>
        <v>1</v>
      </c>
      <c r="Q21" s="1">
        <f t="shared" si="2"/>
        <v>0</v>
      </c>
      <c r="S21" s="1">
        <v>42</v>
      </c>
      <c r="T21" s="1">
        <v>50</v>
      </c>
      <c r="U21" s="1">
        <v>17</v>
      </c>
      <c r="V21" s="1">
        <v>20</v>
      </c>
      <c r="W21" s="1">
        <f xml:space="preserve">  - 6380.25830340168 * B1 - 20.8130388840683 * B2 - 3.82285243017905 * B3 + 2424.66258005965 * LN(B1) + 487587.98748024 * LN(B2) - 438260.738793281 * LN(B3) + 122224.175031964 * B1^-5 - 295689.112663 * B1^-4 + 271369.40401365 * B1^-3 - 126984.016012426 * B1^-2 - 5196485585.35522 * B3^-1 + 0.0000778636773112888 * B2^2 + 303328689.010455 * (B1*B3)^-1 + 0.00315600307985526 * B1*B2 + 0.184924845827318 * B1*B3 + 0.000216415018383308 * B2*B3 - 400989.188158029 * (B2/B3)^-4 + 70.2557727614753 * (B3/B2)^-4 + 483524.437283403 * (B2/B3)^-3 + 2.34898761251063E-07 * (B1/B2)^-2 - 5.51761306290701E-06 * (B1/B3)^-2 + 1.20421419917578 * (B1/B3)^-1 + 51993621.0923115 * (B3/B1)^-1</f>
        <v>-1502.766202958057</v>
      </c>
      <c r="X21" s="1">
        <f t="shared" si="3"/>
        <v>0</v>
      </c>
      <c r="Y21" s="1">
        <f>IF(AND($C$3&gt;=U21,$C$3&lt;=V21),1,0)</f>
        <v>1</v>
      </c>
      <c r="Z21" s="1">
        <f t="shared" si="8"/>
        <v>0</v>
      </c>
    </row>
    <row r="22" spans="1:26" x14ac:dyDescent="0.25">
      <c r="A22" s="1">
        <v>42</v>
      </c>
      <c r="B22" s="1">
        <v>48</v>
      </c>
      <c r="C22" s="1">
        <v>11</v>
      </c>
      <c r="D22" s="1">
        <v>14</v>
      </c>
      <c r="E22" s="1">
        <f xml:space="preserve"> 0.668494881021072 * B1 + 0.000423498601220419 * B2 + 1.45311662293307E-06 * B3 - 1.9499171067346 * LN(B1) - 0.802561097993041 * LN(B2) - 0.0655025919144271 * B1^2 - 4.40865830148051E-09 * B2^2 - 6.23377270752949E-09 * B3^2 + 0.00439390435713464 * B1^3 - 0.000167096604788422 * B1^4 + 2.67426666284843E-06 * B1^5 + 4.24953357022533E-10 * (B1/B2)^-2 - 6.98061096513052E-10 * (B1/B3)^-2 - 0.0000758661774594044 * (B1/B2)^-1 + 0.0000357646758332045 * (B1/B3)^-1 + 5.79271569806953 * (B2/B3)^-1 + 283.650662700531 * (B3/B1)^-1</f>
        <v>0.77058377244153931</v>
      </c>
      <c r="F22" s="1">
        <f t="shared" si="5"/>
        <v>0</v>
      </c>
      <c r="G22" s="1">
        <f t="shared" si="6"/>
        <v>0</v>
      </c>
      <c r="H22" s="1">
        <f t="shared" si="7"/>
        <v>0</v>
      </c>
      <c r="J22" s="1">
        <v>48</v>
      </c>
      <c r="K22" s="1">
        <v>54</v>
      </c>
      <c r="L22" s="1">
        <v>18</v>
      </c>
      <c r="M22" s="1">
        <v>20</v>
      </c>
      <c r="N22" s="1">
        <f xml:space="preserve"> 2.16819019066414 * B1 + 0.0330857731520291 * B2 + 0.00263952498769062 * B3 - 649.90332724515 * LN(B2) + 565.094383949683 * LN(B3) - 0.0161097517981914 * B1^-2 + 9913147.48483019 * B3^-1 - 1.0700898266181E-07 * B2^2 - 0.0000144801792984391 * B1*B2 - 0.0000183712083737876 * B1*B3 - 2.95681334748858E-07 * B2*B3 - 234.517639036837 * (B2/B3)^-4 - 41334.3040713781 * (B2/B1)^-1 - 5345.04284831869 * (B3/B1)^-1 - 78.9029686288727 * (B3/B2)^-1</f>
        <v>9.5396637449225636</v>
      </c>
      <c r="O22" s="1">
        <f t="shared" si="0"/>
        <v>0</v>
      </c>
      <c r="P22" s="1">
        <f>IF(AND($C$3&gt;=L22,$C$3&lt;=M22),1,0)</f>
        <v>0</v>
      </c>
      <c r="Q22" s="1">
        <f t="shared" si="2"/>
        <v>0</v>
      </c>
      <c r="S22" s="1">
        <v>50</v>
      </c>
      <c r="T22" s="1">
        <v>54</v>
      </c>
      <c r="U22" s="1">
        <v>11</v>
      </c>
      <c r="V22" s="1">
        <v>14</v>
      </c>
      <c r="W22" s="1">
        <f xml:space="preserve"> 2021.91480770397 * B1 - 6.72240577046742 * B2 - 13.1546232455901 * B3 + 3596.57149586617 * LN(B1) + 166858.357923277 * LN(B2) - 147948.479904111 * LN(B3) + 129434.083921726 * B1^-5 - 316601.00857958 * B1^-4 + 296515.029448458 * B1^-3 - 142427.549913576 * B1^-2 - 1532684484.76426 * B3^-1 + 0.0000132034249668763 * B2^2 + 209616866.325474 * (B1*B3)^-1 - 0.0206247095386276 * B1*B2 + 0.00158435600586924 * B1*B3 + 0.000233492916311902 * B2*B3 - 3350950.76950737 * (B2/B3)^-4 + 8.62031899132513 * (B3/B2)^-4 + 2242159.67330494 * (B2/B3)^-3 - 1.32837260511711E-06 * (B1/B2)^-2 + 4.4867726910489E-07 * (B1/B3)^-2 + 0.283384180390026 * (B1/B2)^-1 + 1.32590093742302 * (B1/B3)^-1 - 55534422.9627877 * (B2/B1)^-1</f>
        <v>-46494.826327957257</v>
      </c>
      <c r="X22" s="1">
        <f t="shared" si="3"/>
        <v>0</v>
      </c>
      <c r="Y22" s="1">
        <f t="shared" si="4"/>
        <v>0</v>
      </c>
      <c r="Z22" s="1">
        <f t="shared" si="8"/>
        <v>0</v>
      </c>
    </row>
    <row r="23" spans="1:26" x14ac:dyDescent="0.25">
      <c r="A23" s="1">
        <v>42</v>
      </c>
      <c r="B23" s="1">
        <v>48</v>
      </c>
      <c r="C23" s="1">
        <v>14</v>
      </c>
      <c r="D23" s="1">
        <v>16</v>
      </c>
      <c r="E23" s="1">
        <f xml:space="preserve"> 0.193845927485267 * B1 - 0.000350224986969895 * B2 + 0.00254660382795545 * B3 - 0.580965071690435 * LN(B1) + 15.5873885726452 * LN(B2) - 18.6141245269638 * LN(B3) - 0.0232176982954153 * B1^2 - 4.91674409991086E-08 * B3^2 + 0.00166916622736542 * B1^3 - 0.0000666298937541416 * B1^4 + 1.10609006359834E-06 * B1^5 + 2.55176396338969E-10 * (B1/B2)^-2 - 1.3285759117581E-09 * (B1/B3)^-2 - 0.0000475378447654509 * (B1/B2)^-1 + 0.0000788077341716 * (B1/B3)^-1 - 668.664243394174 * (B2/B1)^-1 + 5.12860176743267 * (B2/B3)^-1 + 538.385332785725 * (B3/B1)^-1</f>
        <v>0.51941936743947037</v>
      </c>
      <c r="F23" s="1">
        <f t="shared" si="5"/>
        <v>0</v>
      </c>
      <c r="G23" s="1">
        <f t="shared" si="6"/>
        <v>0</v>
      </c>
      <c r="H23" s="1">
        <f t="shared" si="7"/>
        <v>0</v>
      </c>
      <c r="J23" s="1">
        <v>54</v>
      </c>
      <c r="K23" s="1">
        <v>60</v>
      </c>
      <c r="L23" s="1">
        <v>11</v>
      </c>
      <c r="M23" s="1">
        <v>15</v>
      </c>
      <c r="N23" s="1">
        <f xml:space="preserve">  - 1.21076450972262 * B1 + 0.0164114301283522 * B2 + 0.0114517005838418 * B3 - 0.341877825439869 * LN(B1) - 480.606918760396 * LN(B2) - 45.4378559955841 * LN(B3) - 7.932281422212 * B1^-5 + 20.7661622420045 * B1^-4 - 21.2988296942286 * B1^-3 + 10.4804877225184 * B1^-2 - 25869.4421926184 * B3^-1 - 6.5254788715462E-08 * B2^2 - 4.04287183416518E-08 * B3^2 - 739.278096901595 * (B1*B3)^-1 + 0.0000108192357384518 * B1*B2 - 8.25631942023715E-08 * B2*B3 + 462.859814452151 * (B2/B3)^-4 - 0.000876617813887559 * (B3/B2)^-4 + 3.63353653860181E-10 * (B1/B2)^-2 - 354.746522020786 * (B2/B3)^-2 - 0.000074891267866906 * (B1/B2)^-1 + 34329.0250763286 * (B2/B1)^-1 + 4910.55342213066</f>
        <v>21.590061764895836</v>
      </c>
      <c r="O23" s="1">
        <f>IF(AND($C$2&gt;=J23,$C$2&lt;=K23),1,0)</f>
        <v>0</v>
      </c>
      <c r="P23" s="1">
        <f t="shared" si="1"/>
        <v>0</v>
      </c>
      <c r="Q23" s="1">
        <f t="shared" si="2"/>
        <v>0</v>
      </c>
      <c r="S23" s="1">
        <v>50</v>
      </c>
      <c r="T23" s="1">
        <v>54</v>
      </c>
      <c r="U23" s="1">
        <v>14</v>
      </c>
      <c r="V23" s="1">
        <v>17</v>
      </c>
      <c r="W23" s="1">
        <f xml:space="preserve"> 1029.03652628832 * B1 + 2.22619880694811 * B2 - 20.4428050674023 * B3 + 79.2347716412334 * LN(B1) - 88598.0070826736 * LN(B2) + 108998.529651762 * LN(B3) + 4773.19192725069 * B1^-5 - 6059.6054117339 * B1^-4 + 0.000395401841623325 * B3^2 + 10007820.8142978 * (B1*B3)^-1 - 0.00142487340253364 * B1*B2 - 0.0262840697088283 * B1*B3 - 925217.637144277 * (B2/B3)^-4 + 5.04567469166505E-07 * (B1/B2)^-2 + 273024.346858459 * (B2/B3)^-2 - 8315463.7849384 * (B3/B1)^-1</f>
        <v>-33365.510343681402</v>
      </c>
      <c r="X23" s="1">
        <f t="shared" si="3"/>
        <v>0</v>
      </c>
      <c r="Y23" s="1">
        <f t="shared" si="4"/>
        <v>0</v>
      </c>
      <c r="Z23" s="1">
        <f t="shared" si="8"/>
        <v>0</v>
      </c>
    </row>
    <row r="24" spans="1:26" x14ac:dyDescent="0.25">
      <c r="A24" s="1">
        <v>42</v>
      </c>
      <c r="B24" s="1">
        <v>48</v>
      </c>
      <c r="C24" s="1">
        <v>16</v>
      </c>
      <c r="D24" s="1">
        <v>18</v>
      </c>
      <c r="E24" s="1">
        <f xml:space="preserve">  - 0.284913998709086 * B1 - 0.0027882531264343 * B2 + 0.00805948560053947 * B3 + 0.698204472855822 * LN(B1) + 53.0512653191443 * LN(B2) - 57.2808962652092 * LN(B3) + 0.0323139511658934 * B1^2 + 1.45401458322294E-08 * B2^2 - 1.21367140153575E-07 * B3^2 - 0.00277649611246541 * B1^3 + 0.000156691149726344 * B1^4 - 5.04087021388436E-06 * B1^5 + 6.95745055104656E-08 * B1^6 + 1.6937333787224E-10 * (B1/B2)^-2 - 1.80158602864661E-09 * (B1/B3)^-2 + 34.9437351398952 * (B2/B3)^-2 - 0.0000298714763770967 * (B1/B2)^-1 + 0.000120375475566132 * (B1/B3)^-1 - 55.8201499920701 * (B2/B3)^-1 + 458.492968723934 * (B3/B1)^-1 - 2249.73284129419 * B1/B2</f>
        <v>0.25808962737313146</v>
      </c>
      <c r="F24" s="1">
        <f t="shared" si="5"/>
        <v>0</v>
      </c>
      <c r="G24" s="1">
        <f t="shared" si="6"/>
        <v>1</v>
      </c>
      <c r="H24" s="1">
        <f t="shared" si="7"/>
        <v>0</v>
      </c>
      <c r="J24" s="1">
        <v>54</v>
      </c>
      <c r="K24" s="1">
        <v>60</v>
      </c>
      <c r="L24" s="1">
        <v>15</v>
      </c>
      <c r="M24" s="1">
        <v>17</v>
      </c>
      <c r="N24" s="1">
        <f>2.38864155781876 * B1 + 0.0141841153106604 * B2 - 0.0589180297259612 * B3 - 0.11242387657588 * LN(B1) - 520.70576071561 * LN(B2) + 617.07787408042 * LN(B3) - 0.904777227340161 * B1^-4 + 1.24191025026748 * B1^-3 - 4.72343882700892E-08 * B2^2 + 1.14427951277385E-06 * B3^2 - 1200.33851045826 * (B1*B3)^-1 - 0.0000204367049372849 * B1*B2 - 2.01947441984817E-06 * B1*B3 - 1.33585036723531E-07 * B2*B3 + 182.067452407544 * (B2/B3)^-2 + 1124345690.164 * (B1/B2)^-1 - 67688.8455354876 * (B2/B1)^-1 - 598.729259626309 * (B2/B3)^-1 - 1124345690.16401 * B2/B1</f>
        <v>3.1103515625</v>
      </c>
      <c r="O24" s="1">
        <f>IF(AND($C$2&gt;=J24,$C$2&lt;=K24),1,0)</f>
        <v>0</v>
      </c>
      <c r="P24" s="1">
        <f t="shared" si="1"/>
        <v>0</v>
      </c>
      <c r="Q24" s="1">
        <f t="shared" si="2"/>
        <v>0</v>
      </c>
      <c r="S24" s="1">
        <v>50</v>
      </c>
      <c r="T24" s="1">
        <v>54</v>
      </c>
      <c r="U24" s="1">
        <v>17</v>
      </c>
      <c r="V24" s="1">
        <v>20</v>
      </c>
      <c r="W24" s="1">
        <f xml:space="preserve">  - 12688.4451860764 * B1 - 46.9428982821876 * B2 - 30.6120132972495 * B3 - 548.892226526544 * LN(B1) + 623766.384449818 * LN(B2) - 461950.997599759 * LN(B3) - 3482.72263868718 * B1^-5 + 4724.59558283815 * B1^-4 - 638.325223022895 * B1^-3 - 15193620617.5448 * B3^-1 + 0.000098967087475709 * B2^2 - 15049968.5276987 * (B1*B3)^-1 + 0.0688520729016884 * B1*B2 + 0.184174040241731 * B1*B3 + 0.000779489276799552 * B2*B3 + 453224.966568592 * (B2/B3)^-4 - 9.37408121974952E-07 * (B1/B3)^-2 + 168441346.60416 * (B2/B1)^-1 + 47573200.9871997 * (B3/B1)^-1 + 203231.2031124 * B2/B3</f>
        <v>8367.5389749140013</v>
      </c>
      <c r="X24" s="1">
        <f t="shared" si="3"/>
        <v>0</v>
      </c>
      <c r="Y24" s="1">
        <f>IF(AND($C$3&gt;=U24,$C$3&lt;=V24),1,0)</f>
        <v>1</v>
      </c>
      <c r="Z24" s="1">
        <f t="shared" si="8"/>
        <v>0</v>
      </c>
    </row>
    <row r="25" spans="1:26" x14ac:dyDescent="0.25">
      <c r="A25" s="1">
        <v>42</v>
      </c>
      <c r="B25" s="1">
        <v>48</v>
      </c>
      <c r="C25" s="1">
        <v>18</v>
      </c>
      <c r="D25" s="1">
        <v>20</v>
      </c>
      <c r="E25" s="1">
        <f xml:space="preserve"> 0.102716606201107 * B1 + 0.000166985449441012 * B2 - 0.00229417069202983 * B3 - 0.236110255769381 * LN(B1) - 17.6021892269602 * LN(B2) + 22.2811911461203 * LN(B3) + 0.000253552748539983 * B1^2 + 3.77841191067995E-08 * B3^2 + 7.25421293770178E-10 * (B1/B3)^-2 - 0.0000160180674515335 * (B1/B2)^-1 - 4840.46027765574 * (B2/B1)^-1 - 18.0705844904833 * B3/B2</f>
        <v>1.3315011118289029</v>
      </c>
      <c r="F25" s="1">
        <f t="shared" si="5"/>
        <v>0</v>
      </c>
      <c r="G25" s="1">
        <f>IF(AND($C$3&gt;=C25,$C$3&lt;=D25),1,0)</f>
        <v>0</v>
      </c>
      <c r="H25" s="1">
        <f t="shared" si="7"/>
        <v>0</v>
      </c>
      <c r="J25" s="1">
        <v>54</v>
      </c>
      <c r="K25" s="1">
        <v>60</v>
      </c>
      <c r="L25" s="1">
        <v>17</v>
      </c>
      <c r="M25" s="1">
        <v>20</v>
      </c>
      <c r="N25" s="1">
        <f xml:space="preserve"> 0.46815024394801 * B1 - 0.051952276157503 * B2 + 0.0605369253818628 * B3 + 0.103618958483095 * LN(B1) + 1821.39363071281 * LN(B2) - 1872.62619139781 * LN(B3) + 1.07771198321243 * B1^-5 - 1.24549951287095 * B1^-4 - 12167077.0475003 * B3^-1 + 1.71002908648287E-07 * B2^2 - 8.60050979136888E-07 * B3^2 - 6628.85971030019 * (B1*B3)^-1 + 2.83291644684754E-07 * B1*B2 - 0.0000156863202236736 * B1*B3 + 0.0000003350290880168 * B2*B3 - 30.8482882559137 * (B2/B3)^-4 + 0.0191133548753528 * (B3/B2)^-4 + 0.000012075137831745 * (B1/B2)^-1 + 1039.75147048383 * (B2/B3)^-1 - 3889.69510580237 * (B3/B1)^-1</f>
        <v>-39.63512855849649</v>
      </c>
      <c r="O25" s="1">
        <f>IF(AND($C$2&gt;=J25,$C$2&lt;=K25),1,0)</f>
        <v>0</v>
      </c>
      <c r="P25" s="1">
        <f>IF(AND($C$3&gt;=L25,$C$3&lt;=M25),1,0)</f>
        <v>1</v>
      </c>
      <c r="Q25" s="1">
        <f t="shared" si="2"/>
        <v>0</v>
      </c>
      <c r="S25" s="1">
        <v>54</v>
      </c>
      <c r="T25" s="1">
        <v>60</v>
      </c>
      <c r="U25" s="1">
        <v>11</v>
      </c>
      <c r="V25" s="1">
        <v>14</v>
      </c>
      <c r="W25" s="1">
        <f xml:space="preserve">  - 6556.28627693682 * B1 + 7.14670137980634 * B2 - 57.9036412317658 * B3 + 2925.97359724302 * LN(B1) - 147095.942361177 * LN(B2) + 194598.271128944 * LN(B3) + 111270.383036469 * B1^-5 - 272785.139860804 * B1^-4 + 256538.590896517 * B1^-3 - 126480.5054447 * B1^-2 - 757368458.311334 * B3^-1 - 0.0000665985547221596 * B2^2 + 0.000608965003266128 * B3^2 + 272021132.563422 * (B1*B3)^-1 + 0.0685990877889853 * B1*B2 - 0.0537257054629414 * B1*B3 + 0.000325549091451185 * B2*B3 - 7350827.0322723 * (B2/B3)^-4 + 11.8798525755786 * (B3/B2)^-4 + 4301289.8872477 * (B2/B3)^-3 - 3.6583025941123E-07 * (B1/B2)^-2 + 0.000003232764262926 * (B1/B3)^-2 + 1.61737924882526 * (B1/B3)^-1 + 225987003.376622 * (B2/B1)^-1 - 9076240.72529468 * (B3/B1)^-1</f>
        <v>-146244.44958682641</v>
      </c>
      <c r="X25" s="1">
        <f>IF(AND($C$2&gt;=S25,$C$2&lt;=T25),1,0)</f>
        <v>0</v>
      </c>
      <c r="Y25" s="1">
        <f t="shared" si="4"/>
        <v>0</v>
      </c>
      <c r="Z25" s="1">
        <f t="shared" si="8"/>
        <v>0</v>
      </c>
    </row>
    <row r="26" spans="1:26" x14ac:dyDescent="0.25">
      <c r="A26" s="1">
        <v>48</v>
      </c>
      <c r="B26" s="1">
        <v>54</v>
      </c>
      <c r="C26" s="1">
        <v>11</v>
      </c>
      <c r="D26" s="1">
        <v>14</v>
      </c>
      <c r="E26" s="1">
        <f xml:space="preserve">  - 2.19784450396789 * B1 - 0.0082871392363435 * B2 - 0.000046447741667735 * B3 + 2.73804654288261 * LN(B1) + 205.684432108338 * LN(B2) + 0.768194357102139 * LN(B3) + 0.36820540511764 * B1^2 + 4.09182108681927E-08 * B2^2 - 0.042457493909115 * B1^3 + 0.00293618394256464 * B1^4 - 0.00010969397608988 * B1^5 + 1.69686227281997E-06 * B1^6 + 3.87199276633681E-10 * (B1/B2)^-2 - 1.94427073527694E-09 * (B1/B3)^-2 - 5.45557806681235 * (B2/B3)^-2 - 0.0000211826840927991 * (B1/B2)^-1 + 0.0000814501748739403 * (B1/B3)^-1 + 280.33935128445 * (B3/B1)^-1 - 1918.23769714129</f>
        <v>-5.34390427559606</v>
      </c>
      <c r="F26" s="1">
        <f t="shared" si="5"/>
        <v>0</v>
      </c>
      <c r="G26" s="1">
        <f t="shared" si="6"/>
        <v>0</v>
      </c>
      <c r="H26" s="1">
        <f t="shared" si="7"/>
        <v>0</v>
      </c>
      <c r="S26" s="1">
        <v>54</v>
      </c>
      <c r="T26" s="1">
        <v>60</v>
      </c>
      <c r="U26" s="1">
        <v>14</v>
      </c>
      <c r="V26" s="1">
        <v>17</v>
      </c>
      <c r="W26" s="1">
        <f xml:space="preserve">  - 10523.0237890178 * B1 - 20.3209310431134 * B2 - 33.1584221740332 * B3 + 5004.05319402181 * LN(B1) + 786594.83832926 * LN(B2) - 745949.2804606 * LN(B3) + 188881.456441791 * B1^-5 - 461323.599722146 * B1^-4 + 430893.332488304 * B1^-3 - 212636.891560449 * B1^-2 - 7563257309.88816 * B3^-1 - 0.000115193627541057 * B3^2 + 605535393.609649 * (B1*B3)^-1 + 0.0906463537525688 * B1*B2 + 0.0162974265015822 * B1*B3 + 0.000688793389762785 * B2*B3 - 2110128.34958647 * (B2/B3)^-4 + 49.0978342814714 * (B3/B2)^-4 + 2.38154450141245E-07 * (B1/B2)^-2 + 3.94170640560671E-06 * (B1/B3)^-2 + 2053464.63658828 * (B2/B3)^-2 - 0.110659900071821 * (B1/B2)^-1 + 2.28577321734794 * (B1/B3)^-1 + 284068780.366196 * (B2/B1)^-1</f>
        <v>3009.4589287121635</v>
      </c>
      <c r="X26" s="1">
        <f t="shared" ref="X26:X27" si="9">IF(AND($C$2&gt;=S26,$C$2&lt;=T26),1,0)</f>
        <v>0</v>
      </c>
      <c r="Y26" s="1">
        <f t="shared" si="4"/>
        <v>0</v>
      </c>
      <c r="Z26" s="1">
        <f t="shared" si="8"/>
        <v>0</v>
      </c>
    </row>
    <row r="27" spans="1:26" x14ac:dyDescent="0.25">
      <c r="A27" s="1">
        <v>48</v>
      </c>
      <c r="B27" s="1">
        <v>54</v>
      </c>
      <c r="C27" s="1">
        <v>14</v>
      </c>
      <c r="D27" s="1">
        <v>16</v>
      </c>
      <c r="E27" s="1">
        <f xml:space="preserve">  - 1.81884923713504 * B1 - 0.00644907241781874 * B2 + 0.00026426344061131 * B3 + 3.63066552627337 * LN(B1) + 156.972134670781 * LN(B2) - 10.2420853509347 * LN(B3) + 0.256618713570323 * B1^2 + 3.33643278604841E-08 * B2^2 - 0.0263828119006175 * B1^3 + 0.00170039028599294 * B1^4 - 0.0000606217609733889 * B1^5 + 9.07427011161549E-07 * B1^6 - 2.18492841459995E-09 * (B1/B3)^-2 + 0.0000275390037374604 * (B1/B2)^-1 + 0.000116446527525521 * (B1/B3)^-1 - 3219.52364040997 * (B2/B1)^-1 + 210.014202072887 * (B3/B1)^-1 - 1.56661490241538 * (B3/B2)^-1 - 1360.39006120418</f>
        <v>-2.6637456442588245</v>
      </c>
      <c r="F27" s="1">
        <f t="shared" si="5"/>
        <v>0</v>
      </c>
      <c r="G27" s="1">
        <f t="shared" si="6"/>
        <v>0</v>
      </c>
      <c r="H27" s="1">
        <f t="shared" si="7"/>
        <v>0</v>
      </c>
      <c r="S27" s="1">
        <v>54</v>
      </c>
      <c r="T27" s="1">
        <v>60</v>
      </c>
      <c r="U27" s="1">
        <v>17</v>
      </c>
      <c r="V27" s="1">
        <v>20</v>
      </c>
      <c r="W27" s="1">
        <f xml:space="preserve">  - 37005.9397013982 * B1 - 54.7203951042954 * B2 - 122.070114994661 * B3 - 202.489292587612 * LN(B1) + 345758.203881505 * LN(B2) - 26065853302.9524 * B3^-1 + 0.0000192536794661212 * B2^2 + 0.000617922200642084 * B3^2 + 0.211474824626124 * B1*B2 + 0.44753081874627 * B1*B3 + 0.00146553853795325 * B2*B3 + 1173241.63398987 * (B2/B3)^-4 + 590188365.078888 * (B2/B1)^-1 + 119540443.682635 * (B3/B1)^-1 + 379785.829597094 * B2/B3</f>
        <v>75746.24836011359</v>
      </c>
      <c r="X27" s="1">
        <f t="shared" si="9"/>
        <v>0</v>
      </c>
      <c r="Y27" s="1">
        <f>IF(AND($C$3&gt;=U27,$C$3&lt;=V27),1,0)</f>
        <v>1</v>
      </c>
      <c r="Z27" s="1">
        <f t="shared" si="8"/>
        <v>0</v>
      </c>
    </row>
    <row r="28" spans="1:26" x14ac:dyDescent="0.25">
      <c r="A28" s="1">
        <v>48</v>
      </c>
      <c r="B28" s="1">
        <v>54</v>
      </c>
      <c r="C28" s="1">
        <v>16</v>
      </c>
      <c r="D28" s="1">
        <v>18</v>
      </c>
      <c r="E28" s="1">
        <f xml:space="preserve">  - 1.84575076184079 * B1 + 0.0005062818273174 * B2 + 0.000589493810870906 * B3 + 1.28490054387898 * LN(B1) - 30.8761958565751 * LN(B2) - 7.30602093589307 * LN(B3) + 0.353277393006887 * B1^2 - 0.0428991467211912 * B1^3 + 0.00305066327362736 * B1^4 - 0.000115938492187661 * B1^5 + 1.81405149184296E-06 * B1^6 + 6.49756040187328E-10 * (B1/B2)^-2 - 1.06668775295908E-09 * (B1/B3)^-2 - 18.4209899130318 * (B2/B3)^-2 - 0.000073467473610566 * (B1/B2)^-1 + 0.0000773070720373419 * (B1/B3)^-1 - 0.0214923087492153 * (B2/B3)^2 + 374.970563908511</f>
        <v>2.0287622071105602</v>
      </c>
      <c r="F28" s="1">
        <f t="shared" si="5"/>
        <v>0</v>
      </c>
      <c r="G28" s="1">
        <f t="shared" si="6"/>
        <v>1</v>
      </c>
      <c r="H28" s="1">
        <f t="shared" si="7"/>
        <v>0</v>
      </c>
    </row>
    <row r="29" spans="1:26" x14ac:dyDescent="0.25">
      <c r="A29" s="1">
        <v>48</v>
      </c>
      <c r="B29" s="1">
        <v>54</v>
      </c>
      <c r="C29" s="1">
        <v>18</v>
      </c>
      <c r="D29" s="1">
        <v>20</v>
      </c>
      <c r="E29" s="1">
        <f xml:space="preserve">  - 0.260852468239301 * B1 + 0.000339796697014988 * B2 - 0.00322068264314724 * B3 + 0.82401000362585 * LN(B1) - 25.6093686578654 * LN(B2) + 31.4888135076815 * LN(B3) + 0.0363629363311251 * B1^2 + 4.93165321358173E-08 * B3^2 - 0.00262429018499018 * B1^3 + 0.000105868794300527 * B1^4 - 1.77593345444255E-06 * B1^5 - 4.98084917051896E-10 * (B1/B3)^-2 + 0.0000463358400856086 * (B1/B3)^-1 - 3255.19961088646 * (B2/B1)^-1 - 18.4003468148988 * (B2/B3)^-1 - 537.300600465236 * (B3/B1)^-1</f>
        <v>1.8652884726251036</v>
      </c>
      <c r="F29" s="1">
        <f t="shared" si="5"/>
        <v>0</v>
      </c>
      <c r="G29" s="1">
        <f>IF(AND($C$3&gt;=C29,$C$3&lt;=D29),1,0)</f>
        <v>0</v>
      </c>
      <c r="H29" s="1">
        <f t="shared" si="7"/>
        <v>0</v>
      </c>
    </row>
    <row r="30" spans="1:26" x14ac:dyDescent="0.25">
      <c r="A30" s="1">
        <v>54</v>
      </c>
      <c r="B30" s="1">
        <v>60</v>
      </c>
      <c r="C30" s="1">
        <v>11</v>
      </c>
      <c r="D30" s="1">
        <v>14</v>
      </c>
      <c r="E30" s="1">
        <f xml:space="preserve">  - 0.573426044681739 * B1 + 0.0059408152067803 * B2 + 0.000196845870006448 * B3 + 1.89091126872734 * LN(B1) - 185.243445046654 * LN(B2) - 0.0885063669874007 * LN(B3) + 0.0383262036708602 * B1^2 - 2.42091669713261E-08 * B2^2 - 0.00156567163618709 * B1^3 - 3.05351198604592E-06 * B1^4 + 2.73296355712112E-06 * B1^5 - 6.9742699207153E-08 * B1^6 - 2.6819896743636E-10 * (B1/B2)^-2 + 1.77560405939168E-10 * (B1/B3)^-2 - 20.1632484177014 * (B2/B3)^-2 + 0.0000525078022264536 * (B1/B2)^-1 + 236.643434115156 * (B3/B1)^-1 + 933.120016918857 * B1/B2 + 0.0111137537421587 * (B2/B3)^2 + 1766.11482893447</f>
        <v>9.3986233056207311</v>
      </c>
      <c r="F30" s="1">
        <f>IF(AND($C$2&gt;=A30,$C$2&lt;=B30),1,0)</f>
        <v>0</v>
      </c>
      <c r="G30" s="1">
        <f t="shared" si="6"/>
        <v>0</v>
      </c>
      <c r="H30" s="1">
        <f t="shared" si="7"/>
        <v>0</v>
      </c>
    </row>
    <row r="31" spans="1:26" x14ac:dyDescent="0.25">
      <c r="A31" s="1">
        <v>54</v>
      </c>
      <c r="B31" s="1">
        <v>60</v>
      </c>
      <c r="C31" s="1">
        <v>14</v>
      </c>
      <c r="D31" s="1">
        <v>16</v>
      </c>
      <c r="E31" s="1">
        <f xml:space="preserve">  - 0.438043188222723 * B1 + 0.00514307407582422 * B2 + 0.000219031043467627 * B3 + 1.43379293531273 * LN(B1) - 160.461907816128 * LN(B2) + 2.13457430481772 * LN(B3) + 0.0375006257319595 * B1^2 - 2.14526801455612E-08 * B2^2 - 0.00227646394610677 * B1^3 + 0.0000794227352213905 * B1^4 - 1.17925098333509E-06 * B1^5 - 1.16681015063772E-10 * (B1/B2)^-2 - 9.67250063405043E-10 * (B1/B3)^-2 - 26.2056076207459 * (B2/B3)^-2 + 0.0000256135461025882 * (B1/B2)^-1 + 0.0000472344982016432 * (B1/B3)^-1 - 620.716030730554 * (B2/B1)^-1 + 0.0721840557504053 * (B2/B3)^2 + 1509.58969997161</f>
        <v>6.8192385854088116</v>
      </c>
      <c r="F31" s="1">
        <f t="shared" ref="F31:F33" si="10">IF(AND($C$2&gt;=A31,$C$2&lt;=B31),1,0)</f>
        <v>0</v>
      </c>
      <c r="G31" s="1">
        <f t="shared" si="6"/>
        <v>0</v>
      </c>
      <c r="H31" s="1">
        <f t="shared" si="7"/>
        <v>0</v>
      </c>
    </row>
    <row r="32" spans="1:26" x14ac:dyDescent="0.25">
      <c r="A32" s="1">
        <v>54</v>
      </c>
      <c r="B32" s="1">
        <v>60</v>
      </c>
      <c r="C32" s="1">
        <v>16</v>
      </c>
      <c r="D32" s="1">
        <v>18</v>
      </c>
      <c r="E32" s="1">
        <f xml:space="preserve">  - 0.00674171347043908 * B1 + 0.0016980695709851 * B2 + 0.000125765315614936 * B3 + 0.00222175576097729 * LN(B1) - 54.7387945181305 * LN(B2) + 0.314511410525063 * LN(B3) - 6.93073283652071E-09 * B2^2 - 9.80728089262465 * (B2/B3)^-2 + 0.0366799676221052 * (B3/B2)^-2 + 95.7830436651895 * (B3/B1)^-1 + 520.472067316849</f>
        <v>2.7224948092717796</v>
      </c>
      <c r="F32" s="1">
        <f t="shared" si="10"/>
        <v>0</v>
      </c>
      <c r="G32" s="1">
        <f t="shared" si="6"/>
        <v>1</v>
      </c>
      <c r="H32" s="1">
        <f t="shared" si="7"/>
        <v>0</v>
      </c>
    </row>
    <row r="33" spans="1:26" x14ac:dyDescent="0.25">
      <c r="A33" s="1">
        <v>54</v>
      </c>
      <c r="B33" s="1">
        <v>60</v>
      </c>
      <c r="C33" s="1">
        <v>18</v>
      </c>
      <c r="D33" s="1">
        <v>20</v>
      </c>
      <c r="E33" s="1">
        <f xml:space="preserve"> 0.00312985199027305 * B1 + 0.0000673049238773571 * B2 - 0.000665015390499799 * B3 - 0.00307394111303906 * LN(B1) - 5.41421020532261 * LN(B2) + 6.68383241982684 * LN(B3) + 9.79930434951903E-09 * B3^2 - 333.573691707056 * (B2/B1)^-1 + 38.7628503139285 * B1/B3 - 3.77024675799948 * B3/B2</f>
        <v>0.60588865349987575</v>
      </c>
      <c r="F33" s="1">
        <f t="shared" si="10"/>
        <v>0</v>
      </c>
      <c r="G33" s="1">
        <f>IF(AND($C$3&gt;=C33,$C$3&lt;=D33),1,0)</f>
        <v>0</v>
      </c>
      <c r="H33" s="1">
        <f t="shared" si="7"/>
        <v>0</v>
      </c>
    </row>
    <row r="37" spans="1:26" x14ac:dyDescent="0.25">
      <c r="A37" s="33" t="s">
        <v>19</v>
      </c>
      <c r="B37" s="33"/>
      <c r="C37" s="33"/>
      <c r="D37" s="33"/>
      <c r="E37" s="33"/>
      <c r="F37" s="33"/>
      <c r="G37" s="33"/>
      <c r="H37" s="33"/>
      <c r="J37" s="33" t="s">
        <v>20</v>
      </c>
      <c r="K37" s="33"/>
      <c r="L37" s="33"/>
      <c r="M37" s="33"/>
      <c r="N37" s="33"/>
      <c r="O37" s="33"/>
      <c r="P37" s="33"/>
      <c r="Q37" s="33"/>
      <c r="S37" s="33" t="s">
        <v>21</v>
      </c>
      <c r="T37" s="33"/>
      <c r="U37" s="33"/>
      <c r="V37" s="33"/>
      <c r="W37" s="33"/>
      <c r="X37" s="33"/>
      <c r="Y37" s="33"/>
      <c r="Z37" s="33"/>
    </row>
    <row r="38" spans="1:26" x14ac:dyDescent="0.25">
      <c r="A38" s="33" t="s">
        <v>1</v>
      </c>
      <c r="B38" s="33"/>
      <c r="C38" s="33" t="s">
        <v>2</v>
      </c>
      <c r="D38" s="33"/>
      <c r="E38" s="1"/>
      <c r="F38" s="1"/>
      <c r="G38" s="1"/>
      <c r="H38" s="1"/>
      <c r="J38" s="33" t="s">
        <v>1</v>
      </c>
      <c r="K38" s="33"/>
      <c r="L38" s="33" t="s">
        <v>2</v>
      </c>
      <c r="M38" s="33"/>
      <c r="N38" s="1"/>
      <c r="O38" s="1"/>
      <c r="P38" s="1"/>
      <c r="Q38" s="1"/>
      <c r="S38" s="33" t="s">
        <v>1</v>
      </c>
      <c r="T38" s="33"/>
      <c r="U38" s="33" t="s">
        <v>2</v>
      </c>
      <c r="V38" s="33"/>
      <c r="W38" s="1"/>
      <c r="X38" s="1"/>
      <c r="Y38" s="1"/>
      <c r="Z38" s="1"/>
    </row>
    <row r="39" spans="1:26" x14ac:dyDescent="0.25">
      <c r="A39" s="2" t="s">
        <v>3</v>
      </c>
      <c r="B39" s="2" t="s">
        <v>4</v>
      </c>
      <c r="C39" s="2" t="s">
        <v>3</v>
      </c>
      <c r="D39" s="2" t="s">
        <v>4</v>
      </c>
      <c r="E39" s="2" t="s">
        <v>5</v>
      </c>
      <c r="F39" s="2" t="s">
        <v>6</v>
      </c>
      <c r="G39" s="2" t="s">
        <v>7</v>
      </c>
      <c r="H39" s="2" t="s">
        <v>8</v>
      </c>
      <c r="J39" s="2" t="s">
        <v>3</v>
      </c>
      <c r="K39" s="2" t="s">
        <v>4</v>
      </c>
      <c r="L39" s="2" t="s">
        <v>3</v>
      </c>
      <c r="M39" s="2" t="s">
        <v>4</v>
      </c>
      <c r="N39" s="2" t="s">
        <v>5</v>
      </c>
      <c r="O39" s="2" t="s">
        <v>6</v>
      </c>
      <c r="P39" s="2" t="s">
        <v>7</v>
      </c>
      <c r="Q39" s="2" t="s">
        <v>8</v>
      </c>
      <c r="S39" s="2" t="s">
        <v>3</v>
      </c>
      <c r="T39" s="2" t="s">
        <v>4</v>
      </c>
      <c r="U39" s="2" t="s">
        <v>3</v>
      </c>
      <c r="V39" s="2" t="s">
        <v>4</v>
      </c>
      <c r="W39" s="2" t="s">
        <v>5</v>
      </c>
      <c r="X39" s="2" t="s">
        <v>6</v>
      </c>
      <c r="Y39" s="2" t="s">
        <v>7</v>
      </c>
      <c r="Z39" s="2" t="s">
        <v>8</v>
      </c>
    </row>
    <row r="40" spans="1:26" x14ac:dyDescent="0.25">
      <c r="A40" s="1">
        <v>24</v>
      </c>
      <c r="B40" s="1">
        <v>30</v>
      </c>
      <c r="C40" s="1">
        <v>11</v>
      </c>
      <c r="D40" s="1">
        <v>14</v>
      </c>
      <c r="E40" s="1">
        <f xml:space="preserve">  - 0.135271427681622 * B1 - 0.000258664762510157 * B2 + 0.000213467024345942 * B3 + 0.215387977100533 * LN(B1) + 0.625897659863609 * LN(B2) + 0.132312088934938 * LN(B3) + 7.61677324406161 * B1^-5 - 18.6075456706485 * B1^-4 + 17.3517851801233 * B1^-3 - 7.96256501875697 * B1^-2 - 107653.519444949 * B2^-1 + 10556.5416143874 * B3^-1 + 2.81794520214986E-09 * B2^2 + 2572.87764329994 * (B1*B2)^-1 + 1552.49977418265 * (B1*B3)^-1 + 2.73723986126246E-06 * B1*B2 - 1.63593860489722E-06 * B1*B3 - 5.15657483896419E-09 * B2*B3 - 2.50725597039056 * (B2/B3)^-4 - 0.00150171421605642 * (B3/B2)^-4 - 5.64540915410454E-10 * (B1/B2)^-2 + 0.0000750009272102048 * (B1/B2)^-1 + 0.0000154260856709895 * (B1/B3)^-1 + 2354.15508542335 * (B2/B1)^-1 - 171.21160839301 * (B3/B1)^-1</f>
        <v>0.85174687958260764</v>
      </c>
      <c r="F40" s="1">
        <f>IF(AND($C$2&gt;=A40,$C$2&lt;B40),1,0)</f>
        <v>0</v>
      </c>
      <c r="G40" s="1">
        <f>IF(AND($C$3&gt;=C40,$C$3&lt;D40),1,0)</f>
        <v>0</v>
      </c>
      <c r="H40" s="1">
        <f>E40*F40*G40</f>
        <v>0</v>
      </c>
      <c r="J40" s="1">
        <v>24</v>
      </c>
      <c r="K40" s="1">
        <v>30</v>
      </c>
      <c r="L40" s="1">
        <v>11</v>
      </c>
      <c r="M40" s="1">
        <v>14</v>
      </c>
      <c r="N40" s="1">
        <f xml:space="preserve"> 0.0220048107638755 * B1 - 0.000185730308406419 * B2 + 0.000149832812716534 * B3 - 0.0374859524137634 * LN(B1) + 1.23896489745437 * LN(B2) - 0.861657485451212 * LN(B3) - 1.5453680422448 * B1^-5 + 3.77251481969787 * B1^-4 - 3.51913722131549 * B1^-3 + 1.83641236620345 * B1^-2 - 28920.0264348178 * B2^-1 + 2.42188849490882E-09 * B2^2 - 15940.4303733892 * (B1*B2)^-1 + 105.746884314118 * (B1*B3)^-1 - 4.71102661351373E-08 * B1*B2 - 9.51237652431033E-07 * B1*B3 - 2.76336708209938E-09 * B2*B3 - 0.86509011841848 * (B2/B3)^-4 - 0.000895679537079975 * (B3/B2)^-4 - 1.60853829301953E-10 * (B1/B2)^-2 - 106.682938600719 * (B3/B1)^-1</f>
        <v>0.93109797519014836</v>
      </c>
      <c r="O40" s="1">
        <f>IF(AND($C$2&gt;=J40,$C$2&lt;K40),1,0)</f>
        <v>0</v>
      </c>
      <c r="P40" s="1">
        <f>IF(AND($C$3&gt;=L40,$C$3&lt;M40),1,0)</f>
        <v>0</v>
      </c>
      <c r="Q40" s="1">
        <f>N40*O40*P40</f>
        <v>0</v>
      </c>
      <c r="S40" s="1">
        <v>24</v>
      </c>
      <c r="T40" s="1">
        <v>30</v>
      </c>
      <c r="U40" s="1">
        <v>11</v>
      </c>
      <c r="V40" s="1">
        <v>14</v>
      </c>
      <c r="W40" s="1">
        <f xml:space="preserve"> 156.404882379476 * B1 + 0.414183662250286 * B2 - 0.017743134075123 * B3 + 203.022152883703 * LN(B1) - 1092.30788515651 * LN(B2) - 32.0414771214718 * LN(B3) + 7467.08592114608 * B1^-5 - 18168.058405969 * B1^-4 + 16856.335381448 * B1^-3 - 8248.62247730251 * B1^-2 + 89684834.7170212 * B2^-1 - 632793.069050176 * B3^-1 - 0.0000045416678464063 * B2^2 + 45534027.5877795 * (B1*B2)^-1 - 0.00313508287423267 * B1*B2 + 0.0000964281197236056 * B1*B3 + 4.44914146983628E-07 * B2*B3 + 349.013080664072 * (B2/B3)^-4 + 1.22774763649636E-07 * (B1/B2)^-2 + 0.0354966172814016 * (B1/B2)^-1 - 2099875.13510423 * (B2/B1)^-1</f>
        <v>278.1127244207139</v>
      </c>
      <c r="X40" s="1">
        <f>IF(AND($C$2&gt;=S40,$C$2&lt;T40),1,0)</f>
        <v>0</v>
      </c>
      <c r="Y40" s="1">
        <f>IF(AND($C$3&gt;=U40,$C$3&lt;V40),1,0)</f>
        <v>0</v>
      </c>
      <c r="Z40" s="1">
        <f>W40*X40*Y40</f>
        <v>0</v>
      </c>
    </row>
    <row r="41" spans="1:26" x14ac:dyDescent="0.25">
      <c r="A41" s="1">
        <v>24</v>
      </c>
      <c r="B41" s="1">
        <v>30</v>
      </c>
      <c r="C41" s="1">
        <v>14</v>
      </c>
      <c r="D41" s="1">
        <v>16</v>
      </c>
      <c r="E41" s="1">
        <f xml:space="preserve">  - 0.0120171471162513 * B1 + 0.0002143240145545 * B2 + 0.000203134598141454 * B3 + 0.0427500026729657 * LN(B1) - 2.63238006384635 * LN(B2) + 2.68251404587499 * LN(B3) - 4.05531023931151 * B1^-1 - 104018.270080065 * B2^-1 + 58956.9041641378 * B3^-1 + 19083.2717023529 * (B1*B2)^-1 + 12702.1290428805 * (B1*B3)^-1 - 2.27484853084191E-07 * B1*B2 - 0.0000011606218440798 * B1*B3 - 1.01474548150055E-08 * B2*B3 - 1.89818921683349 * (B2/B3)^-4 + 0.0000509722727299659 * (B1/B2)^-1 + 0.0000672161863906431 * (B1/B3)^-1 + 795.604236348936 * (B2/B1)^-1 - 1.50231840553742 * (B3/B2)^-1</f>
        <v>0.83642205770433531</v>
      </c>
      <c r="F41" s="1">
        <f t="shared" ref="F41:F59" si="11">IF(AND($C$2&gt;=A41,$C$2&lt;B41),1,0)</f>
        <v>0</v>
      </c>
      <c r="G41" s="1">
        <f t="shared" ref="G41:G62" si="12">IF(AND($C$3&gt;=C41,$C$3&lt;D41),1,0)</f>
        <v>0</v>
      </c>
      <c r="H41" s="1">
        <f t="shared" ref="H41:H63" si="13">E41*F41*G41</f>
        <v>0</v>
      </c>
      <c r="J41" s="1">
        <v>24</v>
      </c>
      <c r="K41" s="1">
        <v>30</v>
      </c>
      <c r="L41" s="1">
        <v>14</v>
      </c>
      <c r="M41" s="1">
        <v>16</v>
      </c>
      <c r="N41" s="1">
        <f xml:space="preserve"> 0.0899679619268054 * B1 + 0.000457835684849631 * B2 + 0.000432248670738721 * B3 - 0.0285101796362642 * LN(B1) - 16.3391276967408 * LN(B2) - 2.90568675491939 * LN(B3) + 1.5659216938763 * B1^-5 - 2.94780301531235 * B1^-4 + 1.56401633125063 * B1^-3 - 193965.82343406 * B2^-1 - 12521.7937638526 * (B1*B2)^-1 + 2705.52629228279 * (B1*B3)^-1 - 3.90097265455156E-07 * B1*B2 - 3.18971834440898E-06 * B1*B3 - 8.23619968930454E-09 * B2*B3 - 1.35629664392587 * (B2/B3)^-4 - 0.00744880499197919 * (B3/B2)^-4 - 1.12393114854177E-10 * (B1/B2)^-2 + 2.64942079195807E-10 * (B1/B3)^-2 - 490.723090633676 * (B3/B1)^-1 + 187.578926942876</f>
        <v>0.92053226816099709</v>
      </c>
      <c r="O41" s="1">
        <f t="shared" ref="O41:O59" si="14">IF(AND($C$2&gt;=J41,$C$2&lt;K41),1,0)</f>
        <v>0</v>
      </c>
      <c r="P41" s="1">
        <f t="shared" ref="P41:P62" si="15">IF(AND($C$3&gt;=L41,$C$3&lt;M41),1,0)</f>
        <v>0</v>
      </c>
      <c r="Q41" s="1">
        <f t="shared" ref="Q41:Q63" si="16">N41*O41*P41</f>
        <v>0</v>
      </c>
      <c r="S41" s="1">
        <v>24</v>
      </c>
      <c r="T41" s="1">
        <v>30</v>
      </c>
      <c r="U41" s="1">
        <v>14</v>
      </c>
      <c r="V41" s="1">
        <v>16</v>
      </c>
      <c r="W41" s="1">
        <f xml:space="preserve"> 141.023311788839 * B1 - 0.333072080415111 * B2 + 0.604633907665504 * B3 + 159.396974548772 * LN(B1) + 18397.8626081003 * LN(B2) - 19588.9003851198 * LN(B3) + 6120.10178833454 * B1^-5 - 14838.2280142209 * B1^-4 + 13688.7625060751 * B1^-3 - 6652.05800165547 * B1^-2 + 257501332.733832 * B2^-1 - 146858359.842326 * B3^-1 + 44705066.6627082 * (B1*B2)^-1 - 3736126.25894512 * (B1*B3)^-1 - 0.00285721444897388 * B1*B2 + 0.000305481575359769 * B1*B3 + 1.31468213279839E-06 * B2*B3 + 565.900992746217 * (B2/B3)^-4 + 1.14704327556796E-07 * (B1/B2)^-2 + 0.0353434383962792 * (B1/B2)^-1 - 0.0166444909562086 * (B1/B3)^-1 - 1930562.76721225 * (B2/B1)^-1</f>
        <v>294.03135790105404</v>
      </c>
      <c r="X41" s="1">
        <f t="shared" ref="X41:X59" si="17">IF(AND($C$2&gt;=S41,$C$2&lt;T41),1,0)</f>
        <v>0</v>
      </c>
      <c r="Y41" s="1">
        <f t="shared" ref="Y41:Y62" si="18">IF(AND($C$3&gt;=U41,$C$3&lt;V41),1,0)</f>
        <v>0</v>
      </c>
      <c r="Z41" s="1">
        <f t="shared" ref="Z41:Z63" si="19">W41*X41*Y41</f>
        <v>0</v>
      </c>
    </row>
    <row r="42" spans="1:26" x14ac:dyDescent="0.25">
      <c r="A42" s="1">
        <v>24</v>
      </c>
      <c r="B42" s="1">
        <v>30</v>
      </c>
      <c r="C42" s="1">
        <v>16</v>
      </c>
      <c r="D42" s="1">
        <v>18</v>
      </c>
      <c r="E42" s="1">
        <f xml:space="preserve"> 0.268197180952183 * B1 - 0.000136774449293862 * B2 - 0.0000339026646663901 * B3 + 0.458286404717619 * LN(B1) + 0.433287249310213 * LN(B2) + 0.363317830445938 * LN(B3) + 15.7655299738272 * B1^-5 - 38.4973800650281 * B1^-4 + 35.9349026488903 * B1^-3 - 17.356546601121 * B1^-2 - 109262.302984371 * B2^-1 + 66672.0661096095 * (B1*B2)^-1 - 4123.22457168598 * (B1*B3)^-1 - 1.71763387083837E-06 * B1*B2 - 8.16417294941879E-06 * B1*B3 - 0.734498254422595 * (B2/B3)^-4 - 2.33960481421236E-10 * (B1/B2)^-2 + 0.000121105234003268 * (B1/B2)^-1 - 1753.48402171427 * (B3/B1)^-1</f>
        <v>0.8481305759038098</v>
      </c>
      <c r="F42" s="1">
        <f t="shared" si="11"/>
        <v>0</v>
      </c>
      <c r="G42" s="1">
        <f t="shared" si="12"/>
        <v>1</v>
      </c>
      <c r="H42" s="1">
        <f t="shared" si="13"/>
        <v>0</v>
      </c>
      <c r="J42" s="1">
        <v>24</v>
      </c>
      <c r="K42" s="1">
        <v>30</v>
      </c>
      <c r="L42" s="1">
        <v>16</v>
      </c>
      <c r="M42" s="1">
        <v>18</v>
      </c>
      <c r="N42" s="1">
        <f xml:space="preserve"> 0.22180315879439 * B1 + 0.000905335995374853 * B2 - 0.000179258338829707 * B3 + 0.0733790140846995 * LN(B1) - 29.3115666452373 * LN(B2) + 28.8705138128827 * LN(B3) - 1.22043957198286 * B1^-5 + 2.4185784140699 * B1^-4 - 1.44874801355181 * B1^-3 - 334155.520766817 * B2^-1 + 301258.804050757 * B3^-1 - 5160.51250176115 * (B1*B2)^-1 + 7085.97664056367 * (B1*B3)^-1 - 6.90646661996594E-08 * B1*B2 - 0.0000088096390400058 * B1*B3 - 1.65812213372637E-08 * B2*B3 - 1.76232908169018 * (B2/B3)^-4 - 0.0291075650834156 * (B3/B2)^-4 + 4.40798816221922E-10 * (B1/B3)^-2 + 755.127814170901 * (B2/B1)^-1 - 1830.4222747212 * (B3/B1)^-1</f>
        <v>0.92320098168346165</v>
      </c>
      <c r="O42" s="1">
        <f t="shared" si="14"/>
        <v>0</v>
      </c>
      <c r="P42" s="1">
        <f t="shared" si="15"/>
        <v>1</v>
      </c>
      <c r="Q42" s="1">
        <f t="shared" si="16"/>
        <v>0</v>
      </c>
      <c r="S42" s="1">
        <v>24</v>
      </c>
      <c r="T42" s="1">
        <v>30</v>
      </c>
      <c r="U42" s="1">
        <v>16</v>
      </c>
      <c r="V42" s="1">
        <v>18</v>
      </c>
      <c r="W42" s="1">
        <f xml:space="preserve">  - 56.6000340295044 * B1 - 0.397909022657239 * B2 + 0.331509988836302 * B3 + 214.142083075997 * LN(B1) + 18143.1982768433 * LN(B2) - 18593.683718249 * LN(B3) + 8920.0302971992 * B1^-5 - 21583.1138320774 * B1^-4 + 19841.8222391583 * B1^-3 - 9476.89662184273 * B1^-2 + 226491941.796083 * B2^-1 - 170338012.366186 * B3^-1 + 43546186.3091582 * (B1*B2)^-1 + 2103118.61988071 * (B1*B3)^-1 - 0.00215022993026271 * B1*B2 + 0.00541626841433317 * B1*B3 + 4.39685556098193E-06 * B2*B3 + 1262.29542122573 * (B2/B3)^-3 + 8.36260719042253E-08 * (B1/B2)^-2 - 1.44824333260547E-07 * (B1/B3)^-2 + 0.0368405732321356 * (B1/B2)^-1 + 0.0141801509209942 * (B1/B3)^-1 - 1494095.97541243 * (B2/B1)^-1 + 1270317.95407112 * (B3/B1)^-1</f>
        <v>278.97359452570265</v>
      </c>
      <c r="X42" s="1">
        <f t="shared" si="17"/>
        <v>0</v>
      </c>
      <c r="Y42" s="1">
        <f t="shared" si="18"/>
        <v>1</v>
      </c>
      <c r="Z42" s="1">
        <f t="shared" si="19"/>
        <v>0</v>
      </c>
    </row>
    <row r="43" spans="1:26" x14ac:dyDescent="0.25">
      <c r="A43" s="1">
        <v>24</v>
      </c>
      <c r="B43" s="1">
        <v>30</v>
      </c>
      <c r="C43" s="1">
        <v>18</v>
      </c>
      <c r="D43" s="1">
        <v>20</v>
      </c>
      <c r="E43" s="1">
        <f xml:space="preserve"> 0.143734258602795 * B1 + 0.00031108526835495 * B2 + 0.000475908730045528 * B3 - 0.0116692236845776 * LN(B1) + 5.62105781972962 * LN(B2) - 6.52632823851719 * LN(B3) - 0.363735666395611 * B1^-5 + 0.435885571948488 * B1^-4 - 7.30207360511713E-10 * B2^2 - 3.02248646337867E-06 * B1^3 - 4423.22833873536 * (B1*B3)^-1 - 3.14662184684888E-06 * B1*B2 - 3.62511579516513E-06 * B1*B3 - 1.42540211107239E-08 * B2*B3 - 0.921137952624875 * (B3/B2)^-2</f>
        <v>0.8583676844223378</v>
      </c>
      <c r="F43" s="1">
        <f t="shared" si="11"/>
        <v>0</v>
      </c>
      <c r="G43" s="1">
        <f>IF(AND($C$3&gt;=C43,$C$3&lt;=D43),1,0)</f>
        <v>0</v>
      </c>
      <c r="H43" s="1">
        <f t="shared" si="13"/>
        <v>0</v>
      </c>
      <c r="J43" s="1">
        <v>24</v>
      </c>
      <c r="K43" s="1">
        <v>30</v>
      </c>
      <c r="L43" s="1">
        <v>18</v>
      </c>
      <c r="M43" s="1">
        <v>20</v>
      </c>
      <c r="N43" s="1">
        <f xml:space="preserve"> 0.822535334575101 * B1 + 0.00168538388016095 * B2 - 0.000256368339785763 * B3 + 0.150819819914359 * LN(B1) - 53.9619716407458 * LN(B2) + 52.3333039378953 * LN(B3) + 0.447815100939138 * B1^-5 - 0.550271642020996 * B1^-4 - 617623.064368332 * B2^-1 + 625325.307765742 * B3^-1 + 0.000107824604148281 * B1^2 + 5653.91925531432 * (B1*B3)^-1 - 6.18119096801141E-07 * B1*B2 - 0.0000260267857738218 * B1*B3 - 2.75260974380873E-08 * B2*B3 - 1.82162527357501 * (B2/B3)^-4 - 0.0925689849656514 * (B3/B2)^-4 + 1381.23316840531 * (B2/B1)^-1 - 7381.89497864114 * (B3/B1)^-1</f>
        <v>0.9391751134799855</v>
      </c>
      <c r="O43" s="1">
        <f t="shared" si="14"/>
        <v>0</v>
      </c>
      <c r="P43" s="1">
        <f>IF(AND($C$3&gt;=L43,$C$3&lt;=M43),1,0)</f>
        <v>0</v>
      </c>
      <c r="Q43" s="1">
        <f t="shared" si="16"/>
        <v>0</v>
      </c>
      <c r="S43" s="1">
        <v>24</v>
      </c>
      <c r="T43" s="1">
        <v>30</v>
      </c>
      <c r="U43" s="1">
        <v>18</v>
      </c>
      <c r="V43" s="1">
        <v>20</v>
      </c>
      <c r="W43" s="1">
        <f xml:space="preserve">  - 867.251250252796 * B1 - 0.641689257172235 * B2 - 0.216146882934261 * B3 + 440.235593901125 * LN(B1) + 21684.6622337457 * LN(B2) - 20925.1447759793 * LN(B3) + 22967.9863375915 * B1^-5 - 55141.7843064787 * B1^-4 + 50017.5152491955 * B1^-3 - 22954.009917443 * B1^-2 + 144774158.370706 * B2^-1 - 232091235.861847 * B3^-1 + 47681746.7301642 * (B1*B2)^-1 + 26561805.5079619 * (B1*B3)^-1 + 0.000316509645981954 * B1*B2 + 0.0244650995887335 * B1*B3 + 0.0000131230480500563 * B2*B3 + 858.73351716834 * (B2/B3)^-4 - 5.2631710355866E-08 * (B1/B2)^-2 - 8.0367950119924E-07 * (B1/B3)^-2 + 0.0549437416029286 * (B1/B2)^-1 + 0.119251570870076 * (B1/B3)^-1 + 7213.40629858028 * (B2/B3)^-1 + 7422911.48246802 * (B3/B1)^-1</f>
        <v>273.27207822898458</v>
      </c>
      <c r="X43" s="1">
        <f t="shared" si="17"/>
        <v>0</v>
      </c>
      <c r="Y43" s="1">
        <f>IF(AND($C$3&gt;=U43,$C$3&lt;=V43),1,0)</f>
        <v>0</v>
      </c>
      <c r="Z43" s="1">
        <f t="shared" si="19"/>
        <v>0</v>
      </c>
    </row>
    <row r="44" spans="1:26" x14ac:dyDescent="0.25">
      <c r="A44" s="1">
        <v>30</v>
      </c>
      <c r="B44" s="1">
        <v>36</v>
      </c>
      <c r="C44" s="1">
        <v>11</v>
      </c>
      <c r="D44" s="1">
        <v>14</v>
      </c>
      <c r="E44" s="1">
        <f xml:space="preserve"> 0.0123080877270605 * B1 + 0.0000576155771554922 * B2 + 0.00015749135343025 * B3 - 0.0966291302957979 * LN(B1) - 0.0576655754319033 * LN(B2) + 3.23779200465423 * B1^-5 - 6.18281832678583 * B1^-4 + 3.40481563675256 * B1^-3 - 549.718356297611 * B2^-1 + 7643.96701704757 * B3^-1 - 24355.9412281042 * (B1*B2)^-1 + 1384.40978043589 * (B1*B3)^-1 + 9.08742747827933E-08 * B1*B2 - 1.10544717989951E-06 * B1*B3 - 4.15905727645987E-09 * B2*B3 - 1.63039548076551E-10 * (B1/B2)^-2 + 2.83886025214098E-10 * (B1/B3)^-2 - 1.3493414990144 * (B2/B3)^-2 - 0.282308834226868 * (B3/B2)^-1</f>
        <v>0.87060884000616445</v>
      </c>
      <c r="F44" s="1">
        <f t="shared" si="11"/>
        <v>1</v>
      </c>
      <c r="G44" s="1">
        <f t="shared" si="12"/>
        <v>0</v>
      </c>
      <c r="H44" s="1">
        <f t="shared" si="13"/>
        <v>0</v>
      </c>
      <c r="J44" s="1">
        <v>30</v>
      </c>
      <c r="K44" s="1">
        <v>36</v>
      </c>
      <c r="L44" s="1">
        <v>11</v>
      </c>
      <c r="M44" s="1">
        <v>14</v>
      </c>
      <c r="N44" s="1">
        <f xml:space="preserve"> 0.0063443172130326 * B1 + 5.01813253920655E-06 * B2 - 0.0000890116518607164 * B3 - 0.048602906600774 * LN(B1) - 0.179211407614058 * LN(B2) + 2.00898288313881 * LN(B3) - 1.83324068189942 * B1^-5 + 4.47870973414631 * B1^-4 - 4.18272437603907 * B1^-3 + 2.01500185271589 * B1^-2 + 10797.5303945673 * B3^-1 - 12952.9539310592 * (B1*B2)^-1 + 997.63189651624 * (B1*B3)^-1 + 1.84386791043417E-08 * B1*B2 - 5.28109133205929E-07 * B1*B3 + 1.75112782820844E-10 * (B1/B3)^-2 - 0.0000104710777636339 * (B1/B2)^-1 - 15.9007918576209</f>
        <v>0.91581096013529084</v>
      </c>
      <c r="O44" s="1">
        <f t="shared" si="14"/>
        <v>1</v>
      </c>
      <c r="P44" s="1">
        <f t="shared" si="15"/>
        <v>0</v>
      </c>
      <c r="Q44" s="1">
        <f t="shared" si="16"/>
        <v>0</v>
      </c>
      <c r="S44" s="1">
        <v>30</v>
      </c>
      <c r="T44" s="1">
        <v>36</v>
      </c>
      <c r="U44" s="1">
        <v>11</v>
      </c>
      <c r="V44" s="1">
        <v>14</v>
      </c>
      <c r="W44" s="1">
        <f xml:space="preserve">  - 51.9505126212738 * B1 - 0.068375631808993 * B2 - 0.0013194355028495 * B3 + 81.9277081474518 * LN(B1) + 222.448127150652 * LN(B2) - 10.4285607269571 * LN(B3) + 3391.39418951681 * B1^-5 - 8296.17858439399 * B1^-4 + 7758.82192325975 * B1^-3 - 3674.03860727848 * B1^-2 - 20974270.1601755 * B2^-1 + 6.17832773238942E-07 * B2^2 + 13096787.5280184 * (B1*B2)^-1 + 51504.6278551428 * (B1*B3)^-1 + 0.000612857229985677 * B1*B2 + 0.000567946739940553 * B1*B3 + 6.78498958749149E-08 * B2*B3 - 9.71200647789289E-08 * (B1/B2)^-2 - 1.22336010523409E-08 * (B1/B3)^-2 + 0.0237647125288653 * (B1/B2)^-1 + 0.00085301811088873 * (B1/B3)^-1 + 583399.590614669 * (B2/B1)^-1 + 62459.1976206764 * (B3/B1)^-1</f>
        <v>271.05155503152059</v>
      </c>
      <c r="X44" s="1">
        <f t="shared" si="17"/>
        <v>1</v>
      </c>
      <c r="Y44" s="1">
        <f t="shared" si="18"/>
        <v>0</v>
      </c>
      <c r="Z44" s="1">
        <f t="shared" si="19"/>
        <v>0</v>
      </c>
    </row>
    <row r="45" spans="1:26" x14ac:dyDescent="0.25">
      <c r="A45" s="1">
        <v>30</v>
      </c>
      <c r="B45" s="1">
        <v>36</v>
      </c>
      <c r="C45" s="1">
        <v>14</v>
      </c>
      <c r="D45" s="1">
        <v>16</v>
      </c>
      <c r="E45" s="1">
        <f xml:space="preserve"> 0.202892904877712 * B1 + 0.000210764853210518 * B2 - 0.00062957782447609 * B3 - 0.371970904394809 * LN(B1) + 1.07615400323419 * LN(B2) + 11.9693261571879 * B1^-5 - 22.6704361860098 * B1^-4 + 12.1378351324332 * B1^-3 - 34476.0164685714 * B2^-1 + 1.79758990213658E-08 * B3^2 - 50480.9820012887 * (B1*B2)^-1 + 1302.05776626932 * (B1*B3)^-1 - 1.70419568026965E-07 * B1*B2 - 7.40601650549388E-06 * B1*B3 - 8.07746522999129E-09 * B2*B3 + 0.0266725399116507 * (B3/B2)^-3 - 1.18913941688392E-10 * (B1/B2)^-2 + 1.74619571450628E-10 * (B1/B3)^-2 - 0.0000268812038575734 * (B1/B2)^-1 - 1141.56550854284 * (B3/B1)^-1 - 2.78159585253477 * (B3/B2)^-1</f>
        <v>0.88021363841716216</v>
      </c>
      <c r="F45" s="1">
        <f t="shared" si="11"/>
        <v>1</v>
      </c>
      <c r="G45" s="1">
        <f t="shared" si="12"/>
        <v>0</v>
      </c>
      <c r="H45" s="1">
        <f t="shared" si="13"/>
        <v>0</v>
      </c>
      <c r="J45" s="1">
        <v>30</v>
      </c>
      <c r="K45" s="1">
        <v>36</v>
      </c>
      <c r="L45" s="1">
        <v>14</v>
      </c>
      <c r="M45" s="1">
        <v>16</v>
      </c>
      <c r="N45" s="1">
        <f xml:space="preserve"> 0.0988591572320284 * B1 - 0.0000288083865988723 * B2 - 0.0000359790702607273 * B3 + 0.000393601507161425 * LN(B1) + 0.680303728881379 * LN(B2) + 0.147837526674852 * LN(B3) - 0.0457712023666223 * B1^-5 + 0.0532960090707302 * B1^-4 - 2012.38184006363 * (B1*B2)^-1 + 640.999175923402 * (B1*B3)^-1 + 8.44026712710931E-07 * B1*B2 - 5.96419751543529E-06 * B1*B3 + 6.96919115515511E-10 * B2*B3 + 0.526619886968078 * (B2/B3)^-4 + 891.615080144288 * (B2/B1)^-1 - 1011.82428007497 * (B3/B1)^-1 - 6.4149238465938</f>
        <v>0.93233980802408656</v>
      </c>
      <c r="O45" s="1">
        <f t="shared" si="14"/>
        <v>1</v>
      </c>
      <c r="P45" s="1">
        <f t="shared" si="15"/>
        <v>0</v>
      </c>
      <c r="Q45" s="1">
        <f t="shared" si="16"/>
        <v>0</v>
      </c>
      <c r="S45" s="1">
        <v>30</v>
      </c>
      <c r="T45" s="1">
        <v>36</v>
      </c>
      <c r="U45" s="1">
        <v>14</v>
      </c>
      <c r="V45" s="1">
        <v>16</v>
      </c>
      <c r="W45" s="1">
        <f xml:space="preserve">  - 100.232772878164 * B1 + 0.0197704729293001 * B2 - 0.0981292856328113 * B3 + 87.4870234416516 * LN(B1) - 3836.56167077395 * LN(B2) + 3824.17724133735 * B1^-5 - 9322.51603091394 * B1^-4 + 8672.0860691794 * B1^-3 - 4076.96295186343 * B1^-2 - 81031849.9323117 * B2^-1 - 4749154.00163701 * B3^-1 + 12906441.2978126 * (B1*B2)^-1 + 778437.96893999 * (B1*B3)^-1 + 0.000645217127934227 * B1*B2 + 0.00227643330415321 * B1*B3 + 1.86679879638699E-06 * B2*B3 + 0.646758352910203 * (B3/B2)^-4 - 9.52023116121628E-08 * (B1/B2)^-2 - 6.07178660529439E-08 * (B1/B3)^-2 + 684.301626707135 * (B2/B3)^-2 + 0.0233681807132271 * (B1/B2)^-1 + 0.00641860751858452 * (B1/B3)^-1 + 570488.05519461 * (B2/B1)^-1 + 393622.997330362 * (B3/B1)^-1 + 42415.2858522524</f>
        <v>275.18874916284403</v>
      </c>
      <c r="X45" s="1">
        <f t="shared" si="17"/>
        <v>1</v>
      </c>
      <c r="Y45" s="1">
        <f t="shared" si="18"/>
        <v>0</v>
      </c>
      <c r="Z45" s="1">
        <f t="shared" si="19"/>
        <v>0</v>
      </c>
    </row>
    <row r="46" spans="1:26" x14ac:dyDescent="0.25">
      <c r="A46" s="1">
        <v>30</v>
      </c>
      <c r="B46" s="1">
        <v>36</v>
      </c>
      <c r="C46" s="1">
        <v>16</v>
      </c>
      <c r="D46" s="1">
        <v>18</v>
      </c>
      <c r="E46" s="1">
        <f xml:space="preserve"> 0.244456957121528 * B1 + 0.000265910110274555 * B2 + 0.000420180376316004 * B3 - 0.169404876632407 * LN(B1) - 2.32503936723115 * LN(B2) + 1.43535231231925 * LN(B3) - 3.037115403906 * B1^-5 + 7.68505530573103 * B1^-4 - 7.62969375518915 * B1^-3 + 4.43046117121946 * B1^-2 + 44899.642701471 * B3^-1 - 63267.1537947895 * (B1*B2)^-1 + 8506.27428680575 * (B1*B3)^-1 + 1.36036722264057E-06 * B1*B2 - 0.0000122275023406416 * B1*B3 - 1.15534351516841E-08 * B2*B3 - 2.46047474566645 * (B2/B3)^-4 - 0.0414291701666593 * (B3/B2)^-3 - 1.62662895200859E-10 * (B1/B2)^-2 - 3.52393013344881E-10 * (B1/B3)^-2 - 0.0000328149838295853 * (B1/B2)^-1 + 0.0000484941485553774 * (B1/B3)^-1 + 1879.666937594 * (B2/B1)^-1 - 2449.36321897485 * (B3/B1)^-1</f>
        <v>0.85342222602184437</v>
      </c>
      <c r="F46" s="1">
        <f t="shared" si="11"/>
        <v>1</v>
      </c>
      <c r="G46" s="1">
        <f t="shared" si="12"/>
        <v>1</v>
      </c>
      <c r="H46" s="1">
        <f t="shared" si="13"/>
        <v>0.85342222602184437</v>
      </c>
      <c r="J46" s="1">
        <v>30</v>
      </c>
      <c r="K46" s="1">
        <v>36</v>
      </c>
      <c r="L46" s="1">
        <v>16</v>
      </c>
      <c r="M46" s="1">
        <v>18</v>
      </c>
      <c r="N46" s="1">
        <f xml:space="preserve"> 0.449925974770936 * B1 + 0.000022514246395649 * B2 - 0.0000455717635349086 * B3 - 0.203870302742987 * LN(B1) - 3.61518424755165 * LN(B2) - 0.205927287353701 * LN(B3) - 7.73404515585863 * B1^-5 + 18.9111495254856 * B1^-4 - 17.7015586519581 * B1^-3 + 8.5945627939339 * B1^-2 - 72920.2148449215 * B2^-1 - 25268.2782894777 * (B1*B2)^-1 - 8468.05314650128 * (B1*B3)^-1 + 8.71877181439527E-07 * B1*B2 - 0.0000169183617291327 * B1*B3 + 1.61131579162888E-09 * B2*B3 + 0.917397218362329 * (B2/B3)^-4 + 3.39434769363314E-10 * (B1/B3)^-2 - 0.0000209989318687863 * (B1/B2)^-1 - 0.0000505399949882627 * (B1/B3)^-1 + 962.586661510764 * (B2/B1)^-1 - 3788.28827853861 * (B3/B1)^-1 + 42.4896505704524</f>
        <v>0.92687567524004777</v>
      </c>
      <c r="O46" s="1">
        <f t="shared" si="14"/>
        <v>1</v>
      </c>
      <c r="P46" s="1">
        <f t="shared" si="15"/>
        <v>1</v>
      </c>
      <c r="Q46" s="1">
        <f t="shared" si="16"/>
        <v>0.92687567524004777</v>
      </c>
      <c r="S46" s="1">
        <v>30</v>
      </c>
      <c r="T46" s="1">
        <v>36</v>
      </c>
      <c r="U46" s="1">
        <v>16</v>
      </c>
      <c r="V46" s="1">
        <v>18</v>
      </c>
      <c r="W46" s="1">
        <f xml:space="preserve">  - 306.194353206737 * B1 - 0.0978353042249738 * B2 - 0.384648249942771 * B3 + 137.373412982949 * LN(B1) - 390.336000931647 * LN(B2) + 1216.10183721067 * LN(B3) + 6854.69756370934 * B1^-5 - 16585.811825605 * B1^-4 + 15238.5755166095 * B1^-3 - 7046.31036087894 * B1^-2 - 84576504.8260571 * B2^-1 + 12668704.7029389 * (B1*B2)^-1 + 6694815.42334776 * (B1*B3)^-1 + 0.000795775180315169 * B1*B2 + 0.00850269864219774 * B1*B3 + 5.58069314873715E-06 * B2*B3 - 2457.64215925085 * (B2/B3)^-4 - 9.58407206574665E-08 * (B1/B2)^-2 - 2.69103820949105E-07 * (B1/B3)^-2 + 5283.63958948244 * (B2/B3)^-2 + 0.0232400601292713 * (B1/B2)^-1 + 0.0377399425124527 * (B1/B3)^-1 + 599358.408049413 * (B2/B1)^-1 + 1989057.20692976 * (B3/B1)^-1</f>
        <v>277.81652884750503</v>
      </c>
      <c r="X46" s="1">
        <f t="shared" si="17"/>
        <v>1</v>
      </c>
      <c r="Y46" s="1">
        <f t="shared" si="18"/>
        <v>1</v>
      </c>
      <c r="Z46" s="1">
        <f t="shared" si="19"/>
        <v>277.81652884750503</v>
      </c>
    </row>
    <row r="47" spans="1:26" x14ac:dyDescent="0.25">
      <c r="A47" s="1">
        <v>30</v>
      </c>
      <c r="B47" s="1">
        <v>36</v>
      </c>
      <c r="C47" s="1">
        <v>18</v>
      </c>
      <c r="D47" s="1">
        <v>20</v>
      </c>
      <c r="E47" s="1">
        <f xml:space="preserve"> 0.202234873513681 * B1 - 0.0000452472432180226 * B2 + 0.000107316010330819 * B3 + 0.0520316122209863 * LN(B1) + 3.39363783151459 * LN(B2) - 2.95750524153504 * LN(B3) + 10.9187254762606 * B1^-5 - 25.8453634420745 * B1^-4 + 22.772312825762 * B1^-3 - 9.16796899179874 * B1^-2 - 61587.0379876586 * B3^-1 - 52468.4411667148 * (B1*B2)^-1 + 27224.6459699251 * (B1*B3)^-1 + 3.75835773724954E-06 * B1*B2 - 0.000015319443078576 * B1*B3 - 4.47112523243953E-09 * B2*B3 - 0.933708869058878 * (B2/B3)^-4 - 3.62330410196199E-10 * (B1/B2)^-2 - 9.67028530737583E-10 * (B1/B3)^-2 - 9.45732421890066E-07 * (B1/B2)^-1 + 0.000133839754601908 * (B1/B3)^-1 + 4417.31790834283 * (B2/B1)^-1 - 3555.10784990511 * (B3/B1)^-1</f>
        <v>0.85094787049481635</v>
      </c>
      <c r="F47" s="1">
        <f t="shared" si="11"/>
        <v>1</v>
      </c>
      <c r="G47" s="1">
        <f>IF(AND($C$3&gt;=C47,$C$3&lt;=D47),1,0)</f>
        <v>0</v>
      </c>
      <c r="H47" s="1">
        <f t="shared" si="13"/>
        <v>0</v>
      </c>
      <c r="J47" s="1">
        <v>30</v>
      </c>
      <c r="K47" s="1">
        <v>36</v>
      </c>
      <c r="L47" s="1">
        <v>18</v>
      </c>
      <c r="M47" s="1">
        <v>20</v>
      </c>
      <c r="N47" s="1">
        <f xml:space="preserve"> 1.23544065596394 * B1 - 0.0000438787170014084 * B2 - 0.0000775227042682915 * B3 + 0.055617441723462 * LN(B1) + 0.612124206417009 * LN(B2) - 0.337415989465936 * LN(B3) - 1.4809493402469 * B1^-5 + 2.6971757090897 * B1^-4 - 1.34447439409908 * B1^-3 - 10757.867195772 * B3^-1 - 16303.5562009778 * (B1*B2)^-1 + 13199.5595338187 * (B1*B3)^-1 - 6.08803066896358E-08 * B1*B2 - 0.0000374192477685511 * B1*B3 + 1.92431020047145E-09 * B2*B3 + 1.05450064966622 * (B2/B3)^-4 - 1.44842394072403E-10 * (B1/B2)^-2 + 4.55268346847667E-10 * (B1/B3)^-2 - 10351.3423570607 * (B3/B1)^-1</f>
        <v>0.92331691183900144</v>
      </c>
      <c r="O47" s="1">
        <f t="shared" si="14"/>
        <v>1</v>
      </c>
      <c r="P47" s="1">
        <f>IF(AND($C$3&gt;=L47,$C$3&lt;=M47),1,0)</f>
        <v>0</v>
      </c>
      <c r="Q47" s="1">
        <f t="shared" si="16"/>
        <v>0</v>
      </c>
      <c r="S47" s="1">
        <v>30</v>
      </c>
      <c r="T47" s="1">
        <v>36</v>
      </c>
      <c r="U47" s="1">
        <v>18</v>
      </c>
      <c r="V47" s="1">
        <v>20</v>
      </c>
      <c r="W47" s="1">
        <f xml:space="preserve">  - 1205.17220011649 * B1 - 0.50012781499308 * B2 + 0.836955675788157 * B3 - 165.20326588097 * LN(B1) - 1264.03743364947 * LN(B2) + 568.319067113301 * LN(B3) - 938.296062730062 * B1^-5 + 1123.30862910763 * B1^-4 - 0.0000249886153186145 * B3^2 - 4905914.39326562 * (B1*B2)^-1 - 6227752.91378861 * (B1*B3)^-1 + 0.000589448970609677 * B1*B2 + 0.0344260818711897 * B1*B3 + 0.0000151866346437325 * B2*B3 + 10471326.5190731 * (B3/B1)^-1 + 4729.17650978753 * (B3/B2)^-1</f>
        <v>287.63033358160556</v>
      </c>
      <c r="X47" s="1">
        <f t="shared" si="17"/>
        <v>1</v>
      </c>
      <c r="Y47" s="1">
        <f>IF(AND($C$3&gt;=U47,$C$3&lt;=V47),1,0)</f>
        <v>0</v>
      </c>
      <c r="Z47" s="1">
        <f t="shared" si="19"/>
        <v>0</v>
      </c>
    </row>
    <row r="48" spans="1:26" x14ac:dyDescent="0.25">
      <c r="A48" s="1">
        <v>36</v>
      </c>
      <c r="B48" s="1">
        <v>42</v>
      </c>
      <c r="C48" s="1">
        <v>11</v>
      </c>
      <c r="D48" s="1">
        <v>14</v>
      </c>
      <c r="E48" s="1">
        <f xml:space="preserve">  - 0.095909168575694 * B1 + 0.000992577823127468 * B2 - 0.000601301372278337 * B3 + 0.0131009603405529 * LN(B1) - 15.9727659992257 * LN(B2) + 15.1539483247277 * LN(B3) - 0.212361650732728 * B1^-5 + 0.309104062493787 * B1^-4 + 97105.9328466374 * B3^-1 - 5.95476020696442E-09 * B2^2 + 1.14219581189145E-08 * B3^2 - 245.667955372436 * (B1*B3)^-1 + 2.38041181405265E-06 * B1*B2 - 4.29379770130271E-06 * B1*B3 - 8.73808112625088E-09 * B2*B3 - 7.54237820332022 * (B2/B3)^-4 - 1.01484910440157E-10 * (B1/B2)^-2 - 1.34787625415627E-10 * (B1/B3)^-2 - 0.0552584803082986 * (B3/B2)^-2 + 5.01124829274017E-06 * (B1/B3)^-1 + 3507.61355959016 * (B2/B1)^-1 - 464.404313637058 * (B3/B1)^-1</f>
        <v>0.68858900046696658</v>
      </c>
      <c r="F48" s="1">
        <f t="shared" si="11"/>
        <v>0</v>
      </c>
      <c r="G48" s="1">
        <f t="shared" si="12"/>
        <v>0</v>
      </c>
      <c r="H48" s="1">
        <f t="shared" si="13"/>
        <v>0</v>
      </c>
      <c r="J48" s="1">
        <v>36</v>
      </c>
      <c r="K48" s="1">
        <v>42</v>
      </c>
      <c r="L48" s="1">
        <v>11</v>
      </c>
      <c r="M48" s="1">
        <v>14</v>
      </c>
      <c r="N48" s="1">
        <f xml:space="preserve"> 0.0294460022500412 * B1 - 9.93514213209449E-06 * B2 - 0.0000834545058594293 * B3 + 0.00406577624501308 * LN(B1) + 1.66439072671478 * LN(B3) + 0.0182849823665255 * B1^-5 - 0.022162192643508 * B1^-4 + 8447.74075631005 * B3^-1 + 125.284951540888 * (B1*B3)^-1 + 2.80500491172984E-08 * B1*B2 - 1.46598147875002E-06 * B1*B3 + 4.65421622260548E-10 * B2*B3 + 7.09154920463162E-06 * (B3/B2)^-4 - 165.138775765411 * (B3/B1)^-1 + 0.049389096545613 * (B3/B2)^-1 - 14.3819142845845</f>
        <v>0.91705751468160024</v>
      </c>
      <c r="O48" s="1">
        <f t="shared" si="14"/>
        <v>0</v>
      </c>
      <c r="P48" s="1">
        <f t="shared" si="15"/>
        <v>0</v>
      </c>
      <c r="Q48" s="1">
        <f t="shared" si="16"/>
        <v>0</v>
      </c>
      <c r="S48" s="1">
        <v>36</v>
      </c>
      <c r="T48" s="1">
        <v>42</v>
      </c>
      <c r="U48" s="1">
        <v>11</v>
      </c>
      <c r="V48" s="1">
        <v>14</v>
      </c>
      <c r="W48" s="1">
        <f xml:space="preserve"> 21.6772792274685 * B1 - 0.242708828058081 * B2 + 0.137418525530019 * B3 - 9.37003810466309 * LN(B1) + 3760.28110667087 * LN(B2) - 3493.75530350302 * LN(B3) - 8.41106216806549 * B1^-5 + 17.3679567478571 * B1^-4 - 205.279725339142 * B1^-1 - 22750174.6388174 * B3^-1 + 1.54110881465976E-06 * B2^2 - 0.0000027423476763958 * B3^2 + 62030.7003545846 * (B1*B3)^-1 - 0.000532026542309087 * B1*B2 + 0.000859296582561572 * B1*B3 + 2.05098341628535E-06 * B2*B3 + 1856.24930988499 * (B2/B3)^-4 - 1.62105349180624E-08 * (B1/B2)^-2 + 13.5114326688232 * (B3/B2)^-2 + 0.00595834255721088 * (B1/B2)^-1 - 726583.874260172 * (B2/B1)^-1 + 96817.479125058 * (B3/B1)^-1 + 0.000370814711888152 * B3/B1</f>
        <v>325.6860730885046</v>
      </c>
      <c r="X48" s="1">
        <f t="shared" si="17"/>
        <v>0</v>
      </c>
      <c r="Y48" s="1">
        <f t="shared" si="18"/>
        <v>0</v>
      </c>
      <c r="Z48" s="1">
        <f t="shared" si="19"/>
        <v>0</v>
      </c>
    </row>
    <row r="49" spans="1:26" x14ac:dyDescent="0.25">
      <c r="A49" s="1">
        <v>36</v>
      </c>
      <c r="B49" s="1">
        <v>42</v>
      </c>
      <c r="C49" s="1">
        <v>14</v>
      </c>
      <c r="D49" s="1">
        <v>16</v>
      </c>
      <c r="E49" s="1">
        <f xml:space="preserve"> 0.0300914295745015 * B1 + 0.00144474998334962 * B2 - 0.0000246613478775202 * B3 + 0.0573319631824364 * LN(B1) - 24.6721335912414 * LN(B2) + 22.1159906249496 * LN(B3) + 3.95127358328716 * B1^-5 - 9.49771194857225 * B1^-4 + 8.61675297343485 * B1^-3 - 3.87159453991212 * B1^-2 + 203709.266811721 * B3^-1 - 7.85769062837974E-09 * B2^2 + 7316.63894099094 * (B1*B3)^-1 + 1.81275976613202E-06 * B1*B2 - 7.58446171023249E-06 * B1*B3 - 1.42397200716267E-08 * B2*B3 - 9.82476762716402 * (B2/B3)^-4 - 0.00412766177552014 * (B3/B2)^-4 - 4.90140365470675E-10 * (B1/B3)^-2 - 7.75824669865267E-06 * (B1/B2)^-1 + 0.0000583373350752583 * (B1/B3)^-1 + 3143.63323183914 * (B2/B1)^-1 - 1142.18894959172 * (B3/B1)^-1</f>
        <v>0.73419226215713373</v>
      </c>
      <c r="F49" s="1">
        <f t="shared" si="11"/>
        <v>0</v>
      </c>
      <c r="G49" s="1">
        <f t="shared" si="12"/>
        <v>0</v>
      </c>
      <c r="H49" s="1">
        <f t="shared" si="13"/>
        <v>0</v>
      </c>
      <c r="J49" s="1">
        <v>36</v>
      </c>
      <c r="K49" s="1">
        <v>42</v>
      </c>
      <c r="L49" s="1">
        <v>14</v>
      </c>
      <c r="M49" s="1">
        <v>16</v>
      </c>
      <c r="N49" s="1">
        <f xml:space="preserve"> 0.129537750786461 * B1 - 0.0000449761481404247 * B2 - 0.000103409518993336 * B3 + 0.0142338342693982 * LN(B1) + 1.36264204806326 * LN(B3) + 0.0195296225438946 * B1^-5 - 0.0342132330104413 * B1^-3 + 550.735948154471 * (B1*B3)^-1 + 1.95669013819947E-07 * B1*B2 - 5.46091041545116E-06 * B1*B3 + 1.69316334331194E-09 * B2*B3 + 137.387605182045 * (B2/B1)^-1 - 935.142677726737 * (B3/B1)^-1 + 0.290839589152149 * (B3/B2)^-1 - 10.6127358288452</f>
        <v>0.91510524377116909</v>
      </c>
      <c r="O49" s="1">
        <f t="shared" si="14"/>
        <v>0</v>
      </c>
      <c r="P49" s="1">
        <f t="shared" si="15"/>
        <v>0</v>
      </c>
      <c r="Q49" s="1">
        <f t="shared" si="16"/>
        <v>0</v>
      </c>
      <c r="S49" s="1">
        <v>36</v>
      </c>
      <c r="T49" s="1">
        <v>42</v>
      </c>
      <c r="U49" s="1">
        <v>14</v>
      </c>
      <c r="V49" s="1">
        <v>16</v>
      </c>
      <c r="W49" s="1">
        <f xml:space="preserve">  - 77.664508449115 * B1 - 0.58419601359039 * B2 - 0.0514390518739307 * B3 + 12.5767028687292 * LN(B1) + 14594.0758219997 * LN(B2) - 14202.0420553074 * LN(B3) + 1266.64795563633 * B1^-5 - 3008.67264660868 * B1^-4 + 2699.46266492813 * B1^-3 - 1220.5494994539 * B1^-2 - 100647692.165176 * B3^-1 + 0.0000028482851559804 * B2^2 + 982925.241038482 * (B1*B3)^-1 - 0.000183156124080543 * B1*B2 + 0.00353204459517656 * B1*B3 + 6.80542221452118E-06 * B2*B3 - 2831.42460030313 * (B2/B3)^-4 - 1.41851271704776E-08 * (B1/B2)^-2 - 5.82933268829644E-08 * (B1/B3)^-2 + 0.00565163763953408 * (B1/B2)^-1 + 0.00703451541526197 * (B1/B3)^-1 - 316175.954735023 * (B2/B1)^-1 + 11751.4324492613 * (B2/B3)^-1 + 619309.551973657 * (B3/B1)^-1</f>
        <v>256.94124070568682</v>
      </c>
      <c r="X49" s="1">
        <f t="shared" si="17"/>
        <v>0</v>
      </c>
      <c r="Y49" s="1">
        <f t="shared" si="18"/>
        <v>0</v>
      </c>
      <c r="Z49" s="1">
        <f t="shared" si="19"/>
        <v>0</v>
      </c>
    </row>
    <row r="50" spans="1:26" x14ac:dyDescent="0.25">
      <c r="A50" s="1">
        <v>36</v>
      </c>
      <c r="B50" s="1">
        <v>42</v>
      </c>
      <c r="C50" s="1">
        <v>16</v>
      </c>
      <c r="D50" s="1">
        <v>18</v>
      </c>
      <c r="E50" s="1">
        <f xml:space="preserve"> 0.0226323621911402 * B1 + 0.00125727889458394 * B2 - 0.000181663022953128 * B3 + 0.214519537337809 * LN(B1) - 22.188858723098 * LN(B2) + 20.3857486231388 * LN(B3) + 12.8312540163878 * B1^-5 - 30.9725606563906 * B1^-4 + 28.3121269445302 * B1^-3 - 12.8224015189999 * B1^-2 + 158028.146259209 * B3^-1 - 7.64317070396234E-09 * B2^2 + 21456.1374534883 * (B1*B3)^-1 + 2.40701786027133E-06 * B1*B2 - 8.57658588671928E-06 * B1*B3 - 9.95125293688243E-09 * B2*B3 + 15.7181980271106 * (B2/B3)^-4 - 17.7822745771626 * (B2/B3)^-3 - 1.03162342024434E-10 * (B1/B2)^-2 - 1.04262944967417E-09 * (B1/B3)^-2 + 6.58280239960859E-06 * (B1/B2)^-1 + 0.000135947011671297 * (B1/B3)^-1 + 3839.12631078486 * (B2/B1)^-1 - 1463.55910597434 * (B3/B1)^-1</f>
        <v>0.87853201577475482</v>
      </c>
      <c r="F50" s="1">
        <f t="shared" si="11"/>
        <v>0</v>
      </c>
      <c r="G50" s="1">
        <f t="shared" si="12"/>
        <v>1</v>
      </c>
      <c r="H50" s="1">
        <f t="shared" si="13"/>
        <v>0</v>
      </c>
      <c r="J50" s="1">
        <v>36</v>
      </c>
      <c r="K50" s="1">
        <v>42</v>
      </c>
      <c r="L50" s="1">
        <v>16</v>
      </c>
      <c r="M50" s="1">
        <v>18</v>
      </c>
      <c r="N50" s="1">
        <f xml:space="preserve"> 0.495434591182888 * B1 - 0.0000193606519672397 * B2 - 0.000108644048737379 * B3 - 0.0501683371828603 * LN(B1) + 0.200836743216187 * LN(B2) + 0.0231412310569778 * LN(B3) - 0.0385440060344508 * B1^-5 + 1.90912798182962 * B1^-1 - 0.000167141496683261 * B1^2 + 2.64116151535388E-09 * B3^2 - 13673.5130293689 * (B1*B3)^-1 + 7.90231394470018E-07 * B1*B2 - 0.0000180019737532075 * B1*B3 + 8.25261176562636E-10 * B2*B3 + 5.51491201204661E-10 * (B1/B3)^-2 - 0.000078417786557829 * (B1/B3)^-1 + 814.334506842203 * (B2/B1)^-1 - 4103.85379513457 * (B3/B1)^-1</f>
        <v>0.91517550153174143</v>
      </c>
      <c r="O50" s="1">
        <f t="shared" si="14"/>
        <v>0</v>
      </c>
      <c r="P50" s="1">
        <f t="shared" si="15"/>
        <v>1</v>
      </c>
      <c r="Q50" s="1">
        <f t="shared" si="16"/>
        <v>0</v>
      </c>
      <c r="S50" s="1">
        <v>36</v>
      </c>
      <c r="T50" s="1">
        <v>42</v>
      </c>
      <c r="U50" s="1">
        <v>16</v>
      </c>
      <c r="V50" s="1">
        <v>18</v>
      </c>
      <c r="W50" s="1">
        <f xml:space="preserve">  - 433.74130375636 * B1 - 1.50306789288962 * B2 - 0.361763513702038 * B3 - 30.344764571155 * LN(B1) + 34146.7052566952 * LN(B2) - 31084.6670508758 * LN(B3) - 18.581154586074 * B1^-5 - 304718093.765572 * B3^-1 + 6.10576304184131E-06 * B2^2 + 0.00108955335045532 * B1^3 - 1178891.47461067 * (B1*B3)^-1 + 0.000825217175359892 * B1*B2 + 0.0123793031360505 * B1*B3 + 0.0000191582896619924 * B2*B3 - 56679.478646673 * (B2/B3)^-4 + 59297.6881155067 * (B2/B3)^-3 + 4.15077241956724E-08 * (B1/B2)^-2 + 977867.800531635 * (B2/B1)^-1 + 2908451.08661586 * (B3/B1)^-1</f>
        <v>217.59915279333836</v>
      </c>
      <c r="X50" s="1">
        <f t="shared" si="17"/>
        <v>0</v>
      </c>
      <c r="Y50" s="1">
        <f t="shared" si="18"/>
        <v>1</v>
      </c>
      <c r="Z50" s="1">
        <f t="shared" si="19"/>
        <v>0</v>
      </c>
    </row>
    <row r="51" spans="1:26" x14ac:dyDescent="0.25">
      <c r="A51" s="1">
        <v>36</v>
      </c>
      <c r="B51" s="1">
        <v>42</v>
      </c>
      <c r="C51" s="1">
        <v>18</v>
      </c>
      <c r="D51" s="1">
        <v>20</v>
      </c>
      <c r="E51" s="1">
        <f xml:space="preserve">  - 0.505365696099618 * B1 - 0.000990960594578461 * B2 - 0.000810200544049641 * B3 + 1.16327926911461 * LN(B1) + 8.92768926254697 * LN(B2) - 5.06325680324988 * LN(B3) - 14.1783974017505 * B1^-5 + 27.9599876694267 * B1^-4 - 15.5489957146688 * B1^-3 - 382967.499335328 * B3^-1 + 0.00192049435664323 * B1^2 + 16397.1560390009 * (B1*B3)^-1 + 5.86556449432739E-06 * B1*B2 - 3.03791163286849E-06 * B1*B3 + 1.8022040147162E-08 * B2*B3 - 2.21065045873537E-10 * (B1/B2)^-2 - 2.07518220744547E-09 * (B1/B3)^-2 + 0.0000250950140079228 * (B1/B2)^-1 + 0.00018063391554296 * (B1/B3)^-1 + 7893.74405471242 * (B2/B1)^-1 + 7.22537748460513 * (B3/B2)^-1</f>
        <v>0.80991416306003394</v>
      </c>
      <c r="F51" s="1">
        <f t="shared" si="11"/>
        <v>0</v>
      </c>
      <c r="G51" s="1">
        <f>IF(AND($C$3&gt;=C51,$C$3&lt;=D51),1,0)</f>
        <v>0</v>
      </c>
      <c r="H51" s="1">
        <f t="shared" si="13"/>
        <v>0</v>
      </c>
      <c r="J51" s="1">
        <v>36</v>
      </c>
      <c r="K51" s="1">
        <v>42</v>
      </c>
      <c r="L51" s="1">
        <v>18</v>
      </c>
      <c r="M51" s="1">
        <v>20</v>
      </c>
      <c r="N51" s="1">
        <f xml:space="preserve"> 1.29285601835899 * B1 - 0.000384270238306674 * B2 - 0.000310988501817818 * B3 - 0.129639258318528 * LN(B1) + 7.52776165060845 * LN(B2) - 6.09706470936599 * LN(B3) - 12.081582772277 * B1^-5 + 29.8013046278996 * B1^-4 - 28.0245123377581 * B1^-3 + 13.1109318781979 * B1^-2 - 94146.0287868752 * B3^-1 + 0.000290431338268971 * B1^2 - 23991.9110553872 * (B1*B3)^-1 + 2.39304712990316E-06 * B1*B2 - 0.0000440903613452621 * B1*B3 + 1.02586899006022E-08 * B2*B3 + 3.87495680051386 * (B2/B3)^-4 + 0.0107438676243404 * (B3/B2)^-4 + 1.02624753693695E-09 * (B1/B3)^-2 - 1.27987751551741E-06 * (B1/B2)^-1 - 0.000134599919768813 * (B1/B3)^-1 + 3003.49281938639 * (B2/B1)^-1 - 12462.5490210733 * (B3/B1)^-1</f>
        <v>0.92528288696773719</v>
      </c>
      <c r="O51" s="1">
        <f t="shared" si="14"/>
        <v>0</v>
      </c>
      <c r="P51" s="1">
        <f>IF(AND($C$3&gt;=L51,$C$3&lt;=M51),1,0)</f>
        <v>0</v>
      </c>
      <c r="Q51" s="1">
        <f t="shared" si="16"/>
        <v>0</v>
      </c>
      <c r="S51" s="1">
        <v>36</v>
      </c>
      <c r="T51" s="1">
        <v>42</v>
      </c>
      <c r="U51" s="1">
        <v>18</v>
      </c>
      <c r="V51" s="1">
        <v>20</v>
      </c>
      <c r="W51" s="1">
        <f xml:space="preserve">  - 2722.52318602671 * B1 - 5.01754544398 * B2 - 1.85473581869899 * B3 - 127.366489740197 * LN(B1) + 153765.974898264 * LN(B2) - 148432.787087716 * LN(B3) - 9616.4086321402 * B1^-1 - 1361257909.5258 * B3^-1 + 0.0000165648118035381 * B2^2 + 83793144.3990691 * (B1*B3)^-1 + 0.00469992437231353 * B1*B2 + 0.068255654358416 * B1*B3 + 0.0000696364728215127 * B2*B3 - 19287.004002029 * (B2/B3)^-4 + 6.20620950450979E-08 * (B1/B2)^-2 + 0.259788798703332 * (B1/B3)^-1 + 5426130.81720883 * (B2/B1)^-1 + 131827.13249794 * (B2/B3)^-1 + 21375449.1498836 * (B3/B1)^-1</f>
        <v>200.96404543873177</v>
      </c>
      <c r="X51" s="1">
        <f t="shared" si="17"/>
        <v>0</v>
      </c>
      <c r="Y51" s="1">
        <f>IF(AND($C$3&gt;=U51,$C$3&lt;=V51),1,0)</f>
        <v>0</v>
      </c>
      <c r="Z51" s="1">
        <f t="shared" si="19"/>
        <v>0</v>
      </c>
    </row>
    <row r="52" spans="1:26" x14ac:dyDescent="0.25">
      <c r="A52" s="1">
        <v>42</v>
      </c>
      <c r="B52" s="1">
        <v>48</v>
      </c>
      <c r="C52" s="1">
        <v>11</v>
      </c>
      <c r="D52" s="1">
        <v>14</v>
      </c>
      <c r="E52" s="1">
        <f xml:space="preserve">  - 0.378699861218387 * B1 + 0.00172656605989608 * B2 + 0.00108188808247005 * B3 - 0.111548282881923 * LN(B1) - 35.4123450166607 * LN(B2) + 2.70476708006039 * B1^-5 - 4.95451976505851 * B1^-4 + 2.28820809597522 * B1^-3 - 1.05096499463272E-08 * B2^2 - 7.32327406301555E-09 * B3^2 + 8255.65376550218 * (B1*B3)^-1 + 4.91625156160043E-06 * B1*B2 - 3.31167184258457E-06 * B1*B3 - 1.09740279178562E-08 * B2*B3 + 13.2695994590518 * (B2/B3)^-4 + 3.17673900932495E-10 * (B1/B2)^-2 - 7.24065166089722E-10 * (B1/B3)^-2 - 0.0000627051331769396 * (B1/B2)^-1 + 0.0000870885461070857 * (B1/B3)^-1 + 9941.34227481325 * (B2/B1)^-1 - 20.382464626271 * (B2/B3)^-1 - 274.305351842339 * (B3/B1)^-1 + 323.543926636524</f>
        <v>1.3953859082916438</v>
      </c>
      <c r="F52" s="1">
        <f t="shared" si="11"/>
        <v>0</v>
      </c>
      <c r="G52" s="1">
        <f t="shared" si="12"/>
        <v>0</v>
      </c>
      <c r="H52" s="1">
        <f t="shared" si="13"/>
        <v>0</v>
      </c>
      <c r="J52" s="1">
        <v>42</v>
      </c>
      <c r="K52" s="1">
        <v>48</v>
      </c>
      <c r="L52" s="1">
        <v>11</v>
      </c>
      <c r="M52" s="1">
        <v>14</v>
      </c>
      <c r="N52" s="1">
        <f xml:space="preserve"> 0.0131660609412801 * B1 - 0.0000012972727576426 * B2 - 0.00002854343131745 * B3 - 0.0000230180899921621 * LN(B1) + 0.093643275620269 * LN(B2) + 0.981749213668355 * LN(B3) + 0.108382273846717 * B1^-5 - 0.197847745872603 * B1^-4 + 0.0978183405797869 * B1^-3 + 6618.48378601123 * B3^-1 + 87.9513485006914 * (B1*B3)^-1 + 1.17616000068958E-07 * B1*B2 - 1.08851380599387E-06 * B1*B3 - 1.10692411454752E-10 * B2*B3 - 0.955188202489575 * (B2/B3)^-4 - 4.33369948356873E-07 * (B1/B2)^-1 + 196.097203391113 * (B2/B1)^-1 - 123.320498437704 * (B3/B1)^-1 - 9.35595337776137</f>
        <v>0.85695849406692126</v>
      </c>
      <c r="O52" s="1">
        <f t="shared" si="14"/>
        <v>0</v>
      </c>
      <c r="P52" s="1">
        <f t="shared" si="15"/>
        <v>0</v>
      </c>
      <c r="Q52" s="1">
        <f t="shared" si="16"/>
        <v>0</v>
      </c>
      <c r="S52" s="1">
        <v>42</v>
      </c>
      <c r="T52" s="1">
        <v>48</v>
      </c>
      <c r="U52" s="1">
        <v>11</v>
      </c>
      <c r="V52" s="1">
        <v>14</v>
      </c>
      <c r="W52" s="1">
        <f xml:space="preserve">  - 6.29318502812724 * B1 - 2.21514463895248 * B2 - 0.986174809346947 * B3 + 34.3328915789318 * LN(B1) + 53405.6081116846 * LN(B2) - 1263.33843589192 * LN(B3) - 1688.42517591033 * B1^-5 + 3191.6627362979 * B1^-4 - 1699.51880848287 * B1^-3 + 0.0000115193965143739 * B2^2 - 3382345.88596985 * (B1*B3)^-1 + 0.000413026567751291 * B1*B3 + 0.0000121437932165347 * B2*B3 - 9982.62363479905 * (B2/B3)^-4 + 0.0211781866132789 * (B1/B2)^-1 - 0.022671010934174 * (B1/B3)^-1 + 25333.466142926 * (B2/B3)^-1 - 485202.488696636</f>
        <v>-269.58746630704263</v>
      </c>
      <c r="X52" s="1">
        <f t="shared" si="17"/>
        <v>0</v>
      </c>
      <c r="Y52" s="1">
        <f t="shared" si="18"/>
        <v>0</v>
      </c>
      <c r="Z52" s="1">
        <f t="shared" si="19"/>
        <v>0</v>
      </c>
    </row>
    <row r="53" spans="1:26" x14ac:dyDescent="0.25">
      <c r="A53" s="1">
        <v>42</v>
      </c>
      <c r="B53" s="1">
        <v>48</v>
      </c>
      <c r="C53" s="1">
        <v>14</v>
      </c>
      <c r="D53" s="1">
        <v>16</v>
      </c>
      <c r="E53" s="1">
        <f xml:space="preserve">  - 0.346399118269284 * B1 - 0.000639621442916535 * B2 + 0.00418008471328451 * B3 + 0.118209374179795 * LN(B1) + 29.5708238094101 * LN(B2) - 35.5746831192211 * LN(B3) + 7.73915518131379 * B1^-5 - 18.649651881252 * B1^-4 + 16.9634131452149 * B1^-3 - 7.95196641370639 * B1^-2 - 8.69353856875396E-08 * B3^2 + 21316.9639460548 * (B1*B3)^-1 + 4.12823192211667E-06 * B1*B2 - 2.16738689109045E-06 * B1*B3 + 6.46150438270571E-09 * B2*B3 + 2.07089677174408E-10 * (B1/B2)^-2 - 1.21224643601716E-09 * (B1/B3)^-2 - 0.0000419120300183394 * (B1/B2)^-1 + 0.000165064657562953 * (B1/B3)^-1 + 8216.34606008417 * (B2/B1)^-1 + 20.69546856915 * (B2/B3)^-1</f>
        <v>0.70894865615884584</v>
      </c>
      <c r="F53" s="1">
        <f t="shared" si="11"/>
        <v>0</v>
      </c>
      <c r="G53" s="1">
        <f t="shared" si="12"/>
        <v>0</v>
      </c>
      <c r="H53" s="1">
        <f t="shared" si="13"/>
        <v>0</v>
      </c>
      <c r="J53" s="1">
        <v>42</v>
      </c>
      <c r="K53" s="1">
        <v>48</v>
      </c>
      <c r="L53" s="1">
        <v>14</v>
      </c>
      <c r="M53" s="1">
        <v>16</v>
      </c>
      <c r="N53" s="1">
        <f xml:space="preserve"> 0.104834926607649 * B1 + 6.28201998054477E-06 * B2 + 0.0000534280352603828 * B3 + 0.0107789835107225 * LN(B1) - 0.1340692879889 * LN(B2) - 0.401683499650827 * LN(B3) + 0.021763227954733 * B1^-5 - 0.0284263541009628 * B1^-4 + 507.347072603394 * (B1*B3)^-1 + 8.79444766321904E-08 * B1*B2 - 4.21641929377504E-06 * B1*B3 - 3.9361652232098E-10 * B2*B3 - 1.95403566934378 * (B2/B3)^-4 - 2.88121977393316E-07 * (B1/B2)^-1 - 724.675309502268 * (B3/B1)^-1 + 5.44255840351094</f>
        <v>0.81242178485007166</v>
      </c>
      <c r="O53" s="1">
        <f t="shared" si="14"/>
        <v>0</v>
      </c>
      <c r="P53" s="1">
        <f t="shared" si="15"/>
        <v>0</v>
      </c>
      <c r="Q53" s="1">
        <f t="shared" si="16"/>
        <v>0</v>
      </c>
      <c r="S53" s="1">
        <v>42</v>
      </c>
      <c r="T53" s="1">
        <v>48</v>
      </c>
      <c r="U53" s="1">
        <v>14</v>
      </c>
      <c r="V53" s="1">
        <v>16</v>
      </c>
      <c r="W53" s="1">
        <f xml:space="preserve"> 148.829170709711 * B1 - 4.36143064192846 * B2 + 0.344544126085574 * B3 - 1.22414666334545 * LN(B1) + 91595.9994356922 * LN(B2) - 83658.754067468 * LN(B3) - 637.519284329577 * B1^-5 + 1185.27626425349 * B1^-4 - 609.647258220359 * B1^-3 - 788055989.329155 * B3^-1 + 0.0000197815520596787 * B2^2 - 5423860.2719865 * (B1*B3)^-1 - 0.00329447947572372 * B1*B2 + 0.00606741456240698 * B1*B3 + 0.0000378279336045707 * B2*B3 + 61021.7670347799 * (B2/B3)^-4 + 7.98084605655362 * (B3/B2)^-4 - 2.57998194375272E-09 * (B1/B2)^-2 - 2.55155647772489E-08 * (B1/B3)^-2 + 0.0202182374342914 * (B1/B2)^-1 - 0.024228060337519 * (B1/B3)^-1 - 7123877.04893117 * (B2/B1)^-1 + 1040913.31956429 * (B3/B1)^-1</f>
        <v>1855.0894154752523</v>
      </c>
      <c r="X53" s="1">
        <f t="shared" si="17"/>
        <v>0</v>
      </c>
      <c r="Y53" s="1">
        <f t="shared" si="18"/>
        <v>0</v>
      </c>
      <c r="Z53" s="1">
        <f t="shared" si="19"/>
        <v>0</v>
      </c>
    </row>
    <row r="54" spans="1:26" x14ac:dyDescent="0.25">
      <c r="A54" s="1">
        <v>42</v>
      </c>
      <c r="B54" s="1">
        <v>48</v>
      </c>
      <c r="C54" s="1">
        <v>16</v>
      </c>
      <c r="D54" s="1">
        <v>18</v>
      </c>
      <c r="E54" s="1">
        <f xml:space="preserve">  - 0.475604467931034 * B1 - 0.00530900264600056 * B2 - 0.000698340587156932 * B3 - 0.0953391210768128 * LN(B1) + 138.815562989196 * LN(B2) - 127.345047267315 * LN(B3) - 0.634468619856011 * B1^-5 + 0.844897945255262 * B1^-4 - 1.96593279353488 * B1^-1 - 1360809.895948 * B3^-1 + 1.68568431043795E-08 * B2^2 + 8202.84478162324 * (B1*B3)^-1 + 5.86018694114316E-06 * B1*B2 - 1.69386026261108E-06 * B1*B3 + 5.68298904276584E-08 * B2*B3 - 171.736487362867 * (B2/B3)^-4 + 0.0114425254520359 * (B3/B2)^-4 + 187.541322069598 * (B2/B3)^-3 + 1.22181762992853E-10 * (B1/B2)^-2 - 1.59552158531174E-09 * (B1/B3)^-2 - 0.0000236447218632758 * (B1/B2)^-1 + 0.00013516191272292 * (B1/B3)^-1 + 10527.653341242 * (B2/B1)^-1</f>
        <v>0.1419008733888738</v>
      </c>
      <c r="F54" s="1">
        <f t="shared" si="11"/>
        <v>0</v>
      </c>
      <c r="G54" s="1">
        <f t="shared" si="12"/>
        <v>1</v>
      </c>
      <c r="H54" s="1">
        <f t="shared" si="13"/>
        <v>0</v>
      </c>
      <c r="J54" s="1">
        <v>42</v>
      </c>
      <c r="K54" s="1">
        <v>48</v>
      </c>
      <c r="L54" s="1">
        <v>16</v>
      </c>
      <c r="M54" s="1">
        <v>18</v>
      </c>
      <c r="N54" s="1">
        <f xml:space="preserve"> 0.59706784115799 * B1 + 0.000861613547688196 * B2 + 0.000801427681685858 * B3 - 0.140437903223336 * LN(B1) - 19.5252719569852 * LN(B2) - 7.35206793932913 * LN(B3) - 9.03290051190891 * B1^-5 + 21.6904262868357 * B1^-4 - 19.6505605947651 * B1^-3 + 8.88566358425389 * B1^-2 - 3.40627652277537E-09 * B2^2 - 16739.3229410352 * (B1*B3)^-1 - 6.68985980601535E-07 * B1*B2 - 0.0000173342621644746 * B1*B3 - 7.49925138381022E-09 * B2*B3 - 10.4152573109366 * (B2/B3)^-4 - 0.00301679011715679 * (B3/B2)^-4 + 6.82589930238694E-10 * (B1/B3)^-2 - 0.0000951756688147961 * (B1/B3)^-1 - 1748.97799559735 * (B2/B1)^-1 - 4036.30680927436 * (B3/B1)^-1 + 242.880536252212</f>
        <v>0.80277052401100946</v>
      </c>
      <c r="O54" s="1">
        <f t="shared" si="14"/>
        <v>0</v>
      </c>
      <c r="P54" s="1">
        <f t="shared" si="15"/>
        <v>1</v>
      </c>
      <c r="Q54" s="1">
        <f t="shared" si="16"/>
        <v>0</v>
      </c>
      <c r="S54" s="1">
        <v>42</v>
      </c>
      <c r="T54" s="1">
        <v>48</v>
      </c>
      <c r="U54" s="1">
        <v>16</v>
      </c>
      <c r="V54" s="1">
        <v>18</v>
      </c>
      <c r="W54" s="1">
        <f xml:space="preserve">  - 869.065064006226 * B1 - 10.1099342146751 * B2 - 1.27718374228874 * B3 + 24.0309247627897 * LN(B1) + 163535.112995286 * LN(B2) - 139756.779931994 * LN(B3) - 2383.9897663893 * B1^-5 + 4296.25397956986 * B1^-4 - 2008.88376522007 * B1^-3 - 2246603506.75013 * B3^-1 + 0.0000390949174201654 * B2^2 - 7447546.5021051 * (B1*B3)^-1 + 0.00106405250161818 * B1*B2 + 0.0269029511904246 * B1*B3 + 0.000106515174625842 * B2*B3 + 51739.0271345261 * (B2/B3)^-4 - 1.58630552384203E-08 * (B1/B2)^-2 - 5.3677214861755E-07 * (B1/B3)^-2 + 0.0204467159068023 * (B1/B2)^-1 + 6309098.71116881 * (B3/B1)^-1 + 21354.707801513 * B2/B3</f>
        <v>321.72404347666452</v>
      </c>
      <c r="X54" s="1">
        <f t="shared" si="17"/>
        <v>0</v>
      </c>
      <c r="Y54" s="1">
        <f t="shared" si="18"/>
        <v>1</v>
      </c>
      <c r="Z54" s="1">
        <f t="shared" si="19"/>
        <v>0</v>
      </c>
    </row>
    <row r="55" spans="1:26" x14ac:dyDescent="0.25">
      <c r="A55" s="1">
        <v>42</v>
      </c>
      <c r="B55" s="1">
        <v>48</v>
      </c>
      <c r="C55" s="1">
        <v>18</v>
      </c>
      <c r="D55" s="1">
        <v>20</v>
      </c>
      <c r="E55" s="1">
        <f xml:space="preserve">  - 0.549892683176196 * B1 - 0.0088736557923148 * B2 - 0.00163970501912002 * B3 - 0.44984736224808 * LN(B1) + 197.874162465308 * LN(B2) - 173.585793691946 * LN(B3) - 1.67506549203458 * B1^-5 + 2.04601327195054 * B1^-4 - 2322345.76337843 * B3^-1 - 0.000462058994051749 * B1^2 + 2.93669034600622E-08 * B2^2 - 18082.0096195104 * (B1*B3)^-1 + 7.45946614200457E-06 * B1*B2 + 9.35702170997294E-08 * B2*B3 + 73.4409587677507 * (B2/B3)^-4 + 0.0706004336440569 * (B3/B2)^-4 - 4.72859310844716E-06 * (B1/B2)^-1 + 10836.5368556423 * (B2/B1)^-1</f>
        <v>0.42688840283182161</v>
      </c>
      <c r="F55" s="1">
        <f t="shared" si="11"/>
        <v>0</v>
      </c>
      <c r="G55" s="1">
        <f>IF(AND($C$3&gt;=C55,$C$3&lt;=D55),1,0)</f>
        <v>0</v>
      </c>
      <c r="H55" s="1">
        <f t="shared" si="13"/>
        <v>0</v>
      </c>
      <c r="J55" s="1">
        <v>42</v>
      </c>
      <c r="K55" s="1">
        <v>48</v>
      </c>
      <c r="L55" s="1">
        <v>18</v>
      </c>
      <c r="M55" s="1">
        <v>20</v>
      </c>
      <c r="N55" s="1">
        <f xml:space="preserve"> 1.41620838867074 * B1 + 0.00782873938405613 * B2 - 0.000187464176764174 * B3 + 0.0423858439419441 * LN(B1) - 177.490000031175 * LN(B2) + 159.135175846702 * LN(B3) - 0.179137712762267 * B1^-1 + 1951725.03001279 * B3^-1 - 3.11698399440082E-08 * B2^2 + 4004.98118187586 * (B1*B3)^-1 - 5.85676138196729E-06 * B1*B2 - 0.0000270934419908605 * B1*B3 - 5.90404035050326E-08 * B2*B3 - 55.6338280535251 * (B2/B3)^-4 - 0.0408796640651897 * (B3/B2)^-4 - 12548.394336682 * B1/B2 - 7172.02572671634 * B1/B3</f>
        <v>1.8478136540961418</v>
      </c>
      <c r="O55" s="1">
        <f t="shared" si="14"/>
        <v>0</v>
      </c>
      <c r="P55" s="1">
        <f>IF(AND($C$3&gt;=L55,$C$3&lt;=M55),1,0)</f>
        <v>0</v>
      </c>
      <c r="Q55" s="1">
        <f t="shared" si="16"/>
        <v>0</v>
      </c>
      <c r="S55" s="1">
        <v>42</v>
      </c>
      <c r="T55" s="1">
        <v>48</v>
      </c>
      <c r="U55" s="1">
        <v>18</v>
      </c>
      <c r="V55" s="1">
        <v>20</v>
      </c>
      <c r="W55" s="1">
        <f xml:space="preserve">  - 4227.86799428877 * B1 - 18.2491462321879 * B2 - 3.73726401042548 * B3 - 74.9549934446149 * LN(B1) + 390187.632733129 * LN(B2) - 340470.438474918 * LN(B3) - 4618010601.40049 * B3^-1 + 0.0000657150049621121 * B2^2 + 0.0115676838685303 * B1*B2 + 0.095760996663802 * B1*B3 + 0.000195788920986677 * B2*B3 + 145292.618265223 * (B2/B3)^-4 + 139.409651675156 * (B3/B2)^-4 + 17715435.7869068 * (B2/B1)^-1 + 28964391.6205072 * (B3/B1)^-1</f>
        <v>-317.92993823017969</v>
      </c>
      <c r="X55" s="1">
        <f t="shared" si="17"/>
        <v>0</v>
      </c>
      <c r="Y55" s="1">
        <f>IF(AND($C$3&gt;=U55,$C$3&lt;=V55),1,0)</f>
        <v>0</v>
      </c>
      <c r="Z55" s="1">
        <f t="shared" si="19"/>
        <v>0</v>
      </c>
    </row>
    <row r="56" spans="1:26" x14ac:dyDescent="0.25">
      <c r="A56" s="1">
        <v>48</v>
      </c>
      <c r="B56" s="1">
        <v>54</v>
      </c>
      <c r="C56" s="1">
        <v>11</v>
      </c>
      <c r="D56" s="1">
        <v>14</v>
      </c>
      <c r="E56" s="1">
        <f xml:space="preserve"> 1.88232522292807 * B1 - 0.00960642782665145 * B2 + 0.0165662121917708 * B3 + 0.274008993208546 * LN(B1) + 217.727447861329 * LN(B2) - 222.928502291379 * LN(B3) + 9.79493648096018 * B1^-5 - 23.5515806959408 * B1^-4 + 21.3312610725343 * B1^-3 - 10.1065442686729 * B1^-2 - 1127383.86161581 * B3^-1 + 4.30423606082624E-08 * B2^2 - 0.0000002793744442927 * B3^2 + 11075.0753617426 * (B1*B3)^-1 - 0.0000181449530168811 * B1*B2 - 1.79012380420967E-06 * B1*B3 + 4.47024215147946E-08 * B2*B3 + 158.94430905807 * (B2/B3)^-4 + 2.31984141784241E-10 * (B1/B2)^-2 - 1.74269857688229E-09 * (B1/B3)^-2 + 0.000146888328825397 * (B1/B3)^-1 - 48137.6841662666 * (B2/B1)^-1 + 4.49639968389288 * (B3/B2)^-1</f>
        <v>6.560482285243979</v>
      </c>
      <c r="F56" s="1">
        <f t="shared" si="11"/>
        <v>0</v>
      </c>
      <c r="G56" s="1">
        <f t="shared" si="12"/>
        <v>0</v>
      </c>
      <c r="H56" s="1">
        <f t="shared" si="13"/>
        <v>0</v>
      </c>
      <c r="J56" s="1">
        <v>48</v>
      </c>
      <c r="K56" s="1">
        <v>54</v>
      </c>
      <c r="L56" s="1">
        <v>11</v>
      </c>
      <c r="M56" s="1">
        <v>14</v>
      </c>
      <c r="N56" s="1">
        <f xml:space="preserve">  - 1.93083226224262 * B1 + 0.00562001726960088 * B2 + 0.00184810731489581 * B3 - 0.359457383141812 * LN(B1) - 140.816385449268 * LN(B2) + 11.8669666934 * B1^-5 - 22.1980984505819 * B1^-4 + 11.6302137830464 * B1^-3 - 2.77290986639657E-08 * B2^2 + 0.0000189204327219517 * B1*B2 - 1.90235331619058E-08 * B2*B3 - 7.09151531919445 * (B2/B3)^-4 + 49921.9006319971 * B1/B2 - 0.0000448299781102188 * B2/B1 - 44.4719631215425 * B3/B2 + 1313.71175719717</f>
        <v>1.5776645285743598</v>
      </c>
      <c r="O56" s="1">
        <f t="shared" si="14"/>
        <v>0</v>
      </c>
      <c r="P56" s="1">
        <f t="shared" si="15"/>
        <v>0</v>
      </c>
      <c r="Q56" s="1">
        <f t="shared" si="16"/>
        <v>0</v>
      </c>
      <c r="S56" s="1">
        <v>48</v>
      </c>
      <c r="T56" s="1">
        <v>54</v>
      </c>
      <c r="U56" s="1">
        <v>11</v>
      </c>
      <c r="V56" s="1">
        <v>14</v>
      </c>
      <c r="W56" s="1">
        <f xml:space="preserve">  - 13.5973138853877 * B1 - 7.00844824658879 * B2 + 8.9118179163526 * B3 + 221.327527002923 * LN(B1) + 155562.143298053 * LN(B2) - 155557.80617541 * LN(B3) + 8626.42734666786 * B1^-5 - 21201.767415539 * B1^-4 + 20093.1279089272 * B1^-3 - 8516.11518732895 * B1^-2 - 854184384.246755 * B3^-1 + 0.0000310703436266945 * B2^2 - 0.000172303085026597 * B3^2 - 11687634.1503848 * (B1*B3)^-1 - 0.00013386954063665 * B1*B2 + 0.00124636293764795 * B1*B3 + 0.0000564881523007623 * B2*B3 + 214952.270369829 * (B2/B3)^-4 - 6.56829771000637E-07 * (B1/B2)^-2 + 277.759044673008 * (B3/B2)^-2 + 0.11350006631173 * (B1/B2)^-1 - 0.0872469146972158 * (B1/B3)^-1</f>
        <v>11976.433473617155</v>
      </c>
      <c r="X56" s="1">
        <f t="shared" si="17"/>
        <v>0</v>
      </c>
      <c r="Y56" s="1">
        <f t="shared" si="18"/>
        <v>0</v>
      </c>
      <c r="Z56" s="1">
        <f t="shared" si="19"/>
        <v>0</v>
      </c>
    </row>
    <row r="57" spans="1:26" x14ac:dyDescent="0.25">
      <c r="A57" s="1">
        <v>48</v>
      </c>
      <c r="B57" s="1">
        <v>54</v>
      </c>
      <c r="C57" s="1">
        <v>14</v>
      </c>
      <c r="D57" s="1">
        <v>16</v>
      </c>
      <c r="E57" s="1">
        <f xml:space="preserve"> 1.04621108975815 * B1 - 0.0104487987170218 * B2 + 0.00242603845291024 * B3 - 0.184010056060698 * LN(B1) + 219.122756166211 * LN(B2) - 201.650067598924 * LN(B3) + 5.22041302190205 * B1^-5 - 9.96399376143804 * B1^-4 + 5.32772466364353 * B1^-3 - 2128818.37476146 * B3^-1 + 4.29143613180046E-08 * B2^2 - 20811.133848866 * (B1*B3)^-1 - 9.76413617725628E-06 * B1*B2 - 1.25794097283483E-06 * B1*B3 + 7.1403625391689E-08 * B2*B3 + 117.448902773066 * (B2/B3)^-4 + 2.08306024043638E-10 * (B1/B2)^-2 - 1.54070646696846E-09 * (B1/B3)^-2 - 26796.4484983091 * (B2/B1)^-1 + 10.5799688838841 * (B3/B2)^-1</f>
        <v>3.2456821583483109</v>
      </c>
      <c r="F57" s="1">
        <f t="shared" si="11"/>
        <v>0</v>
      </c>
      <c r="G57" s="1">
        <f t="shared" si="12"/>
        <v>0</v>
      </c>
      <c r="H57" s="1">
        <f t="shared" si="13"/>
        <v>0</v>
      </c>
      <c r="J57" s="1">
        <v>48</v>
      </c>
      <c r="K57" s="1">
        <v>54</v>
      </c>
      <c r="L57" s="1">
        <v>14</v>
      </c>
      <c r="M57" s="1">
        <v>16</v>
      </c>
      <c r="N57" s="1">
        <f xml:space="preserve">  - 1.69940692359292 * B1 + 0.0291262735860383 * B2 - 0.00568675156657702 * B3 + 0.103618087963015 * LN(B1) - 722.832100977287 * LN(B2) + 676.009122938645 * LN(B3) - 4.63064010066147 * B1^-5 + 9.01812633158562 * B1^-4 - 5.29354640647338 * B1^-3 + 6215080.73669899 * B3^-1 - 1.14420766388033E-07 * B2^2 + 30633.04019935 * (B1*B3)^-1 + 0.0000164717538491771 * B1*B2 - 1.11680063602326E-06 * B1*B3 - 2.23864821068012E-07 * B2*B3 - 746.467152054705 * (B2/B3)^-4 - 0.03328634398501 * (B3/B2)^-4 + 2.43694696313554E-10 * (B1/B2)^-2 - 0.0000726165245799856 * (B1/B2)^-1 + 0.000138044668378042 * (B1/B3)^-1 + 44207.4129676186 * (B2/B1)^-1</f>
        <v>-25.105779596472953</v>
      </c>
      <c r="O57" s="1">
        <f t="shared" si="14"/>
        <v>0</v>
      </c>
      <c r="P57" s="1">
        <f t="shared" si="15"/>
        <v>0</v>
      </c>
      <c r="Q57" s="1">
        <f t="shared" si="16"/>
        <v>0</v>
      </c>
      <c r="S57" s="1">
        <v>48</v>
      </c>
      <c r="T57" s="1">
        <v>54</v>
      </c>
      <c r="U57" s="1">
        <v>14</v>
      </c>
      <c r="V57" s="1">
        <v>16</v>
      </c>
      <c r="W57" s="1">
        <f xml:space="preserve">  - 1590.16231209158 * B1 - 10.5136574027457 * B2 + 37.9450927420037 * B3 - 231.542849826291 * LN(B1) + 304754.44470654 * LN(B2) - 351228.837702497 * LN(B3) + 8540.84636924116 * B1^-5 - 16627.021335214 * B1^-4 + 9786.5313525155 * B1^-3 + 0.0000383399581902904 * B2^2 - 0.00081570488240527 * B3^2 - 31675821.2991128 * (B1*B3)^-1 + 0.0155693210815459 * B1*B2 + 0.0040886730803194 * B1*B3 + 0.000121211167033105 * B2*B3 - 573075.360176529 * (B2/B3)^-4 - 4.79452082882969E-07 * (B1/B2)^-2 + 431987.411927317 * (B2/B3)^-2 + 0.0762390679631507 * (B1/B2)^-1 - 0.165687574354816 * (B1/B3)^-1 + 38236657.9526121 * (B2/B1)^-1</f>
        <v>-12558.340501701219</v>
      </c>
      <c r="X57" s="1">
        <f t="shared" si="17"/>
        <v>0</v>
      </c>
      <c r="Y57" s="1">
        <f t="shared" si="18"/>
        <v>0</v>
      </c>
      <c r="Z57" s="1">
        <f t="shared" si="19"/>
        <v>0</v>
      </c>
    </row>
    <row r="58" spans="1:26" x14ac:dyDescent="0.25">
      <c r="A58" s="1">
        <v>48</v>
      </c>
      <c r="B58" s="1">
        <v>54</v>
      </c>
      <c r="C58" s="1">
        <v>16</v>
      </c>
      <c r="D58" s="1">
        <v>18</v>
      </c>
      <c r="E58" s="1">
        <f xml:space="preserve"> 0.440441254892553 * B1 - 0.000824019066691995 * B2 - 0.000565843643258171 * B3 - 0.120342891569952 * LN(B1) + 2.74925795327556 * LN(B2) - 0.123454864184051 * B1^-5 + 0.0411418081826301 * B1^-4 - 2900.19942751548 * B3^-1 + 5.40784841558504E-09 * B2^2 - 10637.0094320471 * (B1*B3)^-1 - 6.23329069487548E-06 * B1*B2 + 7.32585558461995E-06 * B1*B3 + 9.76141605504163E-09 * B2*B3 + 1.49080860574352E-10 * (B1/B2)^-2 - 19236.2241732857 * (B2/B1)^-1 + 2234.95363167014 * (B3/B1)^-1</f>
        <v>2.5422835398437456</v>
      </c>
      <c r="F58" s="1">
        <f t="shared" si="11"/>
        <v>0</v>
      </c>
      <c r="G58" s="1">
        <f t="shared" si="12"/>
        <v>1</v>
      </c>
      <c r="H58" s="1">
        <f t="shared" si="13"/>
        <v>0</v>
      </c>
      <c r="J58" s="1">
        <v>48</v>
      </c>
      <c r="K58" s="1">
        <v>54</v>
      </c>
      <c r="L58" s="1">
        <v>16</v>
      </c>
      <c r="M58" s="1">
        <v>18</v>
      </c>
      <c r="N58" s="1">
        <f xml:space="preserve"> 0.0721275716379386 * B1 + 0.0185415000567366 * B2 - 0.0581195857091295 * B3 - 0.0430248217859367 * LN(B1) - 489.45793381692 * LN(B2) + 555.815627991136 * LN(B3) - 1.47840534787234 * B1^-5 + 1.880289746435 * B1^-4 - 8.50347319890604E-08 * B2^2 + 9.52158559132554E-07 * B3^2 - 2468.1042570402 * (B1*B3)^-1 - 0.0000001937038516643 * B1*B2 - 3.95537698647514E-06 * B1*B3 - 7.77121352663416E-08 * B2*B3 - 1.65555695157426E-10 * (B1/B2)^-2 - 155.455606328052 * (B2/B3)^-1</f>
        <v>6.4986970380035416</v>
      </c>
      <c r="O58" s="1">
        <f t="shared" si="14"/>
        <v>0</v>
      </c>
      <c r="P58" s="1">
        <f t="shared" si="15"/>
        <v>1</v>
      </c>
      <c r="Q58" s="1">
        <f t="shared" si="16"/>
        <v>0</v>
      </c>
      <c r="S58" s="1">
        <v>48</v>
      </c>
      <c r="T58" s="1">
        <v>54</v>
      </c>
      <c r="U58" s="1">
        <v>16</v>
      </c>
      <c r="V58" s="1">
        <v>18</v>
      </c>
      <c r="W58" s="1">
        <f xml:space="preserve">  - 4942.50661213986 * B1 - 3.72802082146573 * B2 - 4.48141873424578 * B3 + 62.5167336682704 * LN(B1) + 14945.0945088018 * LN(B2) + 1265.43287430764 * B1^-5 - 1483.68999014957 * B1^-4 - 893600070.726856 * B3^-1 + 8.88345613574665E-06 * B2^2 + 9659041.42389617 * (B1*B3)^-1 + 0.0314973327848333 * B1*B2 + 0.0607778343877527 * B1*B3 + 0.0000918403691358258 * B2*B3 + 75164252.0232081 * (B2/B1)^-1 + 14277549.5635175 * (B3/B1)^-1 + 18220.1488995385 * (B3/B2)^-1</f>
        <v>1747.7998625470827</v>
      </c>
      <c r="X58" s="1">
        <f t="shared" si="17"/>
        <v>0</v>
      </c>
      <c r="Y58" s="1">
        <f t="shared" si="18"/>
        <v>1</v>
      </c>
      <c r="Z58" s="1">
        <f t="shared" si="19"/>
        <v>0</v>
      </c>
    </row>
    <row r="59" spans="1:26" x14ac:dyDescent="0.25">
      <c r="A59" s="1">
        <v>48</v>
      </c>
      <c r="B59" s="1">
        <v>54</v>
      </c>
      <c r="C59" s="1">
        <v>18</v>
      </c>
      <c r="D59" s="1">
        <v>20</v>
      </c>
      <c r="E59" s="1">
        <f xml:space="preserve"> 0.82217066811234 * B1 + 0.00710336830571347 * B2 + 0.000694069827869698 * B3 - 0.442170220123018 * LN(B1) - 226.653476270833 * LN(B2) + 211.550781444163 * LN(B3) + 4.34926064471604 * B1^-5 - 8.61321552161882 * B1^-4 + 4.82142535392916 * B1^-3 + 2450750.79183943 * B3^-1 - 0.000458116502341073 * B1^2 - 1.92680139778294E-08 * B2^2 - 14987.2215764161 * (B1*B3)^-1 - 9.34326001529947E-06 * B1*B2 + 6.27432591252895E-06 * B1*B3 - 6.87960002740558E-08 * B2*B3 + 418.376161700252 * (B2/B3)^-4 - 0.0115561223162999 * (B3/B2)^-4 - 416.33760141145 * (B2/B3)^-3 + 1.99241422169636E-10 * (B1/B2)^-2 - 3.79910051500841E-10 * (B1/B3)^-2 - 0.0000204946379772215 * (B1/B2)^-1 - 26750.3120161635 * (B2/B1)^-1 + 1758.99768608953 * (B3/B1)^-1</f>
        <v>5.8312446158331355</v>
      </c>
      <c r="F59" s="1">
        <f t="shared" si="11"/>
        <v>0</v>
      </c>
      <c r="G59" s="1">
        <f>IF(AND($C$3&gt;=C59,$C$3&lt;=D59),1,0)</f>
        <v>0</v>
      </c>
      <c r="H59" s="1">
        <f t="shared" si="13"/>
        <v>0</v>
      </c>
      <c r="J59" s="1">
        <v>48</v>
      </c>
      <c r="K59" s="1">
        <v>54</v>
      </c>
      <c r="L59" s="1">
        <v>18</v>
      </c>
      <c r="M59" s="1">
        <v>20</v>
      </c>
      <c r="N59" s="1">
        <f xml:space="preserve">  - 1.47523857279606 * B1 - 0.0619127897527079 * B2 + 0.20066834770371 * B3 + 2063.59043865643 * LN(B2) - 2367.55854491627 * LN(B3) + 0.337711820252329 * B1^-1 + 0.000174474676937721 * B1^2 + 2.20341581598807E-07 * B2^2 - 0.0000032183031707165 * B3^2 - 13412.0465925441 * (B1*B3)^-1 + 0.000015362048608793 * B1*B2 - 3.85720943748389E-06 * B1*B3 + 4.23830923916699E-07 * B2*B3 - 223.398526351283 * (B2/B3)^-4 + 6.13338961266393E-06 * (B1/B2)^-1 + 37971.9732860611 * (B2/B1)^-1 - 164277125672983 * (B2/B3)^-1 + 164277125674285 * B3/B2</f>
        <v>-30.59375</v>
      </c>
      <c r="O59" s="1">
        <f t="shared" si="14"/>
        <v>0</v>
      </c>
      <c r="P59" s="1">
        <f>IF(AND($C$3&gt;=L59,$C$3&lt;=M59),1,0)</f>
        <v>0</v>
      </c>
      <c r="Q59" s="1">
        <f t="shared" si="16"/>
        <v>0</v>
      </c>
      <c r="S59" s="1">
        <v>48</v>
      </c>
      <c r="T59" s="1">
        <v>54</v>
      </c>
      <c r="U59" s="1">
        <v>18</v>
      </c>
      <c r="V59" s="1">
        <v>20</v>
      </c>
      <c r="W59" s="1">
        <f xml:space="preserve">  - 14103.9041482113 * B1 - 32.8821997957134 * B2 - 18.2765306825876 * B3 - 152.180923758708 * LN(B1) + 476396.777064219 * LN(B2) - 366707.041828466 * LN(B3) - 5010.3760934386 * B1^-5 + 8291.50612414521 * B1^-4 - 3059.28915892263 * B1^-3 - 10597093202.6671 * B3^-1 + 0.0000769513348184645 * B2^2 + 4887077.6131333 * (B1*B3)^-1 + 0.0718732232911068 * B1*B2 + 0.208805439300642 * B1*B3 + 0.000497497365691887 * B2*B3 + 259543.412839636 * (B2/B3)^-4 - 2.1329318312179E-07 * (B1/B2)^-2 + 164030731.561188 * (B2/B1)^-1 + 63031596.4283349 * (B3/B1)^-1 + 128434.493401942 * (B3/B2)^-1</f>
        <v>1285.058694068488</v>
      </c>
      <c r="X59" s="1">
        <f t="shared" si="17"/>
        <v>0</v>
      </c>
      <c r="Y59" s="1">
        <f>IF(AND($C$3&gt;=U59,$C$3&lt;=V59),1,0)</f>
        <v>0</v>
      </c>
      <c r="Z59" s="1">
        <f t="shared" si="19"/>
        <v>0</v>
      </c>
    </row>
    <row r="60" spans="1:26" x14ac:dyDescent="0.25">
      <c r="A60" s="1">
        <v>54</v>
      </c>
      <c r="B60" s="1">
        <v>60</v>
      </c>
      <c r="C60" s="1">
        <v>11</v>
      </c>
      <c r="D60" s="1">
        <v>14</v>
      </c>
      <c r="E60" s="1">
        <f xml:space="preserve">  - 1.06004380479757 * B1 + 0.00485189324720659 * B2 + 0.000105025004913418 * B3 + 0.0239088047468208 * LN(B1) - 147.554932476741 * LN(B2) + 0.550226758251687 * B1^-5 - 0.753116984044388 * B1^-4 + 14152.718937738 * B3^-1 - 2.0031876767277E-08 * B2^2 - 1669.05889984816 * (B1*B3)^-1 + 8.85882636132686E-06 * B1*B2 - 1.50936824610673E-06 * B1*B3 - 65.6825325118641 * (B2/B3)^-4 + 1.00770872427255E-10 * (B1/B2)^-2 + 32556.6431851798 * (B2/B1)^-1 - 0.0662125414506531 * B2/B3 + 1402.523070017</f>
        <v>4.3166328589040859</v>
      </c>
      <c r="F60" s="1">
        <f>IF(AND($C$2&gt;=A60,$C$2&lt;=B60),1,0)</f>
        <v>0</v>
      </c>
      <c r="G60" s="1">
        <f t="shared" si="12"/>
        <v>0</v>
      </c>
      <c r="H60" s="1">
        <f t="shared" si="13"/>
        <v>0</v>
      </c>
      <c r="J60" s="1">
        <v>54</v>
      </c>
      <c r="K60" s="1">
        <v>60</v>
      </c>
      <c r="L60" s="1">
        <v>11</v>
      </c>
      <c r="M60" s="1">
        <v>14</v>
      </c>
      <c r="N60" s="1">
        <f xml:space="preserve"> 7.02980365810162 * B1 - 0.055865164843541 * B2 + 0.122555316515129 * B3 - 0.00127155275685767 * LN(B1) + 1478.43124773492 * LN(B2) - 1550.43283762152 * LN(B3) + 0.582748753574465 * B1^-5 - 0.938792200787191 * B1^-4 - 7260575.55066622 * B3^-1 + 2.3111093408131E-07 * B2^2 - 1.88371129212401E-06 * B3^2 - 7568.94654268003 * (B1*B3)^-1 - 0.0000617214564333423 * B1*B2 - 1.39464198466321E-06 * B1*B3 + 1.57924337315622E-07 * B2*B3 + 922.264555466913 * (B2/B3)^-4 - 0.00266074771609681 * (B3/B2)^-4 + 2.96758924770191E-10 * (B1/B2)^-2 - 1.46804140037474E-09 * (B1/B3)^-2 - 198927.250644366 * (B2/B1)^-1 + 21.9125201398577 * (B3/B2)^-1</f>
        <v>3.9357676127602659</v>
      </c>
      <c r="O60" s="1">
        <f>IF(AND($C$2&gt;=J60,$C$2&lt;=K60),1,0)</f>
        <v>0</v>
      </c>
      <c r="P60" s="1">
        <f t="shared" si="15"/>
        <v>0</v>
      </c>
      <c r="Q60" s="1">
        <f t="shared" si="16"/>
        <v>0</v>
      </c>
      <c r="S60" s="1">
        <v>54</v>
      </c>
      <c r="T60" s="1">
        <v>60</v>
      </c>
      <c r="U60" s="1">
        <v>11</v>
      </c>
      <c r="V60" s="1">
        <v>14</v>
      </c>
      <c r="W60" s="1">
        <f xml:space="preserve">  - 5295.09093137472 * B1 + 12.6979170976008 * B2 - 32.4904187168723 * B3 - 1072.76931927664 * LN(B1) - 341299.966911101 * LN(B2) + 363188.270341984 * LN(B3) - 36841.9292907545 * B1^-5 + 89767.7087141763 * B1^-4 - 83428.618771981 * B1^-3 + 37828.4877164576 * B1^-2 + 1361219928.99667 * B3^-1 - 0.0000601034319690662 * B2^2 + 0.000448608955837603 * B3^2 - 17494269.3827109 * (B1*B3)^-1 + 0.0445905328866698 * B1*B2 + 0.0154577217079225 * B1*B3 + 0.0000193771029796304 * B2*B3 + 0.807420885101351 * (B3/B2)^-4 + 6.58028752317811E-07 * (B1/B2)^-2 + 2.69320162110968E-06 * (B1/B3)^-2 - 0.14981061486996 * (B1/B2)^-1 - 0.22977805351062 * (B1/B3)^-1 + 139899062.645847 * (B2/B1)^-1 + 1690760.65425475 * (B3/B1)^-1</f>
        <v>14619.096535046061</v>
      </c>
      <c r="X60" s="1">
        <f>IF(AND($C$2&gt;=S60,$C$2&lt;=T60),1,0)</f>
        <v>0</v>
      </c>
      <c r="Y60" s="1">
        <f t="shared" si="18"/>
        <v>0</v>
      </c>
      <c r="Z60" s="1">
        <f t="shared" si="19"/>
        <v>0</v>
      </c>
    </row>
    <row r="61" spans="1:26" x14ac:dyDescent="0.25">
      <c r="A61" s="1">
        <v>54</v>
      </c>
      <c r="B61" s="1">
        <v>60</v>
      </c>
      <c r="C61" s="1">
        <v>14</v>
      </c>
      <c r="D61" s="1">
        <v>16</v>
      </c>
      <c r="E61" s="1">
        <f xml:space="preserve">  - 0.38269652181658 * B1 + 0.00768240399275541 * B2 - 0.0032991940337504 * B3 - 203.409273145527 * LN(B2) + 193.722355973064 * LN(B3) + 1933726.60292589 * B3^-1 - 2.67851204464878E-08 * B2^2 + 0.0000032084723450527 * B1*B2 - 9.89823743101411E-07 * B1*B3 - 4.45609840990103E-08 * B2*B3 - 190.179160707831 * (B2/B3)^-4 + 12130.3649123702 * (B2/B1)^-1 - 6.96584278964693 * (B3/B2)^-1</f>
        <v>-2.9398462930529519</v>
      </c>
      <c r="F61" s="1">
        <f t="shared" ref="F61:F63" si="20">IF(AND($C$2&gt;=A61,$C$2&lt;=B61),1,0)</f>
        <v>0</v>
      </c>
      <c r="G61" s="1">
        <f t="shared" si="12"/>
        <v>0</v>
      </c>
      <c r="H61" s="1">
        <f t="shared" si="13"/>
        <v>0</v>
      </c>
      <c r="J61" s="1">
        <v>54</v>
      </c>
      <c r="K61" s="1">
        <v>60</v>
      </c>
      <c r="L61" s="1">
        <v>14</v>
      </c>
      <c r="M61" s="1">
        <v>16</v>
      </c>
      <c r="N61" s="1">
        <f xml:space="preserve"> 1.1973266501615 * B1 - 0.0228407317282311 * B2 + 0.004820212100113 * B3 - 0.118677300689718 * LN(B1) + 526.439085257679 * LN(B2) - 487.521177582448 * LN(B3) + 0.775497592944837 * B1^-5 - 1.18331670078146 * B1^-4 - 5470682.67727799 * B3^-1 + 8.14203309714218E-08 * B2^2 - 14087.5338976004 * (B1*B3)^-1 - 0.0000109077401701107 * B1*B2 - 2.16078607270316E-06 * B1*B3 + 1.70395209312913E-07 * B2*B3 + 470.614081837599 * (B2/B3)^-4 + 2.91030801504252E-10 * (B1/B2)^-2 - 30817.8626055938 * (B2/B1)^-1 + 27.828373475741 * (B3/B2)^-1</f>
        <v>15.930814207340614</v>
      </c>
      <c r="O61" s="1">
        <f t="shared" ref="O61:O63" si="21">IF(AND($C$2&gt;=J61,$C$2&lt;=K61),1,0)</f>
        <v>0</v>
      </c>
      <c r="P61" s="1">
        <f t="shared" si="15"/>
        <v>0</v>
      </c>
      <c r="Q61" s="1">
        <f t="shared" si="16"/>
        <v>0</v>
      </c>
      <c r="S61" s="1">
        <v>54</v>
      </c>
      <c r="T61" s="1">
        <v>60</v>
      </c>
      <c r="U61" s="1">
        <v>14</v>
      </c>
      <c r="V61" s="1">
        <v>16</v>
      </c>
      <c r="W61" s="1">
        <f xml:space="preserve">  - 6597.02807666247 * B1 - 5.85685888398675 * B2 - 198.304808560438 * B3 - 291.062069209179 * LN(B1) + 282741.053656067 * LN(B2) + 5232.43093083462 * B1^-5 - 7522.94807240987 * B1^-4 + 34936.5993233371 * B1^-1 - 13602049391.2191 * B3^-1 + 0.00401056146949903 * B3^2 - 164775931.683018 * (B1*B3)^-1 + 0.0591068761444218 * B1*B2 + 0.0102911440736479 * B1*B3 + 0.000187455597293001 * B2*B3 - 1642432.44463117 * (B2/B3)^-4 + 9.67553842032301E-07 * (B1/B2)^-2 + 4.79661691646294E-06 * (B1/B3)^-2 + 956784.483593919 * (B2/B3)^-2 - 0.205757430387018 * (B1/B2)^-1 - 0.994173179449932 * (B1/B3)^-1 + 176467347.774351 * (B2/B1)^-1</f>
        <v>-41348.747535878058</v>
      </c>
      <c r="X61" s="1">
        <f t="shared" ref="X61:X63" si="22">IF(AND($C$2&gt;=S61,$C$2&lt;=T61),1,0)</f>
        <v>0</v>
      </c>
      <c r="Y61" s="1">
        <f t="shared" si="18"/>
        <v>0</v>
      </c>
      <c r="Z61" s="1">
        <f t="shared" si="19"/>
        <v>0</v>
      </c>
    </row>
    <row r="62" spans="1:26" x14ac:dyDescent="0.25">
      <c r="A62" s="1">
        <v>54</v>
      </c>
      <c r="B62" s="1">
        <v>60</v>
      </c>
      <c r="C62" s="1">
        <v>16</v>
      </c>
      <c r="D62" s="1">
        <v>18</v>
      </c>
      <c r="E62" s="1">
        <f xml:space="preserve"> 0.00819076770270713 * B1 + 0.00342913832080253 * B2 - 0.014797251532978 * B3 - 0.0152668940385617 * LN(B1) - 123.574053034163 * LN(B2) + 145.12832389694 * LN(B3) - 1.14547260203469E-08 * B2^2 + 2.52871116515595E-07 * B3^2 - 1.01384714728607E-07 * B1*B2 - 1.56620773829174E-07 * B1*B3 - 1.96123632477007E-08 * B2*B3 - 70.8129592751369 * B3/B2</f>
        <v>3.1091735397856652</v>
      </c>
      <c r="F62" s="1">
        <f t="shared" si="20"/>
        <v>0</v>
      </c>
      <c r="G62" s="1">
        <f t="shared" si="12"/>
        <v>1</v>
      </c>
      <c r="H62" s="1">
        <f t="shared" si="13"/>
        <v>0</v>
      </c>
      <c r="J62" s="1">
        <v>54</v>
      </c>
      <c r="K62" s="1">
        <v>60</v>
      </c>
      <c r="L62" s="1">
        <v>16</v>
      </c>
      <c r="M62" s="1">
        <v>18</v>
      </c>
      <c r="N62" s="1">
        <f xml:space="preserve"> 0.126753238985317 * B1 + 0.0141926461121692 * B2 - 0.0618710380736526 * B3 - 512.413261807472 * LN(B2) + 601.857970995904 * LN(B3) - 4.74842494488004E-08 * B2^2 + 1.04594101015568E-06 * B3^2 - 1.36463399131284E-06 * B1*B2 - 3.30685487214558E-06 * B1*B3 - 7.55000942162254E-08 * B2*B3 - 277.865772386925 * B3/B2</f>
        <v>15.347416672033376</v>
      </c>
      <c r="O62" s="1">
        <f t="shared" si="21"/>
        <v>0</v>
      </c>
      <c r="P62" s="1">
        <f t="shared" si="15"/>
        <v>1</v>
      </c>
      <c r="Q62" s="1">
        <f t="shared" si="16"/>
        <v>0</v>
      </c>
      <c r="S62" s="1">
        <v>54</v>
      </c>
      <c r="T62" s="1">
        <v>60</v>
      </c>
      <c r="U62" s="1">
        <v>16</v>
      </c>
      <c r="V62" s="1">
        <v>18</v>
      </c>
      <c r="W62" s="1">
        <f xml:space="preserve">  - 15545.6613906719 * B1 - 12.611630042776 * B2 - 28.1403338555994 * B3 - 1892.60631784246 * LN(B1) + 74999.9033358095 * LN(B2) + 59227.9414342749 * B1^-5 - 110144.23851972 * B1^-4 + 55109.7552946741 * B1^-3 - 5597824150.90009 * B3^-1 - 0.0000104323841321636 * B2^2 + 35974296.6614759 * (B1*B3)^-1 + 0.101281151311104 * B1*B2 + 0.15427946061464 * B1*B3 + 0.000450885426187656 * B2*B3 + 598637.176482387 * (B2/B3)^-4 + 1.26765957000806E-06 * (B1/B2)^-2 - 0.272795008307278 * (B1/B2)^-1 + 293142258.085911 * (B2/B1)^-1 + 36111184.9860739 * (B3/B1)^-1 + 90646.5961010957 * (B3/B2)^-1</f>
        <v>39329.320791237289</v>
      </c>
      <c r="X62" s="1">
        <f t="shared" si="22"/>
        <v>0</v>
      </c>
      <c r="Y62" s="1">
        <f t="shared" si="18"/>
        <v>1</v>
      </c>
      <c r="Z62" s="1">
        <f t="shared" si="19"/>
        <v>0</v>
      </c>
    </row>
    <row r="63" spans="1:26" x14ac:dyDescent="0.25">
      <c r="A63" s="1">
        <v>54</v>
      </c>
      <c r="B63" s="1">
        <v>60</v>
      </c>
      <c r="C63" s="1">
        <v>18</v>
      </c>
      <c r="D63" s="1">
        <v>20</v>
      </c>
      <c r="E63" s="1">
        <f xml:space="preserve"> 0.0669432138652688 * B1 + 0.0013696993727106 * B2 - 0.00556032335414377 * B3 + 0.00947211686723465 * LN(B1) - 55.042515073208 * LN(B2) + 64.43525707586 * LN(B3) - 0.616836514554111 * B1^-5 + 1.17789333076873 * B1^-4 - 0.639721784369326 * B1^-3 - 4.03754571708E-09 * B2^2 + 8.85152978008856E-08 * B3^2 + 23.4194367512296 * (B1*B3)^-1 - 5.44270764243822E-07 * B1*B2 + 1.47455972363027E-07 * B1*B3 - 9.32379157793678E-09 * B2*B3 + 8.86038623551003 * (B2/B3)^-4 + 2.51993088565567E-06 * (B1/B2)^-1 - 2270.29970878912 * (B2/B1)^-1 - 39.9867296445709 * B3/B2</f>
        <v>1.9636633019238445</v>
      </c>
      <c r="F63" s="1">
        <f t="shared" si="20"/>
        <v>0</v>
      </c>
      <c r="G63" s="1">
        <f>IF(AND($C$3&gt;=C63,$C$3&lt;=D63),1,0)</f>
        <v>0</v>
      </c>
      <c r="H63" s="1">
        <f t="shared" si="13"/>
        <v>0</v>
      </c>
      <c r="J63" s="1">
        <v>54</v>
      </c>
      <c r="K63" s="1">
        <v>60</v>
      </c>
      <c r="L63" s="1">
        <v>18</v>
      </c>
      <c r="M63" s="1">
        <v>20</v>
      </c>
      <c r="N63" s="1">
        <f xml:space="preserve"> 0.0181081901889266 * B1 + 0.00625918751186273 * B2 - 0.00319141342919038 * B3 - 0.0519844266576383 * LN(B1) - 209.304575616238 * LN(B2) + 201.537910645275 * LN(B3) + 2068278.00229503 * B3^-1 - 2.21860436683511E-08 * B2^2 - 1.14014149124629E-06 * B1*B3 - 1.76708980952835E-08 * B2*B3 - 62.0342092818439 * (B2/B3)^-2</f>
        <v>10.209889380175387</v>
      </c>
      <c r="O63" s="1">
        <f t="shared" si="21"/>
        <v>0</v>
      </c>
      <c r="P63" s="1">
        <f>IF(AND($C$3&gt;=L63,$C$3&lt;=M63),1,0)</f>
        <v>0</v>
      </c>
      <c r="Q63" s="1">
        <f t="shared" si="16"/>
        <v>0</v>
      </c>
      <c r="S63" s="1">
        <v>54</v>
      </c>
      <c r="T63" s="1">
        <v>60</v>
      </c>
      <c r="U63" s="1">
        <v>18</v>
      </c>
      <c r="V63" s="1">
        <v>20</v>
      </c>
      <c r="W63" s="1">
        <f xml:space="preserve">  - 38551.5841511422 * B1 - 31.9174446045004 * B2 - 54.1765430702382 * B3 + 209.787891589261 * LN(B1) + 628029.104661535 * LN(B2) - 445133.276089294 * LN(B3) - 14447607911.508 * B3^-1 + 0.177578615833766 * B1*B2 + 0.58233698565392 * B1*B3 + 0.000883434873634697 * B2*B3 + 1132705.5532286 * (B2/B3)^-4 + 16455.5872968754 * (B3/B2)^-2 + 464043136.300804 * (B2/B1)^-1 + 177504175.484062 * (B3/B1)^-1</f>
        <v>49513.387420300642</v>
      </c>
      <c r="X63" s="1">
        <f t="shared" si="22"/>
        <v>0</v>
      </c>
      <c r="Y63" s="1">
        <f>IF(AND($C$3&gt;=U63,$C$3&lt;=V63),1,0)</f>
        <v>0</v>
      </c>
      <c r="Z63" s="1">
        <f t="shared" si="19"/>
        <v>0</v>
      </c>
    </row>
    <row r="67" spans="1:26" x14ac:dyDescent="0.25">
      <c r="A67" s="33" t="s">
        <v>22</v>
      </c>
      <c r="B67" s="33"/>
      <c r="C67" s="33"/>
      <c r="D67" s="33"/>
      <c r="E67" s="33"/>
      <c r="F67" s="33"/>
      <c r="G67" s="33"/>
      <c r="H67" s="33"/>
      <c r="J67" s="33" t="s">
        <v>23</v>
      </c>
      <c r="K67" s="33"/>
      <c r="L67" s="33"/>
      <c r="M67" s="33"/>
      <c r="N67" s="33"/>
      <c r="O67" s="33"/>
      <c r="P67" s="33"/>
      <c r="Q67" s="33"/>
      <c r="S67" s="33" t="s">
        <v>24</v>
      </c>
      <c r="T67" s="33"/>
      <c r="U67" s="33"/>
      <c r="V67" s="33"/>
      <c r="W67" s="33"/>
      <c r="X67" s="33"/>
      <c r="Y67" s="33"/>
      <c r="Z67" s="33"/>
    </row>
    <row r="68" spans="1:26" x14ac:dyDescent="0.25">
      <c r="A68" s="33" t="s">
        <v>1</v>
      </c>
      <c r="B68" s="33"/>
      <c r="C68" s="33" t="s">
        <v>2</v>
      </c>
      <c r="D68" s="33"/>
      <c r="E68" s="1"/>
      <c r="F68" s="1"/>
      <c r="G68" s="1"/>
      <c r="H68" s="1"/>
      <c r="J68" s="33" t="s">
        <v>1</v>
      </c>
      <c r="K68" s="33"/>
      <c r="L68" s="33" t="s">
        <v>2</v>
      </c>
      <c r="M68" s="33"/>
      <c r="N68" s="1"/>
      <c r="O68" s="1"/>
      <c r="P68" s="1"/>
      <c r="Q68" s="1"/>
      <c r="S68" s="33" t="s">
        <v>1</v>
      </c>
      <c r="T68" s="33"/>
      <c r="U68" s="33" t="s">
        <v>2</v>
      </c>
      <c r="V68" s="33"/>
      <c r="W68" s="1"/>
      <c r="X68" s="1"/>
      <c r="Y68" s="1"/>
      <c r="Z68" s="1"/>
    </row>
    <row r="69" spans="1:26" x14ac:dyDescent="0.25">
      <c r="A69" s="2" t="s">
        <v>3</v>
      </c>
      <c r="B69" s="2" t="s">
        <v>4</v>
      </c>
      <c r="C69" s="2" t="s">
        <v>3</v>
      </c>
      <c r="D69" s="2" t="s">
        <v>4</v>
      </c>
      <c r="E69" s="2" t="s">
        <v>5</v>
      </c>
      <c r="F69" s="2" t="s">
        <v>6</v>
      </c>
      <c r="G69" s="2" t="s">
        <v>7</v>
      </c>
      <c r="H69" s="2" t="s">
        <v>8</v>
      </c>
      <c r="J69" s="2" t="s">
        <v>3</v>
      </c>
      <c r="K69" s="2" t="s">
        <v>4</v>
      </c>
      <c r="L69" s="2" t="s">
        <v>3</v>
      </c>
      <c r="M69" s="2" t="s">
        <v>4</v>
      </c>
      <c r="N69" s="2" t="s">
        <v>5</v>
      </c>
      <c r="O69" s="2" t="s">
        <v>6</v>
      </c>
      <c r="P69" s="2" t="s">
        <v>7</v>
      </c>
      <c r="Q69" s="2" t="s">
        <v>8</v>
      </c>
      <c r="S69" s="2" t="s">
        <v>3</v>
      </c>
      <c r="T69" s="2" t="s">
        <v>4</v>
      </c>
      <c r="U69" s="2" t="s">
        <v>3</v>
      </c>
      <c r="V69" s="2" t="s">
        <v>4</v>
      </c>
      <c r="W69" s="2" t="s">
        <v>5</v>
      </c>
      <c r="X69" s="2" t="s">
        <v>6</v>
      </c>
      <c r="Y69" s="2" t="s">
        <v>7</v>
      </c>
      <c r="Z69" s="2" t="s">
        <v>8</v>
      </c>
    </row>
    <row r="70" spans="1:26" x14ac:dyDescent="0.25">
      <c r="A70" s="1">
        <v>24</v>
      </c>
      <c r="B70" s="1">
        <v>30</v>
      </c>
      <c r="C70" s="1">
        <v>11</v>
      </c>
      <c r="D70" s="1">
        <v>14</v>
      </c>
      <c r="E70" s="1">
        <f xml:space="preserve">  - 0.117461551714189 * B1 - 0.000375795295241431 * B2 + 0.000243244040516739 * B3 + 0.00576534655567927 * LN(B1) + 2.10152467842371 * LN(B2) - 1.22914363075696 * LN(B3) + 0.0658077159268943 * B1^-5 - 0.174518441941249 * B1^-4 + 0.170954361537072 * B1^-3 + 0.167375922569841 * B1^-2 + 0.641646152119125 * B1^-1 - 86262.9864357565 * B2^-1 + 4.35319951745835E-09 * B2^2 - 29133.8837919383 * (B1*B2)^-1 + 598.368754815699 * (B1*B3)^-1 + 2.08997495659128E-06 * B1*B2 - 4.96645723532006E-07 * B1*B3 - 4.80424023338641E-09 * B2*B3 - 1.96990503691654 * (B2/B3)^-4 - 0.00139928294240516 * (B3/B2)^-4 - 3.28507905723237E-10 * (B1/B2)^-2 + 1.8926846549909E-10 * (B1/B3)^-2 + 8.86930156931889E-06 * (B1/B2)^-1 + 1758.66093577433 * (B2/B1)^-1</f>
        <v>0.89265636236159962</v>
      </c>
      <c r="F70" s="1">
        <f>IF(AND($C$2&gt;=A70,$C$2&lt;B70),1,0)</f>
        <v>0</v>
      </c>
      <c r="G70" s="1">
        <f>IF(AND($C$3&gt;=C70,$C$3&lt;D70),1,0)</f>
        <v>0</v>
      </c>
      <c r="H70" s="1">
        <f>E70*F70*G70</f>
        <v>0</v>
      </c>
      <c r="J70">
        <v>24</v>
      </c>
      <c r="K70">
        <v>30</v>
      </c>
      <c r="L70">
        <v>11</v>
      </c>
      <c r="M70">
        <v>14</v>
      </c>
      <c r="N70">
        <f xml:space="preserve">  - 0.0869165381415951 * B1 - 0.000209709059219403 * B2 + 0.0000764406278551987 * B3 - 0.0272227772091306 * LN(B1) + 0.179899473405867 * LN(B2) + 0.483040506867832 * LN(B3) - 1.18950030466102 * B1^-5 + 2.90640088051803 * B1^-4 - 2.70893884712309 * B1^-3 + 1.37357521165574 * B1^-2 - 60880.6209236972 * B2^-1 + 6677.95448426808 * B3^-1 + 2.71145127557477E-09 * B2^2 - 13830.0596689841 * (B1*B2)^-1 + 767.776470238185 * (B1*B3)^-1 + 1.63633889673992E-06 * B1*B2 - 2.99570791530799E-07 * B1*B3 - 2.42711522224568E-09 * B2*B3 - 0.771149282131507 * (B2/B3)^-4 - 0.000792768892331229 * (B3/B2)^-4 - 1.06732252821727E-10 * (B1/B2)^-2 + 1.3321674398233E-10 * (B1/B3)^-2 + 1244.91030056884 * (B2/B1)^-1</f>
        <v>0.94049686317108472</v>
      </c>
      <c r="O70" s="1">
        <f>IF(AND($C$2&gt;=J70,$C$2&lt;K70),1,0)</f>
        <v>0</v>
      </c>
      <c r="P70" s="1">
        <f>IF(AND($C$3&gt;=L70,$C$3&lt;M70),1,0)</f>
        <v>0</v>
      </c>
      <c r="Q70" s="1">
        <f>N70*O70*P70</f>
        <v>0</v>
      </c>
      <c r="S70" s="1">
        <v>24</v>
      </c>
      <c r="T70" s="1">
        <v>30</v>
      </c>
      <c r="U70" s="1">
        <v>11</v>
      </c>
      <c r="V70" s="1">
        <v>14</v>
      </c>
      <c r="W70" s="1">
        <f xml:space="preserve"> 126.641577103425 * B1 + 0.200275465452222 * B2 + 0.00239162021620755 * B3 + 8.03509514272185 * LN(B1) - 468.083946854842 * LN(B2) - 35.2711628410503 * LN(B3) - 58.7966010493065 * B1^-5 + 103.503460670648 * B1^-4 - 59.7606623795563 * B1^-3 - 4.72800240299623 * B1^-2 - 2492.58171296486 * B1^-1 + 40006207.4732864 * B2^-1 - 2.19619933887501E-06 * B2^2 + 38829387.7871931 * (B1*B2)^-1 - 11009.7566273063 * (B1*B3)^-1 - 0.00253341740638243 * B1*B2 + 0.0000664525409487367 * B1*B3 + 62.1164818594687 * (B2/B3)^-4 + 4.33789618696463E-08 * (B1/B2)^-2 + 0.039258630679662 * (B1/B2)^-1 - 1585603.8657147 * (B2/B1)^-1</f>
        <v>249.70190736865283</v>
      </c>
      <c r="X70" s="1">
        <f>IF(AND($C$2&gt;=S70,$C$2&lt;T70),1,0)</f>
        <v>0</v>
      </c>
      <c r="Y70" s="1">
        <f>IF(AND($C$3&gt;=U70,$C$3&lt;V70),1,0)</f>
        <v>0</v>
      </c>
      <c r="Z70" s="1">
        <f>W70*X70*Y70</f>
        <v>0</v>
      </c>
    </row>
    <row r="71" spans="1:26" x14ac:dyDescent="0.25">
      <c r="A71" s="1">
        <v>24</v>
      </c>
      <c r="B71" s="1">
        <v>30</v>
      </c>
      <c r="C71" s="1">
        <v>14</v>
      </c>
      <c r="D71" s="1">
        <v>16</v>
      </c>
      <c r="E71" s="1">
        <f xml:space="preserve">  - 0.0828832821060642 * B1 - 0.000353893372541468 * B2 + 0.000481997857923462 * B3 + 0.177650835272435 * LN(B1) + 3.39027541575262 * LN(B2) - 2.96477242585736 * LN(B3) + 5.96092837437453 * B1^-5 - 14.5908363037328 * B1^-4 + 13.666409084833 * B1^-3 - 6.4770489194574 * B1^-2 - 70874.8098954579 * B2^-1 + 5.34363218735517E-09 * B2^2 - 6140.29960051102 * (B1*B2)^-1 + 9856.24051676883 * (B1*B3)^-1 + 1.28680471879163E-06 * B1*B2 - 9.71423859855816E-07 * B1*B3 - 1.03288089961503E-08 * B2*B3 - 2.2067964221858 * (B2/B3)^-4 - 0.0317992529583002 * (B3/B2)^-3 - 2.74878564718948E-10 * (B1/B2)^-2 + 0.0000320887393747589 * (B1/B2)^-1 + 0.0000484441688517379 * (B1/B3)^-1 + 1454.20904719152 * (B2/B1)^-1</f>
        <v>0.88177532798586999</v>
      </c>
      <c r="F71" s="1">
        <f t="shared" ref="F71:F89" si="23">IF(AND($C$2&gt;=A71,$C$2&lt;B71),1,0)</f>
        <v>0</v>
      </c>
      <c r="G71" s="1">
        <f t="shared" ref="G71:G92" si="24">IF(AND($C$3&gt;=C71,$C$3&lt;D71),1,0)</f>
        <v>0</v>
      </c>
      <c r="H71" s="1">
        <f t="shared" ref="H71:H93" si="25">E71*F71*G71</f>
        <v>0</v>
      </c>
      <c r="J71">
        <v>24</v>
      </c>
      <c r="K71">
        <v>30</v>
      </c>
      <c r="L71">
        <v>14</v>
      </c>
      <c r="M71">
        <v>16</v>
      </c>
      <c r="N71">
        <f xml:space="preserve"> 0.0227573914841893 * B1 + 0.00038672758667524 * B2 + 0.0000772273988655578 * B3 - 0.0430922381094323 * LN(B1) - 19.5675774478156 * LN(B2) + 0.101836978570566 * LN(B3) + 2.07134281026863 * B1^-5 - 3.91495343654018 * B1^-4 + 2.10038659784527 * B1^-3 - 265202.029485745 * B2^-1 - 16469.4864950249 * (B1*B2)^-1 + 3603.71129623171 * (B1*B3)^-1 - 3.01079565502832E-07 * B1*B2 - 1.00963715634776E-06 * B1*B3 - 2.33088759721367E-09 * B2*B3 - 0.694171316075043 * (B2/B3)^-4 - 1.7707192816085E-10 * (B1/B2)^-2 + 3.63552134654498E-10 * (B1/B3)^-2 + 199.010893212383</f>
        <v>0.94550022718095761</v>
      </c>
      <c r="O71" s="1">
        <f t="shared" ref="O71:O91" si="26">IF(AND($C$2&gt;=J71,$C$2&lt;K71),1,0)</f>
        <v>0</v>
      </c>
      <c r="P71" s="1">
        <f t="shared" ref="P71:P94" si="27">IF(AND($C$3&gt;=L71,$C$3&lt;M71),1,0)</f>
        <v>0</v>
      </c>
      <c r="Q71" s="1">
        <f t="shared" ref="Q71:Q95" si="28">N71*O71*P71</f>
        <v>0</v>
      </c>
      <c r="S71" s="1">
        <v>24</v>
      </c>
      <c r="T71" s="1">
        <v>30</v>
      </c>
      <c r="U71" s="1">
        <v>14</v>
      </c>
      <c r="V71" s="1">
        <v>16</v>
      </c>
      <c r="W71" s="1">
        <f xml:space="preserve"> 109.920314185151 * B1 - 0.164617712550294 * B2 - 0.0242169155600851 * B3 + 196.580746361475 * LN(B1) + 8884.36463933044 * LN(B2) + 6858.53907922261 * B1^-5 - 16794.7124692676 * B1^-4 + 15725.576208345 * B1^-3 - 7719.28356794306 * B1^-2 + 118584897.196482 * B2^-1 + 38558037.6746161 * (B1*B2)^-1 - 40402.631754237 * (B1*B3)^-1 - 0.00234423710558153 * B1*B2 + 0.000211963569456261 * B1*B3 + 6.8156194498589E-07 * B2*B3 + 263.298046929747 * (B2/B3)^-4 + 3.65208178855239E-08 * (B1/B2)^-2 + 0.039520277901174 * (B1/B2)^-1 - 1470706.71080814 * (B2/B1)^-1 - 90891.1733382984</f>
        <v>252.51398298237473</v>
      </c>
      <c r="X71" s="1">
        <f t="shared" ref="X71:X89" si="29">IF(AND($C$2&gt;=S71,$C$2&lt;T71),1,0)</f>
        <v>0</v>
      </c>
      <c r="Y71" s="1">
        <f t="shared" ref="Y71:Y92" si="30">IF(AND($C$3&gt;=U71,$C$3&lt;V71),1,0)</f>
        <v>0</v>
      </c>
      <c r="Z71" s="1">
        <f t="shared" ref="Z71:Z93" si="31">W71*X71*Y71</f>
        <v>0</v>
      </c>
    </row>
    <row r="72" spans="1:26" x14ac:dyDescent="0.25">
      <c r="A72" s="1">
        <v>24</v>
      </c>
      <c r="B72" s="1">
        <v>30</v>
      </c>
      <c r="C72" s="1">
        <v>16</v>
      </c>
      <c r="D72" s="1">
        <v>18</v>
      </c>
      <c r="E72" s="1">
        <f xml:space="preserve">  - 0.0488295085690867 * B1 + 0.000750755121815459 * B2 - 0.0000703452021277616 * B3 + 0.459420112935124 * LN(B1) - 31.3651682857041 * LN(B2) + 32.2260868894035 * LN(B3) + 15.8140080155457 * B1^-5 - 38.6542762867505 * B1^-4 + 36.1432935786454 * B1^-3 - 17.5256199083977 * B1^-2 - 291175.736609868 * B2^-1 + 243222.880914936 * B3^-1 + 27899.3833781632 * (B1*B2)^-1 + 22170.675943195 * (B1*B3)^-1 + 4.44549374700725E-07 * B1*B2 - 1.87463086162277E-06 * B1*B3 - 1.75651494816634E-08 * B2*B3 - 2.22589813974141E-10 * (B1/B2)^-2 - 0.636399961015396 * (B2/B3)^-2 + 0.000068588208528421 * (B1/B2)^-1 + 0.0000834685675910003 * (B1/B3)^-1 + 1311.32138535189 * (B2/B1)^-1 - 13.6183035744705 * (B2/B3)^-1</f>
        <v>0.88579921007399332</v>
      </c>
      <c r="F72" s="1">
        <f t="shared" si="23"/>
        <v>0</v>
      </c>
      <c r="G72" s="1">
        <f t="shared" si="24"/>
        <v>1</v>
      </c>
      <c r="H72" s="1">
        <f t="shared" si="25"/>
        <v>0</v>
      </c>
      <c r="J72">
        <v>24</v>
      </c>
      <c r="K72">
        <v>30</v>
      </c>
      <c r="L72">
        <v>16</v>
      </c>
      <c r="M72">
        <v>18</v>
      </c>
      <c r="N72">
        <f xml:space="preserve"> 0.245847559804569 * B1 + 0.000686835514686509 * B2 - 0.00083826952876089 * B3 + 0.0207201912543267 * LN(B1) - 33.4064386433032 * LN(B2) + 34.7496148294914 * LN(B3) + 0.632451655298331 * B1^-5 - 1.13847184133122 * B1^-4 + 0.539661993786162 * B1^-3 - 446362.040500948 * B2^-1 + 302070.258479237 * B3^-1 - 13991.0827497441 * (B1*B2)^-1 + 7445.36978196355 * (B1*B3)^-1 - 8.86826522198594E-07 * B1*B2 - 7.89621730939159E-06 * B1*B3 - 4.49495836343275E-09 * B2*B3 - 0.86740851272769 * (B2/B3)^-4 - 1.58972875695385E-10 * (B1/B2)^-2 + 4.70544198933075E-10 * (B1/B3)^-2 - 1605.49309748448 * (B3/B1)^-1</f>
        <v>0.95105316212514568</v>
      </c>
      <c r="O72" s="1">
        <f t="shared" si="26"/>
        <v>0</v>
      </c>
      <c r="P72" s="1">
        <f t="shared" si="27"/>
        <v>1</v>
      </c>
      <c r="Q72" s="1">
        <f t="shared" si="28"/>
        <v>0</v>
      </c>
      <c r="S72" s="1">
        <v>24</v>
      </c>
      <c r="T72" s="1">
        <v>30</v>
      </c>
      <c r="U72" s="1">
        <v>16</v>
      </c>
      <c r="V72" s="1">
        <v>18</v>
      </c>
      <c r="W72" s="1">
        <f xml:space="preserve">  - 18.5846686472237 * B1 - 0.18445157093917 * B2 + 0.179383933253596 * B3 + 202.424145027842 * LN(B1) + 8558.14600156339 * LN(B2) - 8810.50183556995 * LN(B3) + 7604.71803486991 * B1^-5 - 18547.8015993898 * B1^-4 + 17258.0023953233 * B1^-3 - 8371.28946241877 * B1^-2 + 105728579.766779 * B2^-1 - 80197675.2801675 * B3^-1 + 38976374.0193699 * (B1*B2)^-1 + 590697.25980192 * (B1*B3)^-1 - 0.0018487694267086 * B1*B2 + 0.0034952495416761 * B1*B3 + 1.71171019492844E-06 * B2*B3 + 434.317995753319 * (B2/B3)^-4 + 1.49665226189565E-08 * (B1/B2)^-2 + 0.042051138473631 * (B1/B2)^-1 + 0.00284299130844808 * (B1/B3)^-1 - 1167905.31090169 * (B2/B1)^-1 + 823848.114329834 * (B3/B1)^-1</f>
        <v>251.90807891418663</v>
      </c>
      <c r="X72" s="1">
        <f t="shared" si="29"/>
        <v>0</v>
      </c>
      <c r="Y72" s="1">
        <f t="shared" si="30"/>
        <v>1</v>
      </c>
      <c r="Z72" s="1">
        <f t="shared" si="31"/>
        <v>0</v>
      </c>
    </row>
    <row r="73" spans="1:26" x14ac:dyDescent="0.25">
      <c r="A73" s="1">
        <v>24</v>
      </c>
      <c r="B73" s="1">
        <v>30</v>
      </c>
      <c r="C73" s="1">
        <v>18</v>
      </c>
      <c r="D73" s="1">
        <v>20</v>
      </c>
      <c r="E73" s="1">
        <f xml:space="preserve"> 0.305784540775666 * B1 + 0.000217464591499497 * B2 - 0.000665532527783887 * B3 + 0.523616725992169 * LN(B1) - 20.7672986645381 * LN(B2) + 22.6666656111075 * LN(B3) + 18.1959231009645 * B1^-5 - 44.3371965023901 * B1^-4 + 41.2526405273942 * B1^-3 - 19.8800977192906 * B1^-2 - 426043.712467935 * B2^-1 + 200431.226256158 * B3^-1 + 78647.7872039692 * (B1*B2)^-1 - 2141.26318773907 * (B1*B3)^-1 + 5.56068107169189E-07 * B1*B2 - 0.0000130385828763703 * B1*B3 - 0.278594025252104 * (B2/B3)^-4 - 2.42704206848179E-10 * (B1/B2)^-2 + 0.000131556392566112 * (B1/B2)^-1 + 2165.67514333319 * (B2/B1)^-1 - 3441.05929905238 * (B3/B1)^-1</f>
        <v>0.89841686346356009</v>
      </c>
      <c r="F73" s="1">
        <f t="shared" si="23"/>
        <v>0</v>
      </c>
      <c r="G73" s="1">
        <f>IF(AND($C$3&gt;=C73,$C$3&lt;=D73),1,0)</f>
        <v>0</v>
      </c>
      <c r="H73" s="1">
        <f t="shared" si="25"/>
        <v>0</v>
      </c>
      <c r="J73">
        <v>24</v>
      </c>
      <c r="K73">
        <v>30</v>
      </c>
      <c r="L73">
        <v>18</v>
      </c>
      <c r="M73">
        <v>20</v>
      </c>
      <c r="N73">
        <f xml:space="preserve"> 0.522102060725888 * B1 + 0.00116438376860101 * B2 - 0.0018889720687176 * B3 + 0.0933833703903982 * LN(B1) - 68.1123315317549 * LN(B2) + 71.2634980509356 * LN(B3) + 0.165375443326198 * B1^-5 - 0.208591087880873 * B1^-4 - 1002968.31083768 * B2^-1 + 671234.570276528 * B3^-1 + 0.0000255538555546705 * B1^2 - 3405.07296589921 * (B1*B2)^-1 + 4962.99425887781 * (B1*B3)^-1 + 2.28253680814989E-06 * B1*B2 - 0.0000214907967350737 * B1*B3 + 3242.57017890395 * (B2/B1)^-1 - 5991.04582505226 * (B3/B1)^-1</f>
        <v>0.96050131862139421</v>
      </c>
      <c r="O73" s="1">
        <f t="shared" si="26"/>
        <v>0</v>
      </c>
      <c r="P73" s="1">
        <f>IF(AND($C$3&gt;=L73,$C$3&lt;=M73),1,0)</f>
        <v>0</v>
      </c>
      <c r="Q73" s="1">
        <f t="shared" si="28"/>
        <v>0</v>
      </c>
      <c r="S73" s="1">
        <v>24</v>
      </c>
      <c r="T73" s="1">
        <v>30</v>
      </c>
      <c r="U73" s="1">
        <v>18</v>
      </c>
      <c r="V73" s="1">
        <v>20</v>
      </c>
      <c r="W73" s="1">
        <f xml:space="preserve">  - 452.126964230667 * B1 - 0.43114595676122 * B2 + 1.20453706883339 * B3 + 304.152731950885 * LN(B1) + 9982.60326227164 * LN(B2) - 11484.7321338497 * LN(B3) + 14060.8874536938 * B1^-5 - 33985.3336707761 * B1^-4 + 31154.6849831158 * B1^-3 - 14534.348604909 * B1^-2 + 69793940.930429 * B2^-1 - 0.0000233496903727064 * B3^2 + 39384306.3307079 * (B1*B2)^-1 + 11585141.529443 * (B1*B3)^-1 - 0.000582118710187392 * B1*B2 + 0.0138540781800781 * B1*B3 + 9.41109354635953E-06 * B2*B3 + 967.141932360708 * (B2/B3)^-4 + 24.2859701641604 * (B3/B2)^-4 - 6.72804763036223E-08 * (B1/B2)^-2 - 4.07951952809541E-07 * (B1/B3)^-2 + 0.0499510467496324 * (B1/B2)^-1 + 0.0556483496069408 * (B1/B3)^-1 - 448971.962649875 * (B2/B1)^-1 + 4146911.02490955 * (B3/B1)^-1</f>
        <v>249.71127974333774</v>
      </c>
      <c r="X73" s="1">
        <f t="shared" si="29"/>
        <v>0</v>
      </c>
      <c r="Y73" s="1">
        <f>IF(AND($C$3&gt;=U73,$C$3&lt;=V73),1,0)</f>
        <v>0</v>
      </c>
      <c r="Z73" s="1">
        <f t="shared" si="31"/>
        <v>0</v>
      </c>
    </row>
    <row r="74" spans="1:26" x14ac:dyDescent="0.25">
      <c r="A74" s="1">
        <v>30</v>
      </c>
      <c r="B74" s="1">
        <v>36</v>
      </c>
      <c r="C74" s="1">
        <v>11</v>
      </c>
      <c r="D74" s="1">
        <v>14</v>
      </c>
      <c r="E74" s="1">
        <f xml:space="preserve"> 0.0611506959959435 * B1 + 0.0000586699757703497 * B2 + 9.52385500097907E-06 * B3 - 0.221976639420061 * LN(B1) - 1.5149672115838 * LN(B2) + 4.11626896079216 * LN(B3) - 7.91524214634204 * B1^-5 + 19.340118204795 * B1^-4 - 18.0704790860077 * B1^-3 + 8.84451524058303 * B1^-2 + 26794.1128734551 * B3^-1 - 50185.4756568777 * (B1*B2)^-1 - 53.460605460669 * (B1*B3)^-1 - 6.45153960034858E-08 * B1*B2 - 2.60148057295954E-06 * B1*B3 - 3.18360565137687E-09 * B2*B3 + 2.74872618465507 * (B2/B3)^-4 - 1.02516982104413E-11 * (B1/B3)^-2 - 3.5521083325979 * (B2/B3)^-2 - 0.0000418050632191686 * (B1/B2)^-1 - 276.942495250303 * (B3/B1)^-1 - 23.8625901109062</f>
        <v>0.91378405594976542</v>
      </c>
      <c r="F74" s="1">
        <f t="shared" si="23"/>
        <v>1</v>
      </c>
      <c r="G74" s="1">
        <f t="shared" si="24"/>
        <v>0</v>
      </c>
      <c r="H74" s="1">
        <f t="shared" si="25"/>
        <v>0</v>
      </c>
      <c r="J74">
        <v>30</v>
      </c>
      <c r="K74">
        <v>36</v>
      </c>
      <c r="L74">
        <v>11</v>
      </c>
      <c r="M74">
        <v>14</v>
      </c>
      <c r="N74">
        <f xml:space="preserve"> 0.00500089838056635 * B1 + 4.54872040833836E-06 * B2 - 0.0000728473529043974 * B3 - 0.0410467121455297 * LN(B1) - 0.166824067161433 * LN(B2) + 1.66028584927359 * LN(B3) - 1.54035734190949 * B1^-5 + 3.76798903806417 * B1^-4 - 3.52488451674049 * B1^-3 + 1.7004293616559 * B1^-2 + 8966.77030363926 * B3^-1 - 10992.3844378932 * (B1*B2)^-1 + 855.41663289775 * (B1*B3)^-1 + 2.79142575442891E-08 * B1*B2 - 4.51887657245848E-07 * B1*B3 - 0.0484665821065974 * (B2/B3)^-4 + 1.49088709346875E-10 * (B1/B3)^-2 - 8.83730327254458E-06 * (B1/B2)^-1 - 12.780860618575</f>
        <v>0.94172346302987542</v>
      </c>
      <c r="O74" s="1">
        <f t="shared" si="26"/>
        <v>1</v>
      </c>
      <c r="P74" s="1">
        <f t="shared" si="27"/>
        <v>0</v>
      </c>
      <c r="Q74" s="1">
        <f t="shared" si="28"/>
        <v>0</v>
      </c>
      <c r="S74" s="1">
        <v>30</v>
      </c>
      <c r="T74" s="1">
        <v>36</v>
      </c>
      <c r="U74" s="1">
        <v>11</v>
      </c>
      <c r="V74" s="1">
        <v>14</v>
      </c>
      <c r="W74" s="1">
        <f xml:space="preserve">  - 20.1842476543979 * B1 - 0.0648127174243601 * B2 - 0.00169542359036517 * B3 + 6.00662003384487 * LN(B1) + 205.969625189261 * LN(B2) - 3.69690314766874 * LN(B3) - 28.2154048953948 * B1^-5 - 100.874362528426 * B1^-4 + 343.87756629405 * B1^-3 - 252.922421560392 * B1^-2 - 15553527.97883 * B2^-1 + 6.57427308275494E-07 * B2^2 - 3639005.24923296 * (B1*B2)^-1 + 55733.1044563275 * (B1*B3)^-1 + 0.00020842278071147 * B1*B2 + 0.000392038955127028 * B1*B3 + 6.03102174999646E-08 * B2*B3 - 7.04710816468983E-08 * (B1/B2)^-2 - 1.02176578915936E-08 * (B1/B3)^-2 + 0.0075282145059342 * (B1/B2)^-1 + 0.000790348125462239 * (B1/B3)^-1 + 163397.119533345 * (B2/B1)^-1 + 43302.9212630999 * (B3/B1)^-1</f>
        <v>246.65512299559651</v>
      </c>
      <c r="X74" s="1">
        <f t="shared" si="29"/>
        <v>1</v>
      </c>
      <c r="Y74" s="1">
        <f t="shared" si="30"/>
        <v>0</v>
      </c>
      <c r="Z74" s="1">
        <f t="shared" si="31"/>
        <v>0</v>
      </c>
    </row>
    <row r="75" spans="1:26" x14ac:dyDescent="0.25">
      <c r="A75" s="1">
        <v>30</v>
      </c>
      <c r="B75" s="1">
        <v>36</v>
      </c>
      <c r="C75" s="1">
        <v>14</v>
      </c>
      <c r="D75" s="1">
        <v>16</v>
      </c>
      <c r="E75" s="1">
        <f xml:space="preserve"> 0.162865997380009 * B1 + 0.000135481154916593 * B2 + 0.000331299971099429 * B3 - 0.0356724836375649 * LN(B1) - 0.614360041270483 * LN(B2) - 0.668923534855719 * B1^-5 + 1.67033289104102 * B1^-4 - 1.62004150426511 * B1^-3 + 0.979360036251143 * B1^-2 + 25225.8837952508 * B2^-1 + 16949.3021892288 * B3^-1 - 16704.5144331278 * (B1*B2)^-1 + 937.706589270261 * (B1*B3)^-1 - 9.41751538861579E-08 * B1*B2 - 6.39285718916485E-06 * B1*B3 - 7.28059882629939E-09 * B2*B3 - 0.00315373461624706 * (B3/B2)^-4 - 2.14469651604637 * (B2/B3)^-3 - 1.16836499419699E-10 * (B1/B2)^-2 + 4.83654337252202E-06 * (B1/B3)^-1 - 1013.35713373569 * (B3/B1)^-1</f>
        <v>0.89789943490965196</v>
      </c>
      <c r="F75" s="1">
        <f t="shared" si="23"/>
        <v>1</v>
      </c>
      <c r="G75" s="1">
        <f t="shared" si="24"/>
        <v>0</v>
      </c>
      <c r="H75" s="1">
        <f t="shared" si="25"/>
        <v>0</v>
      </c>
      <c r="J75">
        <v>30</v>
      </c>
      <c r="K75">
        <v>36</v>
      </c>
      <c r="L75">
        <v>14</v>
      </c>
      <c r="M75">
        <v>16</v>
      </c>
      <c r="N75">
        <f xml:space="preserve"> 0.08938721184517 * B1 - 0.0000576855193751046 * B2 - 0.000102354184454225 * B3 + 0.00232321861675842 * LN(B1) + 1.04964010894416 * LN(B2) + 0.661851373766533 * LN(B3) - 0.0296463100211976 * B1^-5 + 0.0338442846162152 * B1^-4 - 1721.08274102571 * (B1*B2)^-1 + 627.234755362522 * (B1*B3)^-1 + 6.96317167731758E-07 * B1*B2 - 5.18358319778306E-06 * B1*B3 + 1.7731619897543E-09 * B2*B3 + 0.693783561864327 * (B2/B3)^-4 + 0.000855165664774888 * (B3/B2)^-4 + 695.388189142472 * (B2/B1)^-1 - 878.641386468304 * (B3/B1)^-1 - 13.7944048966834</f>
        <v>0.95462002874867657</v>
      </c>
      <c r="O75" s="1">
        <f t="shared" si="26"/>
        <v>1</v>
      </c>
      <c r="P75" s="1">
        <f t="shared" si="27"/>
        <v>0</v>
      </c>
      <c r="Q75" s="1">
        <f t="shared" si="28"/>
        <v>0</v>
      </c>
      <c r="S75" s="1">
        <v>30</v>
      </c>
      <c r="T75" s="1">
        <v>36</v>
      </c>
      <c r="U75" s="1">
        <v>14</v>
      </c>
      <c r="V75" s="1">
        <v>16</v>
      </c>
      <c r="W75" s="1">
        <f xml:space="preserve">  - 54.4700765274883 * B1 - 0.0810580532653741 * B2 - 0.0518373400916111 * B3 - 6.69261673953504 * LN(B1) + 259.513778531866 * LN(B2) + 29.1433704968899 * LN(B3) - 101.358461049468 * B1^-5 + 152.561851774701 * B1^-4 - 0.977457454962632 * B1^-3 - 183.283976183414 * B1^-1 - 25864584.5229164 * B2^-1 + 7.0409786422164E-07 * B2^2 - 3991241.35135889 * (B1*B2)^-1 + 559688.106456499 * (B1*B3)^-1 + 0.000242917363117403 * B1*B2 + 0.00159930862364094 * B1*B3 + 8.4189702954168E-07 * B2*B3 - 6.97313713006803E-08 * (B1/B2)^-2 - 4.785885830259E-08 * (B1/B3)^-2 + 0.00712356524029083 * (B1/B2)^-1 + 0.00474662430774721 * (B1/B3)^-1 + 165586.978414451 * (B2/B1)^-1 + 711.051508471592 * (B2/B3)^-1 + 276781.740830974 * (B3/B1)^-1</f>
        <v>249.38113626757001</v>
      </c>
      <c r="X75" s="1">
        <f t="shared" si="29"/>
        <v>1</v>
      </c>
      <c r="Y75" s="1">
        <f t="shared" si="30"/>
        <v>0</v>
      </c>
      <c r="Z75" s="1">
        <f t="shared" si="31"/>
        <v>0</v>
      </c>
    </row>
    <row r="76" spans="1:26" x14ac:dyDescent="0.25">
      <c r="A76" s="1">
        <v>30</v>
      </c>
      <c r="B76" s="1">
        <v>36</v>
      </c>
      <c r="C76" s="1">
        <v>16</v>
      </c>
      <c r="D76" s="1">
        <v>18</v>
      </c>
      <c r="E76" s="1">
        <f xml:space="preserve"> 0.32531553119684 * B1 + 0.000248769620509306 * B2 + 0.000378394945329059 * B3 - 0.364987548603692 * LN(B1) - 2.76464112917712 * LN(B2) + 1.9703146531991 * LN(B3) + 6.63342171922717 * B1^-5 - 13.0830326305208 * B1^-4 + 7.51906830890872 * B1^-3 + 46709.3561900335 * B3^-1 - 3.24384245931212E-07 * B1^4 - 37928.2589615564 * (B1*B2)^-1 - 817.706301744865 * (B1*B3)^-1 + 4.61621415761445E-07 * B1*B2 - 0.000012178398929789 * B1*B3 - 1.0291592076336E-08 * B2*B3 - 2.19245092568177 * (B2/B3)^-4 - 0.00942418439082724 * (B3/B2)^-4 - 1.01554033025106E-10 * (B1/B2)^-2 - 0.0000188235676376095 * (B1/B2)^-1 + 854.518491109189 * (B2/B1)^-1 - 2521.75296910662 * (B3/B1)^-1</f>
        <v>0.89072765261400577</v>
      </c>
      <c r="F76" s="1">
        <f t="shared" si="23"/>
        <v>1</v>
      </c>
      <c r="G76" s="1">
        <f t="shared" si="24"/>
        <v>1</v>
      </c>
      <c r="H76" s="1">
        <f t="shared" si="25"/>
        <v>0.89072765261400577</v>
      </c>
      <c r="J76">
        <v>30</v>
      </c>
      <c r="K76">
        <v>36</v>
      </c>
      <c r="L76">
        <v>16</v>
      </c>
      <c r="M76">
        <v>18</v>
      </c>
      <c r="N76">
        <f xml:space="preserve"> 0.396683570088923 * B1 - 0.0000476515392510939 * B2 - 0.000144635411369015 * B3 - 0.181032492375975 * LN(B1) - 1.77794057126465 * LN(B2) + 0.665988902936912 * LN(B3) - 7.18795024242344 * B1^-5 + 17.5638112630784 * B1^-4 - 16.4112287493389 * B1^-3 + 7.92078334207726 * B1^-2 - 54764.4542768642 * B2^-1 - 20885.0914134368 * (B1*B2)^-1 - 8429.23874888936 * (B1*B3)^-1 + 7.68784766570656E-07 * B1*B2 - 0.000014850765894574 * B1*B3 + 3.25873299023769E-09 * B2*B3 + 1.02386724177478 * (B2/B3)^-4 + 0.00248534693979817 * (B3/B2)^-4 + 3.52804694422367E-10 * (B1/B3)^-2 - 0.0000175038428392102 * (B1/B2)^-1 - 0.0000508687654494059 * (B1/B3)^-1 + 764.615457457829 * (B2/B1)^-1 - 3318.2681025243 * (B3/B1)^-1 + 17.3215981005483</f>
        <v>0.95096434325042267</v>
      </c>
      <c r="O76" s="1">
        <f t="shared" si="26"/>
        <v>1</v>
      </c>
      <c r="P76" s="1">
        <f t="shared" si="27"/>
        <v>1</v>
      </c>
      <c r="Q76" s="1">
        <f t="shared" si="28"/>
        <v>0.95096434325042267</v>
      </c>
      <c r="S76" s="1">
        <v>30</v>
      </c>
      <c r="T76" s="1">
        <v>36</v>
      </c>
      <c r="U76" s="1">
        <v>16</v>
      </c>
      <c r="V76" s="1">
        <v>18</v>
      </c>
      <c r="W76" s="1">
        <f xml:space="preserve">  - 181.570456499434 * B1 - 0.0138013410386222 * B2 - 0.392028878398435 * B3 + 6.12257944479492 * LN(B1) - 3652.96079239908 * LN(B2) + 4467.87819601047 * LN(B3) + 1008.72240669519 * B1^-5 - 2504.52240259709 * B1^-4 + 2387.83512995448 * B1^-3 - 1053.38866169985 * B1^-2 - 109317368.498632 * B2^-1 + 30864101.0284854 * B3^-1 - 11029362.7536345 * (B1*B2)^-1 + 4333195.54264295 * (B1*B3)^-1 + 0.00016786433056442 * B1*B2 + 0.00580462567389767 * B1*B3 + 4.23451205459623E-06 * B2*B3 - 1869.34072179801 * (B2/B3)^-4 - 6.22433949643276E-08 * (B1/B2)^-2 - 1.72983782701948E-07 * (B1/B3)^-2 + 3977.05010151534 * (B2/B3)^-2 + 0.0244522407267535 * (B1/B3)^-1 + 1354257.92963255 * (B3/B1)^-1</f>
        <v>250.91562540189372</v>
      </c>
      <c r="X76" s="1">
        <f t="shared" si="29"/>
        <v>1</v>
      </c>
      <c r="Y76" s="1">
        <f t="shared" si="30"/>
        <v>1</v>
      </c>
      <c r="Z76" s="1">
        <f t="shared" si="31"/>
        <v>250.91562540189372</v>
      </c>
    </row>
    <row r="77" spans="1:26" x14ac:dyDescent="0.25">
      <c r="A77" s="1">
        <v>30</v>
      </c>
      <c r="B77" s="1">
        <v>36</v>
      </c>
      <c r="C77" s="1">
        <v>18</v>
      </c>
      <c r="D77" s="1">
        <v>20</v>
      </c>
      <c r="E77" s="1">
        <f xml:space="preserve"> 0.345410441710534 * B1 + 2.13444945224718E-06 * B2 + 0.0000888675161605979 * B3 + 0.0640243922309824 * LN(B1) + 1.9258663747548 * LN(B2) - 1.62130650589594 * LN(B3) + 9.00441922350957 * B1^-5 - 21.4045187173367 * B1^-4 + 19.0244967254939 * B1^-3 - 7.87924083022191 * B1^-2 - 44561.6963033085 * B3^-1 - 37912.7661639104 * (B1*B2)^-1 + 22890.2459527937 * (B1*B3)^-1 + 0.0000016887066449804 * B1*B2 - 0.0000152300604622416 * B1*B3 - 4.47121753841734E-09 * B2*B3 - 0.73216353277383 * (B2/B3)^-4 - 2.46491198224917E-10 * (B1/B2)^-2 - 8.13858441474965E-10 * (B1/B3)^-2 - 1.93292080339233E-06 * (B1/B2)^-1 + 0.00011167239240649 * (B1/B3)^-1 + 2170.50585168792 * (B2/B1)^-1 - 3684.37265306192 * (B3/B1)^-1</f>
        <v>0.88888460103934097</v>
      </c>
      <c r="F77" s="1">
        <f t="shared" si="23"/>
        <v>1</v>
      </c>
      <c r="G77" s="1">
        <f>IF(AND($C$3&gt;=C77,$C$3&lt;=D77),1,0)</f>
        <v>0</v>
      </c>
      <c r="H77" s="1">
        <f t="shared" si="25"/>
        <v>0</v>
      </c>
      <c r="J77">
        <v>30</v>
      </c>
      <c r="K77">
        <v>36</v>
      </c>
      <c r="L77">
        <v>18</v>
      </c>
      <c r="M77">
        <v>20</v>
      </c>
      <c r="N77">
        <f xml:space="preserve"> 1.04985274187252 * B1 - 0.0000589376891174454 * B2 - 0.0000246091098515684 * B3 - 0.364401122419669 * LN(B1) + 1.03415668639016 * LN(B2) - 0.777935289521685 * LN(B3) - 11.1647260508463 * B1^-5 + 27.8614836338462 * B1^-4 - 26.9193561799957 * B1^-3 + 13.6478252963997 * B1^-2 + 506.909033938419 * B3^-1 - 37780.4578183665 * (B1*B2)^-1 - 16877.8062571764 * (B1*B3)^-1 + 1.32976157721376E-06 * B1*B2 - 0.0000339691360562523 * B1*B3 + 2.09739310069508E-09 * B2*B3 + 0.844966573072681 * (B2/B3)^-4 + 5.23034853009479E-10 * (B1/B3)^-2 - 0.0000333108765072954 * (B1/B2)^-1 - 0.0000856147531739814 * (B1/B3)^-1 + 1509.53713700596 * (B2/B1)^-1 - 9519.63166388214 * (B3/B1)^-1</f>
        <v>0.94857007411428329</v>
      </c>
      <c r="O77" s="1">
        <f t="shared" si="26"/>
        <v>1</v>
      </c>
      <c r="P77" s="1">
        <f>IF(AND($C$3&gt;=L77,$C$3&lt;=M77),1,0)</f>
        <v>0</v>
      </c>
      <c r="Q77" s="1">
        <f t="shared" si="28"/>
        <v>0</v>
      </c>
      <c r="S77" s="1">
        <v>30</v>
      </c>
      <c r="T77" s="1">
        <v>36</v>
      </c>
      <c r="U77" s="1">
        <v>18</v>
      </c>
      <c r="V77" s="1">
        <v>20</v>
      </c>
      <c r="W77" s="1">
        <f xml:space="preserve">  - 823.387605689164 * B1 - 0.240000629622129 * B2 - 1.02782949686956 * B3 + 177.476150005268 * LN(B1) + 1504.1504405441 * LN(B2) - 68.3986480579727 * LN(B3) + 11494.2752302535 * B1^-5 - 27630.1674517143 * B1^-4 + 25085.3347853735 * B1^-3 - 11270.610461352 * B1^-2 - 256939105.987922 * B2^-1 - 13697779.9359767 * (B1*B2)^-1 + 27545031.8407662 * (B1*B3)^-1 + 0.000492737511012796 * B1*B2 + 0.0232887135761423 * B1*B3 + 0.0000142289232562301 * B2*B3 - 1793.54409916542 * (B2/B3)^-4 - 8.7086920217006E-08 * (B1/B2)^-2 - 7.52971081790237E-07 * (B1/B3)^-2 + 0.1216668375792 * (B1/B3)^-1 + 19337.2551325786 * (B2/B3)^-1 + 7000864.63102979 * (B3/B1)^-1</f>
        <v>255.24416862964904</v>
      </c>
      <c r="X77" s="1">
        <f t="shared" si="29"/>
        <v>1</v>
      </c>
      <c r="Y77" s="1">
        <f>IF(AND($C$3&gt;=U77,$C$3&lt;=V77),1,0)</f>
        <v>0</v>
      </c>
      <c r="Z77" s="1">
        <f t="shared" si="31"/>
        <v>0</v>
      </c>
    </row>
    <row r="78" spans="1:26" x14ac:dyDescent="0.25">
      <c r="A78" s="1">
        <v>36</v>
      </c>
      <c r="B78" s="1">
        <v>42</v>
      </c>
      <c r="C78" s="1">
        <v>11</v>
      </c>
      <c r="D78" s="1">
        <v>14</v>
      </c>
      <c r="E78" s="1">
        <f xml:space="preserve">  - 0.0848472708288065 * B1 + 0.000910421693680604 * B2 - 0.000563843294468034 * B3 - 0.00521997950990398 * LN(B1) - 15.1521806429772 * LN(B2) + 14.4593097563839 * LN(B3) + 0.156632230462142 * B1^-5 - 0.345239815226344 * B1^-4 + 0.260562297694044 * B1^-3 - 0.0430236644412211 * B1^-2 + 88380.405524263 * B3^-1 - 5.41994357356823E-09 * B2^2 + 1.06499443779293E-08 * B3^2 + 1262.60671860284 * (B1*B3)^-1 + 1.91137557079271E-06 * B1*B2 - 3.36652934811246E-06 * B1*B3 - 8.06076769501585E-09 * B2*B3 - 8.46668038059843 * (B2/B3)^-4 - 0.00611103324559485 * (B3/B2)^-3 - 1.57670601646732E-10 * (B1/B3)^-2 - 9.50301575387352E-06 * (B1/B2)^-1 + 0.0000152405092871256 * (B1/B3)^-1 + 3040.21480969681 * (B2/B1)^-1 - 352.650137678618 * (B3/B1)^-1</f>
        <v>0.66804301345220474</v>
      </c>
      <c r="F78" s="1">
        <f t="shared" si="23"/>
        <v>0</v>
      </c>
      <c r="G78" s="1">
        <f t="shared" si="24"/>
        <v>0</v>
      </c>
      <c r="H78" s="1">
        <f t="shared" si="25"/>
        <v>0</v>
      </c>
      <c r="J78">
        <v>36</v>
      </c>
      <c r="K78">
        <v>42</v>
      </c>
      <c r="L78">
        <v>11</v>
      </c>
      <c r="M78">
        <v>14</v>
      </c>
      <c r="N78">
        <f xml:space="preserve"> 0.0226058818479709 * B1 - 0.0000102419633171963 * B2 - 0.0000705066268355436 * B3 + 0.00357144934561386 * LN(B1) + 1.34573058326897 * LN(B3) + 0.0141320108723097 * B1^-5 - 0.0172190206651549 * B1^-4 + 6352.46093907151 * B3^-1 + 100.99293286093 * (B1*B3)^-1 + 2.90558484372334E-08 * B1*B2 - 1.14479065585177E-06 * B1*B3 + 4.6270710656886E-10 * B2*B3 - 128.360982111397 * (B3/B1)^-1 + 0.0542804509690572 * (B3/B2)^-1 - 11.3486703521723</f>
        <v>0.94487799920660009</v>
      </c>
      <c r="O78" s="1">
        <f t="shared" si="26"/>
        <v>0</v>
      </c>
      <c r="P78" s="1">
        <f t="shared" si="27"/>
        <v>0</v>
      </c>
      <c r="Q78" s="1">
        <f t="shared" si="28"/>
        <v>0</v>
      </c>
      <c r="S78" s="1">
        <v>36</v>
      </c>
      <c r="T78" s="1">
        <v>42</v>
      </c>
      <c r="U78" s="1">
        <v>11</v>
      </c>
      <c r="V78" s="1">
        <v>14</v>
      </c>
      <c r="W78" s="1">
        <f xml:space="preserve"> 1.33768519441653 * B1 - 0.214170280940141 * B2 + 0.133553324458159 * B3 + 0.592733165310391 * LN(B1) + 3358.86334261323 * LN(B2) - 3135.34430113821 * LN(B3) + 465.133065600514 * B1^-5 - 1140.10073911016 * B1^-4 + 1076.14080717895 * B1^-3 - 521.576154499228 * B1^-2 - 20517705.2115328 * B3^-1 + 1.31828780540865E-06 * B2^2 - 2.78195095428462E-06 * B3^2 + 48770.7028352376 * (B1*B3)^-1 - 0.000218714375368509 * B1*B2 + 0.000629534062741724 * B1*B3 + 1.91481459180142E-06 * B2*B3 + 1253.40327588678 * (B2/B3)^-4 - 0.720560669575508 * (B3/B2)^-4 + 6.19033032395032 * (B3/B2)^-3 - 1.28059627585311E-08 * (B1/B2)^-2 + 0.00470477777964371 * (B1/B2)^-1 - 240136.930386151 * (B2/B1)^-1 + 71731.8095489558 * (B3/B1)^-1 + 0.000319206565403996 * B3/B1</f>
        <v>270.59347172520711</v>
      </c>
      <c r="X78" s="1">
        <f t="shared" si="29"/>
        <v>0</v>
      </c>
      <c r="Y78" s="1">
        <f t="shared" si="30"/>
        <v>0</v>
      </c>
      <c r="Z78" s="1">
        <f t="shared" si="31"/>
        <v>0</v>
      </c>
    </row>
    <row r="79" spans="1:26" x14ac:dyDescent="0.25">
      <c r="A79" s="1">
        <v>36</v>
      </c>
      <c r="B79" s="1">
        <v>42</v>
      </c>
      <c r="C79" s="1">
        <v>14</v>
      </c>
      <c r="D79" s="1">
        <v>16</v>
      </c>
      <c r="E79" s="1">
        <f xml:space="preserve"> 0.0576624955047573 * B1 + 0.00141875522451718 * B2 + 0.0000212598138077774 * B3 + 0.04770739220031 * LN(B1) - 24.4932189361037 * LN(B2) + 21.9125932911519 * LN(B3) + 3.25153289754574 * B1^-5 - 7.82271481473193 * B1^-4 + 7.10778306229186 * B1^-3 - 3.19825262878851 * B1^-2 + 206077.920821444 * B3^-1 - 7.46096219397507E-09 * B2^2 + 6237.74279348614 * (B1*B3)^-1 + 1.26312062773545E-06 * B1*B2 - 6.92973125739987E-06 * B1*B3 - 1.47664818388125E-08 * B2*B3 - 10.1568725082145 * (B2/B3)^-4 - 0.00438657694817981 * (B3/B2)^-4 - 4.19033852686327E-10 * (B1/B3)^-2 - 7.34002564612734E-06 * (B1/B2)^-1 + 0.0000498431305755529 * (B1/B3)^-1 + 2362.80013593282 * (B2/B1)^-1 - 1061.703413129 * (B3/B1)^-1</f>
        <v>0.75926078144884235</v>
      </c>
      <c r="F79" s="1">
        <f t="shared" si="23"/>
        <v>0</v>
      </c>
      <c r="G79" s="1">
        <f t="shared" si="24"/>
        <v>0</v>
      </c>
      <c r="H79" s="1">
        <f t="shared" si="25"/>
        <v>0</v>
      </c>
      <c r="J79">
        <v>36</v>
      </c>
      <c r="K79">
        <v>42</v>
      </c>
      <c r="L79">
        <v>14</v>
      </c>
      <c r="M79">
        <v>16</v>
      </c>
      <c r="N79">
        <f xml:space="preserve"> 0.109869089717391 * B1 - 0.0000425090783333306 * B2 - 0.0000978233397496784 * B3 + 0.0140260257194561 * LN(B1) + 1.29169462856662 * LN(B3) + 0.0167681500240187 * B1^-5 - 0.0305009769756376 * B1^-3 + 530.99495406028 * (B1*B3)^-1 + 1.04879320587989E-07 * B1*B2 - 4.42937673162948E-06 * B1*B3 + 1.59492853704772E-09 * B2*B3 - 758.69648931173 * (B3/B1)^-1 + 0.275114799648942 * (B3/B2)^-1 - 9.99045685162203</f>
        <v>0.94244810132294354</v>
      </c>
      <c r="O79" s="1">
        <f t="shared" si="26"/>
        <v>0</v>
      </c>
      <c r="P79" s="1">
        <f t="shared" si="27"/>
        <v>0</v>
      </c>
      <c r="Q79" s="1">
        <f t="shared" si="28"/>
        <v>0</v>
      </c>
      <c r="S79" s="1">
        <v>36</v>
      </c>
      <c r="T79" s="1">
        <v>42</v>
      </c>
      <c r="U79" s="1">
        <v>14</v>
      </c>
      <c r="V79" s="1">
        <v>16</v>
      </c>
      <c r="W79" s="1">
        <f xml:space="preserve">  - 68.4456579606785 * B1 - 0.516629765119359 * B2 - 0.0645295601297069 * B3 - 12.3445868631086 * LN(B1) + 9251.45000719362 * LN(B2) - 8144.95258413176 * LN(B3) + 4.8765174192005 * B1^-5 - 211.978498229374 * B1^-1 - 83745239.7696073 * B3^-1 + 2.50875640409919E-06 * B2^2 + 438285.405110812 * (B1*B3)^-1 + 7.62228953262474E-06 * B1*B2 + 0.00259305612187702 * B1*B3 + 0.0000059801720073119 * B2*B3 + 4451.32083415768 * (B2/B3)^-4 + 1.96839633195473 * (B3/B2)^-4 - 1.09821797310787E-08 * (B1/B2)^-2 + 0.00444628949362607 * (B1/B2)^-1 + 0.00229412546436461 * (B1/B3)^-1 + 459506.128994161 * (B3/B1)^-1</f>
        <v>311.2234155730734</v>
      </c>
      <c r="X79" s="1">
        <f t="shared" si="29"/>
        <v>0</v>
      </c>
      <c r="Y79" s="1">
        <f t="shared" si="30"/>
        <v>0</v>
      </c>
      <c r="Z79" s="1">
        <f t="shared" si="31"/>
        <v>0</v>
      </c>
    </row>
    <row r="80" spans="1:26" x14ac:dyDescent="0.25">
      <c r="A80" s="1">
        <v>36</v>
      </c>
      <c r="B80" s="1">
        <v>42</v>
      </c>
      <c r="C80" s="1">
        <v>16</v>
      </c>
      <c r="D80" s="1">
        <v>18</v>
      </c>
      <c r="E80" s="1">
        <f xml:space="preserve"> 0.244230864724587 * B1 + 0.00138918844827276 * B2 - 2.49781816719006E-06 * B3 - 0.127983633573791 * LN(B1) - 23.0488084634878 * LN(B2) + 20.4240000305588 * LN(B3) + 2.52578756564108 * B1^-5 - 5.07082961741233 * B1^-4 + 3.13598690328235 * B1^-3 + 210106.658247515 * B3^-1 - 7.75291999324888E-09 * B2^2 - 13199.2574979617 * (B1*B3)^-1 + 0.0000015155651874282 * B1*B2 - 0.0000127593219954453 * B1*B3 - 1.27927038057934E-08 * B2*B3 - 5.44990114761413 * (B2/B3)^-4 - 0.005716592208199 * (B3/B2)^-4 - 1.0042324755657E-10 * (B1/B2)^-2 - 7.33415094146621E-10 * (B1/B3)^-2 + 6.33895218821816E-06 * (B1/B2)^-1 + 2667.71505857881 * (B2/B1)^-1 - 2718.69099717527 * (B3/B1)^-1</f>
        <v>0.8764829431913016</v>
      </c>
      <c r="F80" s="1">
        <f t="shared" si="23"/>
        <v>0</v>
      </c>
      <c r="G80" s="1">
        <f t="shared" si="24"/>
        <v>1</v>
      </c>
      <c r="H80" s="1">
        <f t="shared" si="25"/>
        <v>0</v>
      </c>
      <c r="J80">
        <v>36</v>
      </c>
      <c r="K80">
        <v>42</v>
      </c>
      <c r="L80">
        <v>16</v>
      </c>
      <c r="M80">
        <v>18</v>
      </c>
      <c r="N80">
        <f xml:space="preserve"> 0.378657184540706 * B1 - 0.000015796625122448 * B2 - 5.06647225872678E-06 * B3 + 0.0486809458750886 * LN(B1) + 0.0873727412852183 * LN(B2) - 0.0114810583422338 * LN(B3) + 0.211342708272984 * B1^-5 - 0.254889667878423 * B1^-4 + 4701.38223063336 * B3^-1 + 2066.1002727296 * (B1*B3)^-1 + 2.55884685563746E-07 * B1*B2 - 0.0000131337267952168 * B1*B3 + 7.77220520312659E-10 * B2*B3 - 2966.671899654 * (B3/B1)^-1</f>
        <v>0.94213516216049942</v>
      </c>
      <c r="O80" s="1">
        <f t="shared" si="26"/>
        <v>0</v>
      </c>
      <c r="P80" s="1">
        <f t="shared" si="27"/>
        <v>1</v>
      </c>
      <c r="Q80" s="1">
        <f t="shared" si="28"/>
        <v>0</v>
      </c>
      <c r="S80" s="1">
        <v>36</v>
      </c>
      <c r="T80" s="1">
        <v>42</v>
      </c>
      <c r="U80" s="1">
        <v>16</v>
      </c>
      <c r="V80" s="1">
        <v>18</v>
      </c>
      <c r="W80" s="1">
        <f xml:space="preserve">  - 333.904946427284 * B1 - 1.36154536889914 * B2 - 0.301069836250723 * B3 - 17.7778340833105 * LN(B1) + 30896.7449278818 * LN(B2) - 28162.9044217074 * LN(B3) - 105.446591268446 * B1^-5 + 146.29534486627 * B1^-4 - 273507531.529447 * B3^-1 + 5.55666707177654E-06 * B2^2 + 0.0000141347645287183 * B1^4 - 2522829.43899013 * (B1*B3)^-1 + 0.00104262142547418 * B1*B2 + 0.00866111594303934 * B1*B3 + 0.0000170787637056676 * B2*B3 - 49854.1556447393 * (B2/B3)^-4 + 52348.4906137454 * (B2/B3)^-3 - 1.35744628130184E-08 * (B1/B2)^-2 - 1.56546290886304E-07 * (B1/B3)^-2 + 0.00464981283058835 * (B1/B2)^-1 + 1258338.29458445 * (B2/B1)^-1 + 1995220.95601274 * (B3/B1)^-1</f>
        <v>197.30048551984481</v>
      </c>
      <c r="X80" s="1">
        <f t="shared" si="29"/>
        <v>0</v>
      </c>
      <c r="Y80" s="1">
        <f t="shared" si="30"/>
        <v>1</v>
      </c>
      <c r="Z80" s="1">
        <f t="shared" si="31"/>
        <v>0</v>
      </c>
    </row>
    <row r="81" spans="1:26" x14ac:dyDescent="0.25">
      <c r="A81" s="1">
        <v>36</v>
      </c>
      <c r="B81" s="1">
        <v>42</v>
      </c>
      <c r="C81" s="1">
        <v>18</v>
      </c>
      <c r="D81" s="1">
        <v>20</v>
      </c>
      <c r="E81" s="1">
        <f xml:space="preserve">  - 0.399399923262442 * B1 - 0.000745768265781089 * B2 - 0.000557537306211213 * B3 + 1.22773322673057 * LN(B1) + 8.13800450992817 * LN(B2) - 5.17766813965338 * LN(B3) - 15.1953196060519 * B1^-5 + 30.0159416542895 * B1^-4 - 16.8126058448151 * B1^-3 - 312907.5901945 * B3^-1 + 0.00192946829586539 * B1^2 + 22131.4468711372 * (B1*B3)^-1 + 4.34518113823871E-06 * B1*B2 - 3.10249474031773E-06 * B1*B3 + 1.16211450938152E-08 * B2*B3 - 2.17247440393627E-10 * (B1/B2)^-2 - 1.81241914113508E-09 * (B1/B3)^-2 + 0.0000244345817974819 * (B1/B2)^-1 + 0.000179724859353381 * (B1/B3)^-1 + 6059.57999192275 * (B2/B1)^-1 + 5.30674281058792 * (B3/B2)^-1</f>
        <v>0.83271565557183536</v>
      </c>
      <c r="F81" s="1">
        <f t="shared" si="23"/>
        <v>0</v>
      </c>
      <c r="G81" s="1">
        <f>IF(AND($C$3&gt;=C81,$C$3&lt;=D81),1,0)</f>
        <v>0</v>
      </c>
      <c r="H81" s="1">
        <f t="shared" si="25"/>
        <v>0</v>
      </c>
      <c r="J81">
        <v>36</v>
      </c>
      <c r="K81">
        <v>42</v>
      </c>
      <c r="L81">
        <v>18</v>
      </c>
      <c r="M81">
        <v>20</v>
      </c>
      <c r="N81">
        <f xml:space="preserve"> 1.28317299594739 * B1 + 0.000542720463054718 * B2 - 0.00011553797516716 * B3 - 0.300546561456496 * LN(B1) - 10.837976507371 * LN(B2) + 9.76110229413472 * LN(B3) - 10.7788728112309 * B1^-5 + 27.2375249641257 * B1^-4 - 26.6755703952757 * B1^-3 + 13.3671005337974 * B1^-2 + 127581.468706049 * B3^-1 - 3.44001214754111E-09 * B2^2 - 30210.3282221857 * (B1*B3)^-1 + 6.92122581793539E-07 * B1*B2 - 0.0000391711417983023 * B1*B3 - 0.712222129331131 * (B2/B3)^-4 + 1.1187981391503E-09 * (B1/B3)^-2 - 7.98876706531605E-07 * (B1/B2)^-1 - 0.000156002826262049 * (B1/B3)^-1 - 11158.9197234148 * (B3/B1)^-1 + 430.492847462419 * B1/B2</f>
        <v>0.97736145704764554</v>
      </c>
      <c r="O81" s="1">
        <f t="shared" si="26"/>
        <v>0</v>
      </c>
      <c r="P81" s="1">
        <f>IF(AND($C$3&gt;=L81,$C$3&lt;=M81),1,0)</f>
        <v>0</v>
      </c>
      <c r="Q81" s="1">
        <f t="shared" si="28"/>
        <v>0</v>
      </c>
      <c r="S81" s="1">
        <v>36</v>
      </c>
      <c r="T81" s="1">
        <v>42</v>
      </c>
      <c r="U81" s="1">
        <v>18</v>
      </c>
      <c r="V81" s="1">
        <v>20</v>
      </c>
      <c r="W81" s="1">
        <f xml:space="preserve">  - 1525.76217349541 * B1 - 4.13274682576319 * B2 - 1.31402152190697 * B3 - 19.0413494137413 * LN(B1) + 104889.378540307 * LN(B2) - 96188.1505202947 * LN(B3) - 1007846023.63725 * B3^-1 + 0.167797533842115 * B1^2 + 0.0000143552904358875 * B2^2 + 0.00409375605670331 * B1*B2 + 0.0353367113501388 * B1*B3 + 0.0000545809724222145 * B2*B3 - 40690.0385503497 * (B2/B3)^-4 + 77314.4770778105 * (B2/B3)^-2 + 5064010.31299954 * (B2/B1)^-1 + 10846319.4184685 * (B3/B1)^-1</f>
        <v>170.35953921292958</v>
      </c>
      <c r="X81" s="1">
        <f t="shared" si="29"/>
        <v>0</v>
      </c>
      <c r="Y81" s="1">
        <f>IF(AND($C$3&gt;=U81,$C$3&lt;=V81),1,0)</f>
        <v>0</v>
      </c>
      <c r="Z81" s="1">
        <f t="shared" si="31"/>
        <v>0</v>
      </c>
    </row>
    <row r="82" spans="1:26" x14ac:dyDescent="0.25">
      <c r="A82" s="1">
        <v>42</v>
      </c>
      <c r="B82" s="1">
        <v>48</v>
      </c>
      <c r="C82" s="1">
        <v>11</v>
      </c>
      <c r="D82" s="1">
        <v>14</v>
      </c>
      <c r="E82" s="1">
        <f xml:space="preserve">  - 0.329504715013038 * B1 + 0.00188217085713873 * B2 + 0.00185470755780366 * B3 - 0.113111177399936 * LN(B1) - 44.3694908322247 * LN(B2) + 2.86370949787906 * B1^-5 - 5.26897553695361 * B1^-4 + 2.48893420351268 * B1^-3 - 1.08732974015842E-08 * B2^2 - 1.82667723112927E-08 * B3^2 + 7017.32114065981 * (B1*B3)^-1 + 4.37870731238972E-06 * B1*B2 - 0.0000033344482026445 * B1*B3 - 1.33388061252973E-08 * B2*B3 - 29.0694858373427 * (B2/B3)^-4 + 2.84069139270214E-10 * (B1/B2)^-2 - 6.40420386200609E-10 * (B1/B3)^-2 + 43.0120160681619 * (B2/B3)^-2 - 0.0000565635081845994 * (B1/B2)^-1 + 0.0000752439753043108 * (B1/B3)^-1 + 8942.1503446669 * (B2/B1)^-1 - 58.1796548066604 * (B2/B3)^-1 - 298.117130160483 * (B3/B1)^-1 + 414.07825164316</f>
        <v>0.48385665736088868</v>
      </c>
      <c r="F82" s="1">
        <f t="shared" si="23"/>
        <v>0</v>
      </c>
      <c r="G82" s="1">
        <f t="shared" si="24"/>
        <v>0</v>
      </c>
      <c r="H82" s="1">
        <f t="shared" si="25"/>
        <v>0</v>
      </c>
      <c r="J82">
        <v>42</v>
      </c>
      <c r="K82">
        <v>18</v>
      </c>
      <c r="L82">
        <v>11</v>
      </c>
      <c r="M82">
        <v>14</v>
      </c>
      <c r="N82">
        <f xml:space="preserve">  - 0.00794508056197389 * B1 + 0.000128583934520326 * B2 + 0.0000117529964743701 * B3 - 0.00744148223605005 * LN(B1) - 2.6908720228027 * LN(B2) + 0.690764309143903 * LN(B3) + 0.343292131260868 * B1^-5 - 0.641522809669704 * B1^-4 + 0.33305185390995 * B1^-3 + 6169.12531130759 * B3^-1 - 6.93276195465995E-10 * B2^2 - 23.6609550926531 * (B1*B3)^-1 + 2.93812989511063E-07 * B1*B2 - 8.51143250132238E-07 * B1*B3 - 5.50896537775417E-10 * B2*B3 - 2.13307508520556 * (B2/B3)^-4 - 0.0000374257384268335 * (B3/B2)^-4 - 1.06384859158609E-06 * (B1/B2)^-1 - 7.03384493353985E-07 * (B1/B3)^-1 + 577.451516046102 * (B2/B1)^-1 - 96.2655251499353 * (B3/B1)^-1 + 18.6158080848126</f>
        <v>0.85411836732887636</v>
      </c>
      <c r="O82" s="1">
        <f t="shared" si="26"/>
        <v>0</v>
      </c>
      <c r="P82" s="1">
        <f t="shared" si="27"/>
        <v>0</v>
      </c>
      <c r="Q82" s="1">
        <f t="shared" si="28"/>
        <v>0</v>
      </c>
      <c r="S82" s="1">
        <v>42</v>
      </c>
      <c r="T82" s="1">
        <v>48</v>
      </c>
      <c r="U82" s="1">
        <v>11</v>
      </c>
      <c r="V82" s="1">
        <v>14</v>
      </c>
      <c r="W82" s="1">
        <f xml:space="preserve">  - 4.34052905459755 * B1 - 1.71100351317818 * B2 + 2.26172095499906 * B3 + 5.94029103355394 * LN(B1) + 42636.2211429383 * LN(B2) - 44228.542571851 * LN(B3) - 774.915102449738 * B1^-5 + 1464.13952945449 * B1^-4 - 780.974248926785 * B1^-3 - 190175107.839059 * B3^-1 + 8.62440252481228E-06 * B2^2 - 0.0000395474744355145 * B3^2 - 2659477.60389633 * (B1*B3)^-1 + 0.00033366937260174 * B1*B3 + 0.0000115235647638468 * B2*B3 - 11557.7162873823 * (B2/B3)^-4 + 0.014214045992497 * (B1/B2)^-1 - 0.0180173614997694 * (B1/B3)^-1 + 24904.2008826775 * (B2/B3)^-1</f>
        <v>-304.34793777442974</v>
      </c>
      <c r="X82" s="1">
        <f t="shared" si="29"/>
        <v>0</v>
      </c>
      <c r="Y82" s="1">
        <f t="shared" si="30"/>
        <v>0</v>
      </c>
      <c r="Z82" s="1">
        <f t="shared" si="31"/>
        <v>0</v>
      </c>
    </row>
    <row r="83" spans="1:26" x14ac:dyDescent="0.25">
      <c r="A83" s="1">
        <v>42</v>
      </c>
      <c r="B83" s="1">
        <v>48</v>
      </c>
      <c r="C83" s="1">
        <v>14</v>
      </c>
      <c r="D83" s="1">
        <v>16</v>
      </c>
      <c r="E83" s="1">
        <f xml:space="preserve">  - 0.294555936577204 * B1 - 0.000435522817277965 * B2 + 0.00335526610352302 * B3 + 0.128359562382349 * LN(B1) + 20.8356306727984 * LN(B2) - 25.1790253679317 * LN(B3) + 7.46428290340461 * B1^-5 - 18.0960747559309 * B1^-4 + 16.6121087988324 * B1^-3 - 7.88262715876927 * B1^-2 - 6.3766042347247E-08 * B3^2 + 21122.4386226847 * (B1*B3)^-1 + 3.48449833708096E-06 * B1*B2 - 2.09255176711311E-06 * B1*B3 + 1.84718863750916E-10 * (B1/B2)^-2 - 1.09256183788354E-09 * (B1/B3)^-2 - 132895529.306086 * (B1/B2)^-1 + 0.000157234146885994 * (B1/B3)^-1 + 7148.78633831819 * (B2/B1)^-1 + 8.59426948398861 * (B2/B3)^-1 + 132895529.306048 * B2/B1</f>
        <v>0.568603515625</v>
      </c>
      <c r="F83" s="1">
        <f t="shared" si="23"/>
        <v>0</v>
      </c>
      <c r="G83" s="1">
        <f t="shared" si="24"/>
        <v>0</v>
      </c>
      <c r="H83" s="1">
        <f t="shared" si="25"/>
        <v>0</v>
      </c>
      <c r="J83">
        <v>42</v>
      </c>
      <c r="K83">
        <v>48</v>
      </c>
      <c r="L83">
        <v>14</v>
      </c>
      <c r="M83">
        <v>16</v>
      </c>
      <c r="N83">
        <f xml:space="preserve"> 0.0888721158698522 * B1 - 0.0000142199232022459 * B2 + 8.24017687647493E-06 * B3 + 0.00410177311957093 * LN(B1) + 0.600711806410408 * LN(B2) - 0.1125438752271 * LN(B3) + 8.7407244705646E-08 * B1*B2 - 3.52019037606206E-06 * B1*B3 - 628.625511078935 * (B3/B1)^-1 - 3.86609933148376</f>
        <v>0.92652581855709171</v>
      </c>
      <c r="O83" s="1">
        <f t="shared" si="26"/>
        <v>0</v>
      </c>
      <c r="P83" s="1">
        <f t="shared" si="27"/>
        <v>0</v>
      </c>
      <c r="Q83" s="1">
        <f t="shared" si="28"/>
        <v>0</v>
      </c>
      <c r="S83" s="1">
        <v>42</v>
      </c>
      <c r="T83" s="1">
        <v>48</v>
      </c>
      <c r="U83" s="1">
        <v>14</v>
      </c>
      <c r="V83" s="1">
        <v>16</v>
      </c>
      <c r="W83" s="1">
        <f xml:space="preserve">  - 155.907789480505 * B1 - 3.60550958247462 * B2 + 0.186227784537865 * B3 - 7.38630387569983 * LN(B1) + 76988.7867112206 * LN(B2) - 70301.3451941109 * LN(B3) + 567.510861526592 * B1^-5 - 733.320302679189 * B1^-4 - 670725121.302176 * B3^-1 + 0.0000157759845725847 * B2^2 + 173950.576306889 * (B1*B3)^-1 + 0.00583915113001615 * B1*B3 + 0.000033241231972817 * B2*B3 + 53392.9152005808 * (B2/B3)^-4 + 7.00914179321295 * (B3/B2)^-4 + 1.05236532564529E-07 * (B1/B2)^-2 + 1044819.30501903 * (B3/B1)^-1</f>
        <v>1609.5498088834499</v>
      </c>
      <c r="X83" s="1">
        <f t="shared" si="29"/>
        <v>0</v>
      </c>
      <c r="Y83" s="1">
        <f t="shared" si="30"/>
        <v>0</v>
      </c>
      <c r="Z83" s="1">
        <f t="shared" si="31"/>
        <v>0</v>
      </c>
    </row>
    <row r="84" spans="1:26" x14ac:dyDescent="0.25">
      <c r="A84" s="1">
        <v>42</v>
      </c>
      <c r="B84" s="1">
        <v>48</v>
      </c>
      <c r="C84" s="1">
        <v>16</v>
      </c>
      <c r="D84" s="1">
        <v>18</v>
      </c>
      <c r="E84" s="1">
        <f xml:space="preserve">  - 0.41939912683203 * B1 - 0.0044393088428767 * B2 - 0.000628824796225153 * B3 - 0.135706507851925 * LN(B1) + 117.390994654125 * LN(B2) - 107.574940434178 * LN(B3) + 1.52314669961296 * B1^-5 - 3.29905258647557 * B1^-4 + 2.35450121486214 * B1^-3 - 3.25011489119969 * B1^-1 - 1165577.54596811 * B3^-1 + 1.36103218388994E-08 * B2^2 + 12208.3968707027 * (B1*B3)^-1 + 5.24952672989199E-06 * B1*B2 - 1.79483143849643E-06 * B1*B3 + 4.77128581665431E-08 * B2*B3 - 139.343098976072 * (B2/B3)^-4 + 0.0103280785335945 * (B3/B2)^-4 + 155.053457812913 * (B2/B3)^-3 - 1.49457840035525E-09 * (B1/B3)^-2 - 8.32483649920192E-06 * (B1/B2)^-1 + 0.000141860988072791 * (B1/B3)^-1 + 9418.73138947751 * (B2/B1)^-1</f>
        <v>0.31095647647057378</v>
      </c>
      <c r="F84" s="1">
        <f t="shared" si="23"/>
        <v>0</v>
      </c>
      <c r="G84" s="1">
        <f t="shared" si="24"/>
        <v>1</v>
      </c>
      <c r="H84" s="1">
        <f t="shared" si="25"/>
        <v>0</v>
      </c>
      <c r="J84">
        <v>42</v>
      </c>
      <c r="K84">
        <v>48</v>
      </c>
      <c r="L84">
        <v>16</v>
      </c>
      <c r="M84">
        <v>18</v>
      </c>
      <c r="N84">
        <f xml:space="preserve"> 0.596297197429793 * B1 + 0.00475165552122808 * B2 + 0.00483556599881132 * B3 + 0.0758272704524143 * LN(B1) - 105.093850543502 * LN(B2) - 40.4904269052991 * LN(B3) + 0.371051063196061 * B1^-5 - 0.448819117107147 * B1^-4 - 1.68138384094563E-08 * B2^2 + 3484.08075875151 * (B1*B3)^-1 - 0.0000194035606843522 * B1*B3 - 5.36542152117279E-08 * B2*B3 - 62.3100371272951 * (B2/B3)^-4 - 0.0236044444913991 * (B3/B2)^-4 - 4700.13510703222 * (B3/B1)^-1 + 1302.77802939916</f>
        <v>0.22647383589264791</v>
      </c>
      <c r="O84" s="1">
        <f t="shared" si="26"/>
        <v>0</v>
      </c>
      <c r="P84" s="1">
        <f t="shared" si="27"/>
        <v>1</v>
      </c>
      <c r="Q84" s="1">
        <f t="shared" si="28"/>
        <v>0</v>
      </c>
      <c r="S84" s="1">
        <v>42</v>
      </c>
      <c r="T84" s="1">
        <v>48</v>
      </c>
      <c r="U84" s="1">
        <v>16</v>
      </c>
      <c r="V84" s="1">
        <v>18</v>
      </c>
      <c r="W84" s="1">
        <f xml:space="preserve">  - 906.59445909458 * B1 - 8.22874831107566 * B2 - 1.14096546389101 * B3 - 27.4401354424955 * LN(B1) + 133242.68223928 * LN(B2) - 113741.493928619 * LN(B3) - 625.313566355971 * B1^-5 + 1222.07953883729 * B1^-4 - 766.321058669884 * B1^-3 - 1845348737.17989 * B3^-1 + 0.0000312915219341803 * B2^2 + 127341.93245177 * (B1*B3)^-1 + 0.00330595734642835 * B1*B2 + 0.0209503729952331 * B1*B3 + 0.0000887445502931816 * B2*B3 + 43222.4171068553 * (B2/B3)^-4 + 9.26750337373539E-08 * (B1/B2)^-2 + 5167947.5851288 * (B2/B1)^-1 + 4992297.3244127 * (B3/B1)^-1 + 17683.414690484 * B2/B3</f>
        <v>293.66097678710867</v>
      </c>
      <c r="X84" s="1">
        <f t="shared" si="29"/>
        <v>0</v>
      </c>
      <c r="Y84" s="1">
        <f t="shared" si="30"/>
        <v>1</v>
      </c>
      <c r="Z84" s="1">
        <f t="shared" si="31"/>
        <v>0</v>
      </c>
    </row>
    <row r="85" spans="1:26" x14ac:dyDescent="0.25">
      <c r="A85" s="1">
        <v>42</v>
      </c>
      <c r="B85" s="1">
        <v>48</v>
      </c>
      <c r="C85" s="1">
        <v>18</v>
      </c>
      <c r="D85" s="1">
        <v>20</v>
      </c>
      <c r="E85" s="1">
        <f xml:space="preserve">  - 0.591658127657692 * B1 - 0.00909889105621178 * B2 - 0.00177213421364946 * B3 - 0.607333961254132 * LN(B1) + 204.439930727895 * LN(B2) - 179.232251525254 * LN(B3) - 2.79005055600366 * B1^-5 + 3.45870930901625 * B1^-4 - 2421675.45049306 * B3^-1 - 0.000880970566682129 * B1^2 + 2.95684334518597E-08 * B2^2 - 28014.0167083406 * (B1*B3)^-1 + 8.04156882756116E-06 * B1*B2 + 9.68102959012814E-08 * B2*B3 + 77.6750575653065 * (B2/B3)^-4 + 0.07438104544175 * (B3/B2)^-4 - 6.45825286983083E-10 * (B1/B3)^-2 + 12483.0962863322 * (B2/B1)^-1</f>
        <v>0.40893698537778156</v>
      </c>
      <c r="F85" s="1">
        <f t="shared" si="23"/>
        <v>0</v>
      </c>
      <c r="G85" s="1">
        <f>IF(AND($C$3&gt;=C85,$C$3&lt;=D85),1,0)</f>
        <v>0</v>
      </c>
      <c r="H85" s="1">
        <f t="shared" si="25"/>
        <v>0</v>
      </c>
      <c r="J85">
        <v>42</v>
      </c>
      <c r="K85">
        <v>48</v>
      </c>
      <c r="L85">
        <v>18</v>
      </c>
      <c r="M85">
        <v>20</v>
      </c>
      <c r="N85">
        <f xml:space="preserve"> 1.46001197275961 * B1 + 0.0276265440271506 * B2 + 0.00147283562776803 * B3 + 0.0285518618735619 * LN(B1) - 713.455300363487 * LN(B2) + 657.270540648837 * LN(B3) + 6977943.08815322 * B3^-1 - 1.0442237915449E-07 * B2^2 - 0.0000153308668458396 * B1*B2 - 8.57316731169779E-06 * B1*B3 - 2.47991121323482E-07 * B2*B3 + 935.283133833617 * (B2/B3)^-4 - 0.00311665288237078 * (B3/B2)^-4 - 994.766105153246 * (B2/B3)^-3 - 28167.5412006544 * (B2/B1)^-1</f>
        <v>5.5374010964336575</v>
      </c>
      <c r="O85" s="1">
        <f t="shared" si="26"/>
        <v>0</v>
      </c>
      <c r="P85" s="1">
        <f>IF(AND($C$3&gt;=L85,$C$3&lt;=M85),1,0)</f>
        <v>0</v>
      </c>
      <c r="Q85" s="1">
        <f t="shared" si="28"/>
        <v>0</v>
      </c>
      <c r="S85" s="1">
        <v>42</v>
      </c>
      <c r="T85" s="1">
        <v>48</v>
      </c>
      <c r="U85" s="1">
        <v>18</v>
      </c>
      <c r="V85" s="1">
        <v>20</v>
      </c>
      <c r="W85" s="1">
        <f xml:space="preserve">  - 3416.16056639718 * B1 - 15.8016865847251 * B2 - 3.65111697233119 * B3 - 47.5990592737464 * LN(B1) + 339163.218809378 * LN(B2) - 295413.461088649 * LN(B3) - 4050702183.75877 * B3^-1 + 0.000055065317822866 * B2^2 + 0.012958815654874 * B1*B2 + 0.0686625587700175 * B1*B3 + 0.00017651396831348 * B2*B3 + 131216.686980276 * (B2/B3)^-4 + 127.038635243208 * (B3/B2)^-4 + 20877168.2209211 * (B2/B1)^-1 + 20626875.4092994 * (B3/B1)^-1</f>
        <v>-186.67882249684862</v>
      </c>
      <c r="X85" s="1">
        <f t="shared" si="29"/>
        <v>0</v>
      </c>
      <c r="Y85" s="1">
        <f>IF(AND($C$3&gt;=U85,$C$3&lt;=V85),1,0)</f>
        <v>0</v>
      </c>
      <c r="Z85" s="1">
        <f t="shared" si="31"/>
        <v>0</v>
      </c>
    </row>
    <row r="86" spans="1:26" x14ac:dyDescent="0.25">
      <c r="A86" s="1">
        <v>48</v>
      </c>
      <c r="B86" s="1">
        <v>54</v>
      </c>
      <c r="C86" s="1">
        <v>11</v>
      </c>
      <c r="D86" s="1">
        <v>14</v>
      </c>
      <c r="E86" s="1">
        <f xml:space="preserve"> 1.83321482924518 * B1 - 0.00890979606422515 * B2 + 0.0156565232299228 * B3 + 0.264409208916393 * LN(B1) + 203.401540366955 * LN(B2) - 208.60069469088 * LN(B3) + 9.50496314888464 * B1^-5 - 22.8852307938398 * B1^-4 + 20.7848427443442 * B1^-3 - 9.89714054706701 * B1^-2 - 1041835.45692026 * B3^-1 + 4.01229331120424E-08 * B2^2 - 2.61328541351162E-07 * B3^2 + 11227.7418478328 * (B1*B3)^-1 - 0.0000177505928126431 * B1*B2 - 1.72342093819651E-06 * B1*B3 + 3.88077917613283E-08 * B2*B3 + 143.742977478826 * (B2/B3)^-4 + 2.19616683649783E-10 * (B1/B2)^-2 - 1.64933463338219E-09 * (B1/B3)^-2 + 0.00014471983758832 * (B1/B3)^-1 - 46683.4513712945 * (B2/B1)^-1 + 3.950527806644 * (B3/B2)^-1</f>
        <v>5.8495187373905964</v>
      </c>
      <c r="F86" s="1">
        <f t="shared" si="23"/>
        <v>0</v>
      </c>
      <c r="G86" s="1">
        <f t="shared" si="24"/>
        <v>0</v>
      </c>
      <c r="H86" s="1">
        <f t="shared" si="25"/>
        <v>0</v>
      </c>
      <c r="J86">
        <v>48</v>
      </c>
      <c r="K86">
        <v>54</v>
      </c>
      <c r="L86">
        <v>11</v>
      </c>
      <c r="M86">
        <v>14</v>
      </c>
      <c r="N86">
        <f xml:space="preserve">  - 2.81790845677428 * B1 + 0.0187177651819191 * B2 - 0.0286141969643182 * B3 - 0.585862847817131 * LN(B1) - 483.50605970651 * LN(B2) + 497.271067300391 * LN(B3) - 18.070046388167 * B1^-5 + 44.4904668575346 * B1^-4 - 42.2345023767757 * B1^-3 + 19.472684949392 * B1^-2 + 2341735.74819556 * B3^-1 - 8.10079899169773E-08 * B2^2 + 5.25702610377738E-07 * B3^2 + 0.0000274987787582211 * B1*B2 - 1.29569712990333E-07 * B2*B3 + 291.003864804293 * (B2/B3)^-4 - 0.00278768682744334 * (B3/B2)^-4 + 7.28509769748098E-10 * (B1/B2)^-2 - 343.164917884307 * (B2/B3)^-2 - 0.000146424502160213 * (B1/B2)^-1 + 72877.8644190431 * (B2/B1)^-1</f>
        <v>5.819809371450277</v>
      </c>
      <c r="O86" s="1">
        <f t="shared" si="26"/>
        <v>0</v>
      </c>
      <c r="P86" s="1">
        <f t="shared" si="27"/>
        <v>0</v>
      </c>
      <c r="Q86" s="1">
        <f t="shared" si="28"/>
        <v>0</v>
      </c>
      <c r="S86" s="1">
        <v>48</v>
      </c>
      <c r="T86" s="1">
        <v>54</v>
      </c>
      <c r="U86" s="1">
        <v>11</v>
      </c>
      <c r="V86" s="1">
        <v>14</v>
      </c>
      <c r="W86" s="1">
        <f xml:space="preserve">  - 1160.41768277608 * B1 - 0.743232922592593 * B2 - 2.59378775655891 * B3 - 49.2921969405403 * LN(B1) + 7073.3464460605 * LN(B2) - 2173.53659142739 * LN(B3) + 126.690220474507 * B1^-5 - 163.25242496194 * B1^-4 - 191570424.631055 * B3^-1 + 1.06021555596308E-07 * B2^2 + 1484510.89571621 * (B1*B3)^-1 + 0.00985444842580978 * B1*B2 + 0.00568992901413792 * B1*B3 + 0.0000408136521379872 * B2*B3 + 102049.062794132 * (B2/B3)^-4 - 6.9352866122058 * (B3/B2)^-4 + 77.3956165671636 * (B3/B2)^-3 + 27178658.0474549 * (B2/B1)^-1 + 690635.398738978 * (B3/B1)^-1</f>
        <v>7388.7001187543947</v>
      </c>
      <c r="X86" s="1">
        <f t="shared" si="29"/>
        <v>0</v>
      </c>
      <c r="Y86" s="1">
        <f t="shared" si="30"/>
        <v>0</v>
      </c>
      <c r="Z86" s="1">
        <f t="shared" si="31"/>
        <v>0</v>
      </c>
    </row>
    <row r="87" spans="1:26" x14ac:dyDescent="0.25">
      <c r="A87" s="1">
        <v>48</v>
      </c>
      <c r="B87" s="1">
        <v>54</v>
      </c>
      <c r="C87" s="1">
        <v>14</v>
      </c>
      <c r="D87" s="1">
        <v>16</v>
      </c>
      <c r="E87" s="1">
        <f xml:space="preserve"> 1.02775581526857 * B1 - 0.0107533869750946 * B2 + 0.00258172486963006 * B3 + 0.324503444101636 * LN(B1) + 227.082376720054 * LN(B2) - 209.2756130779 * LN(B3) + 1.89928479999321 * B1^-5 - 2.249998400821 * B1^-4 - 2212249.80266261 * B3^-1 + 4.39661314640285E-08 * B2^2 + 7.65125811674158E-07 * B1^4 - 8270.22701642191 * (B1*B3)^-1 - 0.0000097304058531606 * B1*B2 - 1.96908895543354E-06 * B1*B3 + 7.25312334448246E-08 * B2*B3 + 123.158316730148 * (B2/B3)^-4 - 3.72149784871843E-13 * (B1/B2)^-2 + 0.0000275522954751484 * (B1/B2)^-1 - 27133.4271873061 * (B2/B1)^-1 + 10.9191916810255 * B2/B3</f>
        <v>3.323481626153761</v>
      </c>
      <c r="F87" s="1">
        <f t="shared" si="23"/>
        <v>0</v>
      </c>
      <c r="G87" s="1">
        <f t="shared" si="24"/>
        <v>0</v>
      </c>
      <c r="H87" s="1">
        <f t="shared" si="25"/>
        <v>0</v>
      </c>
      <c r="J87">
        <v>48</v>
      </c>
      <c r="K87">
        <v>54</v>
      </c>
      <c r="L87">
        <v>14</v>
      </c>
      <c r="M87">
        <v>16</v>
      </c>
      <c r="N87">
        <f xml:space="preserve"> 0.0871018499587669 * B1 + 0.000279305393437463 * B2 + 0.0161379611460534 * B3 - 0.236824184166675 * LN(B1) - 1.34383833367622 * LN(B2) + 0.111647980268805 * SIN(B2) - 0.11615885970162 * COS(B2) - 0.365655278279497 * B1^-5 + 3.26234775623702 * B1^-1 - 9.9237576946111E-09 * B3^2 - 2721.43765277357 * (B1*B3)^-1 - 8.1185454464123E-07 * B1*B2 - 2.55074204989488E-06 * B1*B3 - 1.65064153577396E-07 * B2*B3 + 4.94407594367278E-10 * (B1/B2)^-2 - 0.0000926891427319229 * (B1/B2)^-1 - 379.278264357556 * B3/B2</f>
        <v>-32.689823232981837</v>
      </c>
      <c r="O87" s="1">
        <f t="shared" si="26"/>
        <v>0</v>
      </c>
      <c r="P87" s="1">
        <f t="shared" si="27"/>
        <v>0</v>
      </c>
      <c r="Q87" s="1">
        <f t="shared" si="28"/>
        <v>0</v>
      </c>
      <c r="S87" s="1">
        <v>48</v>
      </c>
      <c r="T87" s="1">
        <v>54</v>
      </c>
      <c r="U87" s="1">
        <v>14</v>
      </c>
      <c r="V87" s="1">
        <v>16</v>
      </c>
      <c r="W87" s="1">
        <f xml:space="preserve">  - 2817.96621716255 * B1 - 5.50975258953656 * B2 - 118.064844004611 * B3 + 8.13313654715529 * LN(B1) + 177138.663618571 * LN(B2) + 19.2750317809411 * B1^-5 + 36.4274843648942 * B1^-4 - 8313533662.68697 * B3^-1 + 0.0000152984458442375 * B2^2 + 0.00244026338486071 * B3^2 + 4890783.40755467 * (B1*B3)^-1 + 0.0230141784600608 * B1*B2 + 0.0191310962189708 * B1*B3 + 0.0000939591852551855 * B2*B3 - 457574.747411215 * (B2/B3)^-4 - 8.34957816110886E-08 * (B1/B2)^-2 + 338155.094426731 * (B2/B3)^-2 + 57562037.9769943 * (B2/B1)^-1 + 3453386.66701845 * (B3/B1)^-1</f>
        <v>-5976.579788891182</v>
      </c>
      <c r="X87" s="1">
        <f t="shared" si="29"/>
        <v>0</v>
      </c>
      <c r="Y87" s="1">
        <f t="shared" si="30"/>
        <v>0</v>
      </c>
      <c r="Z87" s="1">
        <f t="shared" si="31"/>
        <v>0</v>
      </c>
    </row>
    <row r="88" spans="1:26" x14ac:dyDescent="0.25">
      <c r="A88" s="1">
        <v>48</v>
      </c>
      <c r="B88" s="1">
        <v>54</v>
      </c>
      <c r="C88" s="1">
        <v>16</v>
      </c>
      <c r="D88" s="1">
        <v>18</v>
      </c>
      <c r="E88" s="1">
        <f xml:space="preserve"> 0.346015885556324 * B1 - 0.00504463692256873 * B2 + 0.000209071041317699 * B3 - 0.125817624446258 * LN(B1) + 145.082344850528 * LN(B2) - 141.201713024945 * LN(B3) - 0.0402381295658688 * B1^-5 - 0.0731442517026817 * B1^-4 - 1147830.27814657 * B3^-1 + 2.07726411855302E-08 * B2^2 - 10612.5551895174 * (B1*B3)^-1 - 5.37473008512154E-06 * B1*B2 + 0.0000072232618616567 * B1*B3 + 4.05460247642591E-08 * B2*B3 - 43.2536873147932 * (B2/B3)^-4 + 1.65115032986141E-10 * (B1/B2)^-2 - 16514.8032483941 * (B2/B1)^-1 + 107.888245052494 * (B2/B3)^-1 + 2217.33131869417 * (B3/B1)^-1</f>
        <v>-2.2689197598352306E-2</v>
      </c>
      <c r="F88" s="1">
        <f t="shared" si="23"/>
        <v>0</v>
      </c>
      <c r="G88" s="1">
        <f t="shared" si="24"/>
        <v>1</v>
      </c>
      <c r="H88" s="1">
        <f t="shared" si="25"/>
        <v>0</v>
      </c>
      <c r="J88">
        <v>48</v>
      </c>
      <c r="K88">
        <v>54</v>
      </c>
      <c r="L88">
        <v>16</v>
      </c>
      <c r="M88">
        <v>18</v>
      </c>
      <c r="N88">
        <f xml:space="preserve"> 0.0713518825318257 * B1 - 0.0733707261232737 * B2 + 0.267933651654688 * B3 - 0.0815674844631066 * LN(B1) + 2359.29256685009 * LN(B2) - 2735.28699165963 * LN(B3) - 0.946138034879521 * B1^-5 + 1.11238981298882 * B1^-4 + 2.74678605893484E-07 * B2^2 - 4.67772200408228E-06 * B3^2 - 7478.41369877038 * (B1*B3)^-1 - 4.51154535156425E-06 * B1*B3 + 4.80962421238127E-07 * B2*B3 - 280.699385922962 * (B2/B3)^-4 + 1447.74230441838 * (B2/B3)^-1</f>
        <v>-31.831391389692044</v>
      </c>
      <c r="O88" s="1">
        <f t="shared" si="26"/>
        <v>0</v>
      </c>
      <c r="P88" s="1">
        <f t="shared" si="27"/>
        <v>1</v>
      </c>
      <c r="Q88" s="1">
        <f t="shared" si="28"/>
        <v>0</v>
      </c>
      <c r="S88" s="1">
        <v>48</v>
      </c>
      <c r="T88" s="1">
        <v>54</v>
      </c>
      <c r="U88" s="1">
        <v>16</v>
      </c>
      <c r="V88" s="1">
        <v>18</v>
      </c>
      <c r="W88" s="1">
        <f xml:space="preserve">  - 5173.86572602282 * B1 - 3.91359564917953 * B2 - 6.79412196617565 * B3 - 208.139049004585 * LN(B1) + 19063.6446211897 * LN(B2) - 280.997403087249 * B1^-5 + 817.330845812965 * B1^-2 - 1296863266.3003 * B3^-1 + 1.37067211578927E-06 * B2^2 + 11562721.7945885 * (B1*B3)^-1 + 0.0372805693056345 * B1*B2 + 0.0499839332227891 * B1*B3 + 0.000125651818556952 * B2*B3 + 76240.6358103629 * (B2/B3)^-4 + 5.35821555071112E-08 * (B1/B2)^-2 - 0.0351425612429489 * (B1/B2)^-1 + 89468359.0927787 * (B2/B1)^-1 + 11727001.3724079 * (B3/B1)^-1 + 24130.2617558103 * (B3/B2)^-1</f>
        <v>4973.3470082462445</v>
      </c>
      <c r="X88" s="1">
        <f t="shared" si="29"/>
        <v>0</v>
      </c>
      <c r="Y88" s="1">
        <f t="shared" si="30"/>
        <v>1</v>
      </c>
      <c r="Z88" s="1">
        <f t="shared" si="31"/>
        <v>0</v>
      </c>
    </row>
    <row r="89" spans="1:26" x14ac:dyDescent="0.25">
      <c r="A89" s="1">
        <v>48</v>
      </c>
      <c r="B89" s="1">
        <v>54</v>
      </c>
      <c r="C89" s="1">
        <v>18</v>
      </c>
      <c r="D89" s="1">
        <v>20</v>
      </c>
      <c r="E89" s="1">
        <f xml:space="preserve"> 0.651993741355769 * B1 + 0.00641979062679671 * B2 + 0.000551793883432384 * B3 - 0.0613504016138886 * LN(B1) - 206.110257230526 * LN(B2) + 192.409257589158 * LN(B3) + 0.0345743473291403 * B1^-5 - 0.0255510702624985 * B1^-4 + 2238137.62483173 * B3^-1 - 1.71561348629764E-08 * B2^2 - 8555.86966388153 * (B1*B3)^-1 - 8.52561202761631E-06 * B1*B2 + 8.06019619110672E-06 * B1*B3 - 6.18472888105769E-08 * B2*B3 + 354.379604646698 * (B2/B3)^-4 - 0.0116729580540647 * (B3/B2)^-4 - 359.692166011658 * (B2/B3)^-3 + 7.23881837955215E-06 * (B1/B2)^-1 - 25494.1985913895 * (B2/B1)^-1 + 2473.01857518785 * (B3/B1)^-1</f>
        <v>5.5085087842462404</v>
      </c>
      <c r="F89" s="1">
        <f t="shared" si="23"/>
        <v>0</v>
      </c>
      <c r="G89" s="1">
        <f>IF(AND($C$3&gt;=C89,$C$3&lt;=D89),1,0)</f>
        <v>0</v>
      </c>
      <c r="H89" s="1">
        <f t="shared" si="25"/>
        <v>0</v>
      </c>
      <c r="J89">
        <v>48</v>
      </c>
      <c r="K89">
        <v>50</v>
      </c>
      <c r="L89">
        <v>18</v>
      </c>
      <c r="M89">
        <v>20</v>
      </c>
      <c r="N89">
        <f xml:space="preserve"> 0.0157675967838197 * B1 + 0.00817353022524324 * B2 - 0.000441716349334725 * B3 - 0.76776679906322 * LN(B1) - 36.6452739367348 * LN(B3) + 4.31099995644988 * B1^-4 - 10.3437724106564 * B1^-3 + 11.956538422496 * B1^-2 - 107542.583543112 * (B1*B3)^-1 + 0.0239688070217027 * (B3/B2)^-6 - 1.63739074791466 * (B3/B2)^-3 - 2.25484851697674E-10 * (B1/B2)^-2 - 4.61408044354543E-09 * (B1/B3)^-2 - 0.263541225432522 * TAN(B2)</f>
        <v>-126.9484711641004</v>
      </c>
      <c r="O89" s="1">
        <f t="shared" si="26"/>
        <v>0</v>
      </c>
      <c r="P89" s="1">
        <f>IF(AND($C$3&gt;=L89,$C$3&lt;=M89),1,0)</f>
        <v>0</v>
      </c>
      <c r="Q89" s="1">
        <f t="shared" si="28"/>
        <v>0</v>
      </c>
      <c r="S89" s="1">
        <v>48</v>
      </c>
      <c r="T89" s="1">
        <v>54</v>
      </c>
      <c r="U89" s="1">
        <v>18</v>
      </c>
      <c r="V89" s="1">
        <v>20</v>
      </c>
      <c r="W89" s="1">
        <f xml:space="preserve">  - 11987.3874124968 * B1 + 3.65063397370657 * B2 - 16.6646611413395 * B3 - 253642.358120932 * LN(B2) + 272376.087138313 * LN(B3) - 0.0000481477835822645 * B2^2 + 0.0695836588841671 * B1*B2 + 0.156997527109711 * B1*B3 + 0.000190006031697535 * B2*B3 + 155191756.281458 * (B2/B1)^-1 + 46599201.5648225 * (B3/B1)^-1 + 51494.2814240522 * (B3/B2)^-1</f>
        <v>10883.968500688017</v>
      </c>
      <c r="X89" s="1">
        <f t="shared" si="29"/>
        <v>0</v>
      </c>
      <c r="Y89" s="1">
        <f>IF(AND($C$3&gt;=U89,$C$3&lt;=V89),1,0)</f>
        <v>0</v>
      </c>
      <c r="Z89" s="1">
        <f t="shared" si="31"/>
        <v>0</v>
      </c>
    </row>
    <row r="90" spans="1:26" x14ac:dyDescent="0.25">
      <c r="A90" s="1">
        <v>54</v>
      </c>
      <c r="B90" s="1">
        <v>60</v>
      </c>
      <c r="C90" s="1">
        <v>11</v>
      </c>
      <c r="D90" s="1">
        <v>14</v>
      </c>
      <c r="E90" s="1">
        <f xml:space="preserve"> 0.202522348482597 * B1 - 0.000650774463827794 * B2 - 0.000528160567821882 * B3 - 0.393120039725176 * LN(B1) + 2.37460584997539 * LN(B2) - 38339.8045596875 * B3^-1 - 0.00463693567223792 * B1^2 + 4.02763891323627E-09 * B2^2 + 1.94732620931631E-09 * B3^2 + 4.12560056979911E-06 * B1^4 - 4773.69914068804 * (B1*B3)^-1 - 0.0000016182238330975 * B1*B2 + 7.2533324325026E-09 * B2*B3 + 0.587151787510715 * B2/B3</f>
        <v>2.3732713563231096</v>
      </c>
      <c r="F90" s="1">
        <f>IF(AND($C$2&gt;=A90,$C$2&lt;=B90),1,0)</f>
        <v>0</v>
      </c>
      <c r="G90" s="1">
        <f t="shared" si="24"/>
        <v>0</v>
      </c>
      <c r="H90" s="1">
        <f t="shared" si="25"/>
        <v>0</v>
      </c>
      <c r="J90">
        <v>50</v>
      </c>
      <c r="K90">
        <v>54</v>
      </c>
      <c r="L90">
        <v>18</v>
      </c>
      <c r="M90">
        <v>20</v>
      </c>
      <c r="N90">
        <f xml:space="preserve"> 0.162584615799094 * B1 + 0.00122190128808089 * B2 - 0.00109149896204818 * B3 - 0.315928741663957 * LN(B1) - 69.4019449888228 * LN(B2) + 67.44122994495 * LN(B3) - 0.530955641953778 * B1^-4 + 0.437275170064577 * B1^-3 + 914148.277703868 * B3^-1 - 25005.6052584941 * (B1*B3)^-1 - 153.120824214189 * (B2/B3)^-6 - 0.000472908543817642 * (B3/B2)^-6 + 2.8005214753751E-10 * (B1/B2)^-2 - 6709.50121316864 * (B2/B1)^-1 - 506.523563529743 * (B3/B1)^-1</f>
        <v>5.4262542700599283</v>
      </c>
      <c r="O90" s="1">
        <f t="shared" si="26"/>
        <v>0</v>
      </c>
      <c r="P90" s="1">
        <f>IF(AND($C$3&gt;=L90,$C$3&lt;=M90),1,0)</f>
        <v>0</v>
      </c>
      <c r="Q90" s="1">
        <f t="shared" si="28"/>
        <v>0</v>
      </c>
      <c r="S90" s="1">
        <v>54</v>
      </c>
      <c r="T90" s="1">
        <v>60</v>
      </c>
      <c r="U90" s="1">
        <v>11</v>
      </c>
      <c r="V90" s="1">
        <v>14</v>
      </c>
      <c r="W90" s="1">
        <f xml:space="preserve">  - 2214.47451286349 * B1 - 0.327027114517572 * B2 + 1.09295429852698 * B3 - 21.1924205379073 * LN(B1) + 14346.8188684117 * LN(B2) - 14727.728177978 * LN(B3) - 85207495.3634904 * B3^-1 + 0.0181019839443442 * B1*B2 + 0.0190509777173221 * B1*B3 + 44794064.8027279 * (B2/B1)^-1 - 25417.10611232 * (B2/B3)^-1 + 2025122.89424084 * (B3/B1)^-1</f>
        <v>-5144.7378270152785</v>
      </c>
      <c r="X90" s="1">
        <f>IF(AND($C$2&gt;=S90,$C$2&lt;=T90),1,0)</f>
        <v>0</v>
      </c>
      <c r="Y90" s="1">
        <f t="shared" si="30"/>
        <v>0</v>
      </c>
      <c r="Z90" s="1">
        <f t="shared" si="31"/>
        <v>0</v>
      </c>
    </row>
    <row r="91" spans="1:26" x14ac:dyDescent="0.25">
      <c r="A91" s="1">
        <v>54</v>
      </c>
      <c r="B91" s="1">
        <v>60</v>
      </c>
      <c r="C91" s="1">
        <v>14</v>
      </c>
      <c r="D91" s="1">
        <v>16</v>
      </c>
      <c r="E91" s="1">
        <f xml:space="preserve">  - 0.493610223349261 * B1 + 0.00747512620750798 * B2 + 0.169337726982779 * B3 + 0.139399138828707 * LN(B1) - 256.430006677794 * LN(B2) - 4.31883412577684 * B1^-5 + 7.7964288993909 * B1^-4 - 3.50150035305143 * B1^-3 + 12312152.5037465 * B3^-1 - 2.67750085299845E-08 * B2^2 - 3.66236295142044E-06 * B3^2 - 11619.7342889028 * (B1*B3)^-1 + 4.28958968547999E-06 * B1*B2 + 1.39687542911082E-07 * B1*B3 - 3.79252184547035E-08 * B2*B3 - 1.57594021579446E-10 * (B1/B2)^-2 - 8.91210323546452E-10 * (B1/B3)^-2 + 0.0000337995533634291 * (B1/B2)^-1 + 13646.8341776207 * (B2/B1)^-1 - 135.326152733015 * (B2/B3)^-1</f>
        <v>1.9463291878537206</v>
      </c>
      <c r="F91" s="1">
        <f t="shared" ref="F91:F93" si="32">IF(AND($C$2&gt;=A91,$C$2&lt;=B91),1,0)</f>
        <v>0</v>
      </c>
      <c r="G91" s="1">
        <f t="shared" si="24"/>
        <v>0</v>
      </c>
      <c r="H91" s="1">
        <f t="shared" si="25"/>
        <v>0</v>
      </c>
      <c r="J91">
        <v>54</v>
      </c>
      <c r="K91">
        <v>56</v>
      </c>
      <c r="L91">
        <v>11</v>
      </c>
      <c r="M91">
        <v>14</v>
      </c>
      <c r="N91">
        <f xml:space="preserve"> 0.270380951192375 * B1 + 0.00156037736751472 * B2 + 0.00328216190416402 * B3 + 0.18109479892045 * LN(B1) - 11.1482715568215 * LN(B3) - 11.1133589024173 * COS(B2) + 1.61191877818641 * B1^-4 - 3.08571869247157 * B1^-3 - 5210.36331605111 * (B1*B3)^-1 + 4.35152711167226E-07 * B1*B2 - 0.000013421457581618 * B1*B3 - 3.82956300001264E-08 * B2*B3 - 370.682594462176 * (B2/B3)^-4 + 6.40350138889221E-10 * (B1/B2)^-2 - 1725.38216598765 * (B3/B1)^-1</f>
        <v>-63.466349732376798</v>
      </c>
      <c r="O91" s="1">
        <f t="shared" si="26"/>
        <v>0</v>
      </c>
      <c r="P91" s="1">
        <f t="shared" si="27"/>
        <v>0</v>
      </c>
      <c r="Q91" s="1">
        <f t="shared" si="28"/>
        <v>0</v>
      </c>
      <c r="S91" s="1">
        <v>54</v>
      </c>
      <c r="T91" s="1">
        <v>60</v>
      </c>
      <c r="U91" s="1">
        <v>14</v>
      </c>
      <c r="V91" s="1">
        <v>16</v>
      </c>
      <c r="W91" s="1">
        <f xml:space="preserve">  - 4218.36491424633 * B1 - 0.159749754791686 * B2 + 0.7379210996593 * B3 - 400.893852514812 * LN(B1) + 4412.36807470725 * LN(B2) - 4775.65817166364 * LN(B3) + 14078.8641611966 * B1^-5 - 24941.1905281084 * B1^-4 + 10503.0076169724 * B1^-3 + 7.76521211283938E-06 * B3^2 + 44369488.6079839 * (B1*B3)^-1 + 0.026941067477634 * B1*B2 + 0.0548969086186215 * B1*B3 + 5.98192646523785E-07 * (B1/B2)^-2 + 3.76406658139141E-06 * (B1/B3)^-2 - 0.116007719279506 * (B1/B2)^-1 + 69428144.5587853 * (B2/B1)^-1 + 10070864.011335 * (B3/B1)^-1 - 58664.6465232787 * (B3/B2)^2</f>
        <v>-9434.7671130316066</v>
      </c>
      <c r="X91" s="1">
        <f t="shared" ref="X91:X93" si="33">IF(AND($C$2&gt;=S91,$C$2&lt;=T91),1,0)</f>
        <v>0</v>
      </c>
      <c r="Y91" s="1">
        <f t="shared" si="30"/>
        <v>0</v>
      </c>
      <c r="Z91" s="1">
        <f t="shared" si="31"/>
        <v>0</v>
      </c>
    </row>
    <row r="92" spans="1:26" x14ac:dyDescent="0.25">
      <c r="A92" s="1">
        <v>54</v>
      </c>
      <c r="B92" s="1">
        <v>60</v>
      </c>
      <c r="C92" s="1">
        <v>16</v>
      </c>
      <c r="D92" s="1">
        <v>18</v>
      </c>
      <c r="E92" s="1">
        <f xml:space="preserve"> 0.0106369175884381 * B1 + 0.00379972158795275 * B2 - 0.0163696256698232 * B3 - 0.0348664106166148 * LN(B1) - 136.243125027038 * LN(B2) + 159.955393356746 * LN(B3) - 1.27697840954857E-08 * B2^2 + 2.7891776248818E-07 * B3^2 - 1.76222101760245E-07 * B1*B2 - 2.12608766995314E-08 * B2*B3 - 76.4701730108178 * (B2/B3)^-1</f>
        <v>3.5429938337739131</v>
      </c>
      <c r="F92" s="1">
        <f t="shared" si="32"/>
        <v>0</v>
      </c>
      <c r="G92" s="1">
        <f t="shared" si="24"/>
        <v>1</v>
      </c>
      <c r="H92" s="1">
        <f t="shared" si="25"/>
        <v>0</v>
      </c>
      <c r="J92">
        <v>56</v>
      </c>
      <c r="K92">
        <v>60</v>
      </c>
      <c r="L92">
        <v>11</v>
      </c>
      <c r="M92">
        <v>14</v>
      </c>
      <c r="N92">
        <f xml:space="preserve">  - 3.80478405511914 * B1 - 0.000760523938444983 * B2 + 0.00586651525855 * B3 + 0.0239725252856281 * LN(B1) + 4.18783624651405 * LN(B2) + 0.610713331729635 * SIN(B2) + 0.333120332048689 * B1^-4 - 0.719170379920584 * B1^-3 - 109257.13539088 * B3^-1 - 2603.91146590991 * (B1*B3)^-1 + 0.0000314122668557479 * B1*B2 - 4.02232303169409E-06 * B1*B3 - 4.17079898369019E-08 * B2*B3 + 1.70033245316566E-10 * (B1/B2)^-2 + 117725.667684463 * (B2/B1)^-1 - 203.380697873989 * (B2/B3)^-1 + 1.77700446555175 * (B3/B2)^-1</f>
        <v>-15.701959149723479</v>
      </c>
      <c r="O92" s="1">
        <f>IF(AND($C$2&gt;=J92,$C$2&lt;=K92),1,0)</f>
        <v>0</v>
      </c>
      <c r="P92" s="1">
        <f t="shared" si="27"/>
        <v>0</v>
      </c>
      <c r="Q92" s="1">
        <f t="shared" si="28"/>
        <v>0</v>
      </c>
      <c r="S92" s="1">
        <v>54</v>
      </c>
      <c r="T92" s="1">
        <v>60</v>
      </c>
      <c r="U92" s="1">
        <v>16</v>
      </c>
      <c r="V92" s="1">
        <v>18</v>
      </c>
      <c r="W92" s="1">
        <f xml:space="preserve">  - 9181.71232665761 * B1 - 5.62284963075364 * B2 - 9.68404505954446 * B3 - 249.945919839308 * LN(B1) + 28601.4302187029 * LN(B2) - 823.881024599613 * B1^-5 + 14257.3428011178 * B1^-1 - 2150780200.51036 * B3^-1 - 1.27720409797255E-06 * B2^2 - 51715696.4870012 * (B1*B3)^-1 + 0.0566212537505679 * B1*B2 + 0.112832522268867 * B1*B3 + 0.000178075405777868 * B2*B3 + 8.22104485597902E-07 * (B1/B2)^-2 - 0.161987727056814 * (B1/B2)^-1 - 0.285894621228005 * (B1/B3)^-1 + 148091336.583418 * (B2/B1)^-1 + 25322943.6733871 * (B3/B1)^-1 + 39360.3607183947 * (B3/B2)^-1</f>
        <v>-2997.672025282809</v>
      </c>
      <c r="X92" s="1">
        <f t="shared" si="33"/>
        <v>0</v>
      </c>
      <c r="Y92" s="1">
        <f t="shared" si="30"/>
        <v>1</v>
      </c>
      <c r="Z92" s="1">
        <f t="shared" si="31"/>
        <v>0</v>
      </c>
    </row>
    <row r="93" spans="1:26" x14ac:dyDescent="0.25">
      <c r="A93" s="1">
        <v>54</v>
      </c>
      <c r="B93" s="1">
        <v>60</v>
      </c>
      <c r="C93" s="1">
        <v>18</v>
      </c>
      <c r="D93" s="1">
        <v>20</v>
      </c>
      <c r="E93" s="1">
        <f xml:space="preserve"> 0.053859203320762 * B1 + 0.0015533728104599 * B2 - 0.000263017404906381 * B3 - 0.124833317212465 * LN(B1) - 48.0762126059606 * LN(B2) + 44.7875647357669 * LN(B3) - 4.29309805175999 * B1^-5 + 10.4324428364017 * B1^-4 - 9.65760956687965 * B1^-3 + 4.51880973459709 * B1^-2 + 548551.681450002 * B3^-1 - 4.72198630289776E-09 * B2^2 - 11924.1278382209 * (B1*B3)^-1 - 3.97455860276305E-07 * B1*B2 + 1.40375565570929E-07 * B1*B3 - 9.87215877878757E-09 * B2*B3 - 35.207805762251 * (B2/B3)^-4 - 0.00394257875053546 * (B3/B2)^-4 + 3.20207319392673E-10 * (B1/B3)^-2 + 3.27236448829806E-06 * (B1/B2)^-1 - 0.0000508002855116053 * (B1/B3)^-1 - 1762.46000406511 * (B2/B1)^-1</f>
        <v>1.1370053069513224</v>
      </c>
      <c r="F93" s="1">
        <f t="shared" si="32"/>
        <v>0</v>
      </c>
      <c r="G93" s="1">
        <f>IF(AND($C$3&gt;=C93,$C$3&lt;=D93),1,0)</f>
        <v>0</v>
      </c>
      <c r="H93" s="1">
        <f t="shared" si="25"/>
        <v>0</v>
      </c>
      <c r="J93">
        <v>54</v>
      </c>
      <c r="K93">
        <v>60</v>
      </c>
      <c r="L93">
        <v>14</v>
      </c>
      <c r="M93">
        <v>16</v>
      </c>
      <c r="N93">
        <f xml:space="preserve"> 12.4810374271001 * B1 + 0.0222465827218129 * B2 + 0.0548937930561325 * B3 - 131.530871764629 * LN(B1) + 55976.4763811046 * LN(B2) - 57975.4826682209 * LN(B3) - 454.567220957394 * B1^-5 + 1348.21944553442 * B1^-4 - 1687.15270531595 * B1^-3 + 1257.03168072828 * B1^-2 - 746.661602463425 * B1^-1 - 9238500.66304427 * B3^-1 - 0.490077771636476 * B1^2 - 7.89133426551463E-08 * B2^2 + 0.0119848390208772 * B1^3 - 0.000138292787924162 * B1^4 + 38787.9632947784 * (B1*B3)^-1 + 0.0000158368141820825 * B1*B2 + 0.0000111463588937653 * B1*B3 - 1.17767177679555E-07 * B2*B3 - 382864.070997272 * (B2/B3)^-4 - 14.0888326186123 * (B3/B2)^-4 - 325366426231400 * (B2/B3)^-3 + 192.25731556868 * (B3/B2)^-3 - 6.15315201763729E-10 * (B1/B2)^-2 - 17186.9929324358 * (B1/B3)^-2 + 0.000124828741758568 * (B1/B2)^-1 + 0.000321694159840715 * (B1/B3)^-1 - 2168085091338250 * (B2/B1)^-1 + 14117712779445300 * (B3/B1)^-1 + 2168085091389660 * B1/B2 - 14117712779442500 * B1/B3 - 17783.3483964177 * B2/B3 + 17186.9929324331 * (B3/B1)^2 + 325366426529547 * (B3/B2)^3</f>
        <v>-3546.2734375</v>
      </c>
      <c r="O93" s="1">
        <f t="shared" ref="O93:O95" si="34">IF(AND($C$2&gt;=J93,$C$2&lt;=K93),1,0)</f>
        <v>0</v>
      </c>
      <c r="P93" s="1">
        <f t="shared" si="27"/>
        <v>0</v>
      </c>
      <c r="Q93" s="1">
        <f t="shared" si="28"/>
        <v>0</v>
      </c>
      <c r="S93" s="1">
        <v>54</v>
      </c>
      <c r="T93" s="1">
        <v>60</v>
      </c>
      <c r="U93" s="1">
        <v>18</v>
      </c>
      <c r="V93" s="1">
        <v>20</v>
      </c>
      <c r="W93" s="1">
        <f xml:space="preserve">  - 168628.093512109 * B1 + 17.2565139998624 * B2 - 11.4668327947399 * B3 + 1320320.77724644 * LN(B1) - 560139.708617104 * LN(B2) + 290888.483691119 * LN(B3) + 3973132.88972719 * B1^-5 - 12003651.099798 * B1^-4 + 15389260.456535 * B1^-3 - 11777380.9647578 * B1^-2 + 7070638.45082467 * B1^-1 + 2732974881.47431 * B3^-1 + 5258.4124944451 * B1^2 - 0.000077547595353848 * B2^2 - 132.666806694558 * B1^3 + 1.57903955090279 * B1^4 + 283195138.708789 * (B1*B3)^-1 + 0.028009762232162 * B1*B2 + 0.430371735418793 * B1*B3 + 0.0000725099524265176 * B2*B3 - 90846.8687223501 * (B2/B3)^-4 - 1.78658409794856E-06 * (B1/B3)^-2 + 0.776593618889595 * (B1/B3)^-1 + 130555418.026001 * (B3/B1)^-1</f>
        <v>27553.887055121384</v>
      </c>
      <c r="X93" s="1">
        <f t="shared" si="33"/>
        <v>0</v>
      </c>
      <c r="Y93" s="1">
        <f>IF(AND($C$3&gt;=U93,$C$3&lt;=V93),1,0)</f>
        <v>0</v>
      </c>
      <c r="Z93" s="1">
        <f t="shared" si="31"/>
        <v>0</v>
      </c>
    </row>
    <row r="94" spans="1:26" x14ac:dyDescent="0.25">
      <c r="J94">
        <v>54</v>
      </c>
      <c r="K94">
        <v>60</v>
      </c>
      <c r="L94">
        <v>16</v>
      </c>
      <c r="M94">
        <v>18</v>
      </c>
      <c r="N94">
        <f xml:space="preserve"> 0.0288596824480254 * B1 + 0.0131495733945228 * B2 - 0.0564349138187052 * B3 - 0.187594876106389 * LN(B1) - 468.300145256966 * LN(B2) + 549.427510141223 * LN(B3) - 0.204958176492337 * B1^-5 + 0.066121078866505 * B1^-4 - 4.46187758153299E-08 * B2^2 + 9.56205083626511E-07 * B3^2 - 11824.423656304 * (B1*B3)^-1 - 4.16779675067038E-07 * B1*B2 - 7.09275827957143E-08 * B2*B3 + 1.60627026973856E-10 * (B1/B2)^-2 - 253.928899183874 * (B2/B3)^-1</f>
        <v>12.85604033523316</v>
      </c>
      <c r="O94" s="1">
        <f t="shared" si="34"/>
        <v>0</v>
      </c>
      <c r="P94" s="1">
        <f t="shared" si="27"/>
        <v>1</v>
      </c>
      <c r="Q94" s="1">
        <f t="shared" si="28"/>
        <v>0</v>
      </c>
    </row>
    <row r="95" spans="1:26" x14ac:dyDescent="0.25">
      <c r="J95">
        <v>54</v>
      </c>
      <c r="K95">
        <v>60</v>
      </c>
      <c r="L95">
        <v>18</v>
      </c>
      <c r="M95">
        <v>20</v>
      </c>
      <c r="N95">
        <f xml:space="preserve"> 0.00727883572145258 * B1 + 0.00547907991195197 * B2 - 0.00117621769700802 * B3 - 0.0809787111535084 * LN(B1) - 168.706933115666 * LN(B2) + 157.528221521198 * LN(B3) + 1884114.46885405 * B3^-1 - 1.71370931107247E-08 * B2^2 - 1.13318122354082E-07 * B1*B2 - 3.24272329282406E-08 * B2*B3 - 117.895184204821 * (B2/B3)^-4 - 0.0127131393104879 * (B3/B2)^-4</f>
        <v>4.3220623455270353</v>
      </c>
      <c r="O95" s="1">
        <f t="shared" si="34"/>
        <v>0</v>
      </c>
      <c r="P95" s="1">
        <f>IF(AND($C$3&gt;=L95,$C$3&lt;=M95),1,0)</f>
        <v>0</v>
      </c>
      <c r="Q95" s="1">
        <f t="shared" si="28"/>
        <v>0</v>
      </c>
    </row>
    <row r="99" spans="1:26" x14ac:dyDescent="0.25">
      <c r="A99" s="33" t="s">
        <v>25</v>
      </c>
      <c r="B99" s="33"/>
      <c r="C99" s="33"/>
      <c r="D99" s="33"/>
      <c r="E99" s="33"/>
      <c r="F99" s="33"/>
      <c r="G99" s="33"/>
      <c r="H99" s="33"/>
      <c r="J99" s="33" t="s">
        <v>26</v>
      </c>
      <c r="K99" s="33"/>
      <c r="L99" s="33"/>
      <c r="M99" s="33"/>
      <c r="N99" s="33"/>
      <c r="O99" s="33"/>
      <c r="P99" s="33"/>
      <c r="Q99" s="33"/>
      <c r="S99" s="33" t="s">
        <v>27</v>
      </c>
      <c r="T99" s="33"/>
      <c r="U99" s="33"/>
      <c r="V99" s="33"/>
      <c r="W99" s="33"/>
      <c r="X99" s="33"/>
      <c r="Y99" s="33"/>
      <c r="Z99" s="33"/>
    </row>
    <row r="100" spans="1:26" x14ac:dyDescent="0.25">
      <c r="A100" s="33" t="s">
        <v>1</v>
      </c>
      <c r="B100" s="33"/>
      <c r="C100" s="33" t="s">
        <v>2</v>
      </c>
      <c r="D100" s="33"/>
      <c r="E100" s="1"/>
      <c r="F100" s="1"/>
      <c r="G100" s="1"/>
      <c r="H100" s="1"/>
      <c r="J100" s="33" t="s">
        <v>1</v>
      </c>
      <c r="K100" s="33"/>
      <c r="L100" s="33" t="s">
        <v>2</v>
      </c>
      <c r="M100" s="33"/>
      <c r="N100" s="1"/>
      <c r="O100" s="1"/>
      <c r="P100" s="1"/>
      <c r="Q100" s="1"/>
      <c r="S100" s="33" t="s">
        <v>1</v>
      </c>
      <c r="T100" s="33"/>
      <c r="U100" s="33" t="s">
        <v>2</v>
      </c>
      <c r="V100" s="33"/>
      <c r="W100" s="1"/>
      <c r="X100" s="1"/>
      <c r="Y100" s="1"/>
      <c r="Z100" s="1"/>
    </row>
    <row r="101" spans="1:26" x14ac:dyDescent="0.25">
      <c r="A101" s="2" t="s">
        <v>3</v>
      </c>
      <c r="B101" s="2" t="s">
        <v>4</v>
      </c>
      <c r="C101" s="2" t="s">
        <v>3</v>
      </c>
      <c r="D101" s="2" t="s">
        <v>4</v>
      </c>
      <c r="E101" s="2" t="s">
        <v>5</v>
      </c>
      <c r="F101" s="2" t="s">
        <v>6</v>
      </c>
      <c r="G101" s="2" t="s">
        <v>7</v>
      </c>
      <c r="H101" s="2" t="s">
        <v>8</v>
      </c>
      <c r="J101" s="2" t="s">
        <v>3</v>
      </c>
      <c r="K101" s="2" t="s">
        <v>4</v>
      </c>
      <c r="L101" s="2" t="s">
        <v>3</v>
      </c>
      <c r="M101" s="2" t="s">
        <v>4</v>
      </c>
      <c r="N101" s="2" t="s">
        <v>5</v>
      </c>
      <c r="O101" s="2" t="s">
        <v>6</v>
      </c>
      <c r="P101" s="2" t="s">
        <v>7</v>
      </c>
      <c r="Q101" s="2" t="s">
        <v>8</v>
      </c>
      <c r="S101" s="2" t="s">
        <v>3</v>
      </c>
      <c r="T101" s="2" t="s">
        <v>4</v>
      </c>
      <c r="U101" s="2" t="s">
        <v>3</v>
      </c>
      <c r="V101" s="2" t="s">
        <v>4</v>
      </c>
      <c r="W101" s="2" t="s">
        <v>5</v>
      </c>
      <c r="X101" s="2" t="s">
        <v>6</v>
      </c>
      <c r="Y101" s="2" t="s">
        <v>7</v>
      </c>
      <c r="Z101" s="2" t="s">
        <v>8</v>
      </c>
    </row>
    <row r="102" spans="1:26" x14ac:dyDescent="0.25">
      <c r="A102" s="1">
        <v>24</v>
      </c>
      <c r="B102" s="1">
        <v>30</v>
      </c>
      <c r="C102" s="1">
        <v>11</v>
      </c>
      <c r="D102" s="1">
        <v>14</v>
      </c>
      <c r="E102" s="1">
        <f xml:space="preserve">  - 0.067283908904796 * B1 - 0.000351906621245598 * B2 + 0.000249780313337323 * B3 - 0.0781628459903938 * LN(B1) + 2.48379777183036 * LN(B2) - 1.73762800090424 * LN(B3) - 2.94140414902474 * B1^-5 + 7.17762399251984 * B1^-4 - 6.70135576602109 * B1^-3 + 3.47812907668969 * B1^-2 - 72495.916968143 * B2^-1 + 4.20984022387257E-09 * B2^2 - 31636.0043678452 * (B1*B2)^-1 + 471.75367194762 * (B1*B3)^-1 + 0.0000016114920966161 * B1*B2 - 1.28724829683577E-06 * B1*B3 - 4.68417187653324E-09 * B2*B3 - 1.80219669545675 * (B2/B3)^-5 + 0.00168477622176615 * (B3/B2)^-5 - 0.00852939419492227 * (B3/B2)^-4 - 2.60702800821477E-10 * (B1/B2)^-2 + 1.38901761968009E-10 * (B1/B3)^-2 - 2.60036675769381E-06 * (B1/B2)^-1 + 1981.1482117803 * (B2/B1)^-1 - 1305.67462170634 * B1 / (B2 + B3)</f>
        <v>0.91021385818018197</v>
      </c>
      <c r="F102" s="1">
        <f>IF(AND($C$2&gt;=A102,$C$2&lt;B102),1,0)</f>
        <v>0</v>
      </c>
      <c r="G102" s="1">
        <f>IF(AND($C$3&gt;=C102,$C$3&lt;D102),1,0)</f>
        <v>0</v>
      </c>
      <c r="H102" s="1">
        <f>E102*F102*G102</f>
        <v>0</v>
      </c>
      <c r="I102" s="1"/>
      <c r="J102" s="1">
        <v>24</v>
      </c>
      <c r="K102" s="1">
        <v>30</v>
      </c>
      <c r="L102" s="1">
        <v>11</v>
      </c>
      <c r="M102" s="1">
        <v>14</v>
      </c>
      <c r="N102" s="1">
        <f xml:space="preserve">  - 0.0974075251148903 * B1 - 0.000222191415939822 * B2 + 0.0000503032014783981 * B3 - 0.0279492989589102 * LN(B1) + 0.139129923621998 * LN(B2) + 0.593457613885555 * LN(B3) - 1.28174190464983 * B1^-5 + 3.10577624504015 * B1^-4 - 2.86269243534694 * B1^-3 + 1.43284128065639 * B1^-2 - 65406.4815111983 * B2^-1 + 6505.85830631838 * B3^-1 + 2.75167275969495E-09 * B2^2 - 14216.1488256002 * (B1*B2)^-1 + 782.73695847723 * (B1*B3)^-1 + 1.83633533996015E-06 * B1*B2 - 2.98512219457946E-07 * B1*B3 - 1.91610431785983E-09 * B2*B3 - 0.817807382711642 * (B2/B3)^-5 - 0.000189064306339218 * (B3/B2)^-5 - 1.10201398068262E-10 * (B1/B2)^-2 + 1.35644206689428E-10 * (B1/B3)^-2 + 1381.12094116166 * (B2/B1)^-1</f>
        <v>0.94732227120204859</v>
      </c>
      <c r="O102" s="1">
        <f>IF(AND($C$2&gt;=J102,$C$2&lt;K102),1,0)</f>
        <v>0</v>
      </c>
      <c r="P102" s="1">
        <f>IF(AND($C$3&gt;=L102,$C$3&lt;M102),1,0)</f>
        <v>0</v>
      </c>
      <c r="Q102" s="1">
        <f>N102*O102*P102</f>
        <v>0</v>
      </c>
      <c r="R102" s="1"/>
      <c r="S102" s="1">
        <v>24</v>
      </c>
      <c r="T102" s="1">
        <v>30</v>
      </c>
      <c r="U102" s="1">
        <v>11</v>
      </c>
      <c r="V102" s="1">
        <v>14</v>
      </c>
      <c r="W102" s="1">
        <f xml:space="preserve"> 90.6885288657721 * B1 + 0.0291305289085798 * B2 - 0.000195192748619529 * B3 + 231.622656765821 * LN(B1) - 100.409400347142 * LN(B2) + 8108.23772659934 * B1^-5 - 19826.4503703275 * B1^-4 + 18532.7812716334 * B1^-3 - 9059.40082674334 * B1^-2 - 2.99407606111449E-07 * B2^2 + 42986603.657726 * (B1*B2)^-1 - 0.00200983771798289 * B1*B2 + 0.000053104258389148 * B1*B3 + 61.3785208168108 * (B2/B3)^-5 + 9.37451224777303E-09 * (B1/B2)^-2 + 0.0491707187793064 * (B1/B2)^-1 - 1168450.55682537 * (B2/B1)^-1</f>
        <v>244.46295280386562</v>
      </c>
      <c r="X102" s="1">
        <f>IF(AND($C$2&gt;=S102,$C$2&lt;T102),1,0)</f>
        <v>0</v>
      </c>
      <c r="Y102" s="1">
        <f>IF(AND($C$3&gt;=U102,$C$3&lt;V102),1,0)</f>
        <v>0</v>
      </c>
      <c r="Z102" s="1">
        <f>W102*X102*Y102</f>
        <v>0</v>
      </c>
    </row>
    <row r="103" spans="1:26" x14ac:dyDescent="0.25">
      <c r="A103" s="1">
        <v>24</v>
      </c>
      <c r="B103" s="1">
        <v>30</v>
      </c>
      <c r="C103" s="1">
        <v>14</v>
      </c>
      <c r="D103" s="1">
        <v>16</v>
      </c>
      <c r="E103" s="1">
        <f xml:space="preserve"> 0.021501199125224 * B1 + 0.00055382825131167 * B2 - 0.00024431229317872 * B3 + 0.0945324783231179 * LN(B1) - 31.8653898670577 * LN(B2) + 30.0284884742399 * LN(B3) + 3.00996925076335 * B1^-5 - 7.3742088426954 * B1^-4 + 6.91678378099913 * B1^-3 - 3.2093352204026 * B1^-2 - 283580.475872028 * B2^-1 + 172616.455849968 * B3^-1 - 11414.1730186817 * (B1*B2)^-1 + 6187.99841894225 * (B1*B3)^-1 + 6.99792464004822E-07 * B1*B2 - 0.0000031997475436125 * B1*B3 - 1.02952499951499E-08 * B2*B3 - 1.69967447912473 * (B2/B3)^-5 - 2.33179271130446E-10 * (B1/B2)^-2 + 0.0000197777429522296 * (B1/B2)^-1 + 0.0000304411994115868 * (B1/B3)^-1 + 2611.19428760601 * (B2/B1)^-1 + 45.2122739813106 * B2 / (B2 + B3) - 4006.24156131809 * B1 / (B2 + B3)</f>
        <v>0.88250167877252461</v>
      </c>
      <c r="F103" s="1">
        <f t="shared" ref="F103:F125" si="35">IF(AND($C$2&gt;=A103,$C$2&lt;B103),1,0)</f>
        <v>0</v>
      </c>
      <c r="G103" s="1">
        <f t="shared" ref="G103:G128" si="36">IF(AND($C$3&gt;=C103,$C$3&lt;D103),1,0)</f>
        <v>0</v>
      </c>
      <c r="H103" s="1">
        <f t="shared" ref="H103:H129" si="37">E103*F103*G103</f>
        <v>0</v>
      </c>
      <c r="I103" s="1"/>
      <c r="J103" s="1">
        <v>24</v>
      </c>
      <c r="K103" s="1">
        <v>30</v>
      </c>
      <c r="L103" s="1">
        <v>14</v>
      </c>
      <c r="M103" s="1">
        <v>16</v>
      </c>
      <c r="N103" s="1">
        <f xml:space="preserve"> 0.022037413625965 * B1 + 0.00038307803486848 * B2 + 0.0000439643346381097 * B3 - 0.0515341236795957 * LN(B1) - 19.957499105056 * LN(B2) + 0.239217183586374 * LN(B3) + 2.38601052697102 * B1^-5 - 4.51692719222367 * B1^-4 + 2.43421739077488 * B1^-3 - 273641.598850409 * B2^-1 - 18030.2058592392 * (B1*B2)^-1 + 3710.20276948696 * (B1*B3)^-1 - 2.60575943496697E-07 * B1*B2 - 1.01107707567075E-06 * B1*B3 - 1.6913736538517E-09 * B2*B3 - 0.606987358850988 * (B2/B3)^-5 - 2.02852177253404E-10 * (B1/B2)^-2 + 3.71519652854743E-10 * (B1/B3)^-2 + 202.312330267927</f>
        <v>0.95258047989648276</v>
      </c>
      <c r="O103" s="1">
        <f t="shared" ref="O103:O125" si="38">IF(AND($C$2&gt;=J103,$C$2&lt;K103),1,0)</f>
        <v>0</v>
      </c>
      <c r="P103" s="1">
        <f t="shared" ref="P103:P128" si="39">IF(AND($C$3&gt;=L103,$C$3&lt;M103),1,0)</f>
        <v>0</v>
      </c>
      <c r="Q103" s="1">
        <f t="shared" ref="Q103:Q129" si="40">N103*O103*P103</f>
        <v>0</v>
      </c>
      <c r="R103" s="1"/>
      <c r="S103" s="1">
        <v>24</v>
      </c>
      <c r="T103" s="1">
        <v>30</v>
      </c>
      <c r="U103" s="1">
        <v>14</v>
      </c>
      <c r="V103" s="1">
        <v>16</v>
      </c>
      <c r="W103" s="1">
        <f xml:space="preserve"> 84.2755531572328 * B1 - 0.0912175429758367 * B2 + 0.155168773256962 * B3 + 225.263959683808 * LN(B1) + 4695.92803014055 * LN(B2) - 4994.44061029036 * LN(B3) + 8060.72899212755 * B1^-5 - 19679.7760410179 * B1^-4 + 18350.5380443211 * B1^-3 - 8932.60087768732 * B1^-2 + 56904134.200469 * B2^-1 - 37015537.0783401 * B3^-1 + 42118351.6759964 * (B1*B2)^-1 - 70735.2386099881 * (B1*B3)^-1 - 0.00190904840254912 * B1*B2 + 0.000189202543875982 * B1*B3 + 3.85733521258174E-07 * B2*B3 + 174.755223621208 * (B2/B3)^-5 + 3.32543619841777E-09 * (B1/B2)^-2 + 0.0484830496721497 * (B1/B2)^-1 - 1113329.64569063 * (B2/B1)^-1</f>
        <v>252.00116146481065</v>
      </c>
      <c r="X103" s="1">
        <f t="shared" ref="X103:X125" si="41">IF(AND($C$2&gt;=S103,$C$2&lt;T103),1,0)</f>
        <v>0</v>
      </c>
      <c r="Y103" s="1">
        <f t="shared" ref="Y103:Y128" si="42">IF(AND($C$3&gt;=U103,$C$3&lt;V103),1,0)</f>
        <v>0</v>
      </c>
      <c r="Z103" s="1">
        <f t="shared" ref="Z103:Z129" si="43">W103*X103*Y103</f>
        <v>0</v>
      </c>
    </row>
    <row r="104" spans="1:26" x14ac:dyDescent="0.25">
      <c r="A104" s="1">
        <v>24</v>
      </c>
      <c r="B104" s="1">
        <v>30</v>
      </c>
      <c r="C104" s="1">
        <v>16</v>
      </c>
      <c r="D104" s="1">
        <v>18</v>
      </c>
      <c r="E104" s="1">
        <f xml:space="preserve"> 0.211086341272524 * B1 + 0.000865527155654094 * B2 + 0.000876742100954993 * B3 + 0.319706599351966 * LN(B1) - 29.8493561495635 * LN(B2) - 4.79746877345189 * LN(B3) + 10.8487002317203 * B1^-5 - 26.5121191456179 * B1^-4 + 24.7840227064384 * B1^-3 - 11.9692419425967 * B1^-2 - 338617.178650303 * B2^-1 + 20321.3554852562 * (B1*B2)^-1 + 12443.7390942797 * (B1*B3)^-1 - 8.23041209119666E-07 * B1*B2 - 0.0000072232196904098 * B1*B3 - 1.74171496578987E-08 * B2*B3 + 5.45740863937366 * (B2/B3)^-5 - 0.00653434374327327 * (B3/B2)^-5 - 8.73935060996838 * (B2/B3)^-4 - 2.13772040587708E-10 * (B1/B2)^-2 + 0.00005689349350656 * (B1/B2)^-1 + 0.0000473690871061567 * (B1/B3)^-1 + 4196.43084052732 * (B2/B1)^-1 - 10443.3024460809 * B1 / (B2 + B3) + 334.479737986189</f>
        <v>0.90054949734206957</v>
      </c>
      <c r="F104" s="1">
        <f t="shared" si="35"/>
        <v>0</v>
      </c>
      <c r="G104" s="1">
        <f t="shared" si="36"/>
        <v>1</v>
      </c>
      <c r="H104" s="1">
        <f t="shared" si="37"/>
        <v>0</v>
      </c>
      <c r="I104" s="1"/>
      <c r="J104" s="1">
        <v>24</v>
      </c>
      <c r="K104" s="1">
        <v>30</v>
      </c>
      <c r="L104" s="1">
        <v>16</v>
      </c>
      <c r="M104" s="1">
        <v>18</v>
      </c>
      <c r="N104" s="1">
        <f xml:space="preserve"> 0.0526884789833891 * B1 - 0.0000273806972640143 * B2 - 0.000010100232504949 * B3 - 0.0526864717230596 * LN(B1) + 3.34322314207306 * B1^-5 - 6.3421902108874 * B1^-4 + 3.45198072806395 * B1^-3 - 29407.6187023026 * B3^-1 - 4.3286442647734E-10 * B2^2 - 16699.0792269183 * (B1*B2)^-1 + 1832.68537451845 * (B1*B3)^-1 - 8.05279353731248E-07 * B1*B2 - 2.04083533420685E-06 * B1*B3 - 2.05637124966479E-10 * (B1/B2)^-2 + 6.68780691354069 * B2 / (B2 + B3)</f>
        <v>0.95602797934740558</v>
      </c>
      <c r="O104" s="1">
        <f t="shared" si="38"/>
        <v>0</v>
      </c>
      <c r="P104" s="1">
        <f t="shared" si="39"/>
        <v>1</v>
      </c>
      <c r="Q104" s="1">
        <f t="shared" si="40"/>
        <v>0</v>
      </c>
      <c r="R104" s="1"/>
      <c r="S104" s="1">
        <v>24</v>
      </c>
      <c r="T104" s="1">
        <v>30</v>
      </c>
      <c r="U104" s="1">
        <v>16</v>
      </c>
      <c r="V104" s="1">
        <v>18</v>
      </c>
      <c r="W104" s="1">
        <f xml:space="preserve">  - 20.6219077966354 * B1 - 0.0190811123303506 * B2 - 0.0617566189282051 * B3 + 228.118754396243 * LN(B1) - 263.390711462024 * LN(B2) + 392.235789131695 * LN(B3) + 8543.69571594617 * B1^-5 - 20822.6729567801 * B1^-4 + 19358.2123365899 * B1^-3 - 9358.50552488783 * B1^-2 - 15711630.0226943 * B2^-1 + 42883124.2086981 * (B1*B2)^-1 - 0.00145743758096195 * B1*B2 + 0.00279591064834973 * B1*B3 + 1.15628334098581E-06 * B2*B3 + 289.477390913863 * (B2/B3)^-5 - 1.73287128794621E-08 * (B1/B2)^-2 + 0.0513255325872278 * (B1/B2)^-1 - 835122.143241199 * (B2/B1)^-1 + 653591.640803855 * (B3/B1)^-1</f>
        <v>248.74305012918398</v>
      </c>
      <c r="X104" s="1">
        <f t="shared" si="41"/>
        <v>0</v>
      </c>
      <c r="Y104" s="1">
        <f t="shared" si="42"/>
        <v>1</v>
      </c>
      <c r="Z104" s="1">
        <f t="shared" si="43"/>
        <v>0</v>
      </c>
    </row>
    <row r="105" spans="1:26" x14ac:dyDescent="0.25">
      <c r="A105" s="1">
        <v>24</v>
      </c>
      <c r="B105" s="1">
        <v>30</v>
      </c>
      <c r="C105" s="1">
        <v>18</v>
      </c>
      <c r="D105" s="1">
        <v>20</v>
      </c>
      <c r="E105" s="1">
        <f xml:space="preserve"> 0.747343166130604 * B1 + 0.00133071234330415 * B2 + 0.000119010936921521 * B3 + 0.483853884529482 * LN(B1) - 34.2442019713772 * LN(B2) + 32.8385518413668 * LN(B3) + 16.8601598988519 * B1^-5 - 41.0711372059082 * B1^-4 + 38.1985395745236 * B1^-3 - 18.3671780923268 * B1^-2 - 430031.072880827 * B2^-1 + 475678.156323882 * B3^-1 + 70665.5827576115 * (B1*B2)^-1 - 1309.63691494919 * (B1*B3)^-1 - 2.75788246224713E-06 * B1*B2 - 0.0000196905914859161 * B1*B3 - 2.67081624948615E-08 * B2*B3 + 6.469483329979 * (B2/B3)^-5 - 9.73343760505767 * (B2/B3)^-4 - 2.68151166154746E-10 * (B1/B2)^-2 + 0.000123268400618083 * (B1/B2)^-1 + 8005.61377326163 * (B2/B1)^-1 - 1663.87311367451 * (B3/B1)^-1 - 4.89584174187518 * B2/B3 - 24567.9316196777 * B1 / (B2 + B3)</f>
        <v>0.90251927073939475</v>
      </c>
      <c r="F105" s="1">
        <f t="shared" si="35"/>
        <v>0</v>
      </c>
      <c r="G105" s="1">
        <f>IF(AND($C$3&gt;=C105,$C$3&lt;=D105),1,0)</f>
        <v>0</v>
      </c>
      <c r="H105" s="1">
        <f t="shared" si="37"/>
        <v>0</v>
      </c>
      <c r="I105" s="1"/>
      <c r="J105" s="1">
        <v>24</v>
      </c>
      <c r="K105" s="1">
        <v>30</v>
      </c>
      <c r="L105" s="1">
        <v>18</v>
      </c>
      <c r="M105" s="1">
        <v>20</v>
      </c>
      <c r="N105" s="1">
        <f xml:space="preserve"> 0.920377801693702 * B1 + 0.00178170554546592 * B2 - 0.000720009774880216 * B3 - 0.158423013983016 * LN(B1) - 67.8157755684556 * LN(B2) + 67.2172792545975 * LN(B3) + 1.02577972412683 * B1^-5 - 2.12712734788325 * B1^-4 + 1.25958198226772 * B1^-3 - 5.78806240865668 * B1^-1 - 797195.885589286 * B2^-1 + 741499.884978245 * B3^-1 - 0.00106678188986343 * B1^2 + 0.0000176234715166572 * B1^3 + 49600.961227295 * (B1*B2)^-1 + 18081.732719187 * (B1*B3)^-1 - 1.50301990654156E-07 * B1*B2 - 0.0000275905619628024 * B1*B3 - 2.30880973445038E-08 * B2*B3 + 2.96187714039025 * (B2/B3)^-5 - 0.0286078169548651 * (B3/B2)^-5 - 5.8869703132162 * (B2/B3)^-4 - 6367.92751454131 * (B1/B2)^-2 + 7.84274952346199E-10 * (B1/B3)^-2 + 0.0000862526671006607 * (B1/B2)^-1 + 12363.5961762738 * (B2/B1)^-1 - 2536.32731308031 * (B3/B1)^-1 + 6367.92751454113 * (B2/B1)^2 - 32311.824229448 * B1 / (B2 + B3)</f>
        <v>0.95405949483005825</v>
      </c>
      <c r="O105" s="1">
        <f t="shared" si="38"/>
        <v>0</v>
      </c>
      <c r="P105" s="1">
        <f>IF(AND($C$3&gt;=L105,$C$3&lt;=M105),1,0)</f>
        <v>0</v>
      </c>
      <c r="Q105" s="1">
        <f t="shared" si="40"/>
        <v>0</v>
      </c>
      <c r="R105" s="1"/>
      <c r="S105" s="1">
        <v>24</v>
      </c>
      <c r="T105" s="1">
        <v>30</v>
      </c>
      <c r="U105" s="1">
        <v>18</v>
      </c>
      <c r="V105" s="1">
        <v>20</v>
      </c>
      <c r="W105" s="1">
        <f xml:space="preserve">  - 468.392905342867 * B1 - 0.358219784880896 * B2 - 0.304677112786644 * B3 + 306.178633055898 * LN(B1) + 20833.7274657905 * LN(B2) - 16782.1634089713 * LN(B3) + 13259.3042052314 * B1^-5 - 32135.9851487483 * B1^-4 + 29596.2812886323 * B1^-3 - 13928.1239279422 * B1^-2 + 21602814.1306903 * B2^-1 - 71545689.5915851 * B3^-1 + 43764903.678333 * (B1*B2)^-1 + 7548749.73175467 * (B1*B3)^-1 + 0.000528441369594397 * B1*B2 + 0.0124040204785603 * B1*B3 + 8.23824294291244E-06 * B2*B3 + 594.492385971092 * (B2/B3)^-5 - 8.73811653014027E-08 * (B1/B2)^-2 - 3.04528041454321E-07 * (B1/B3)^-2 + 0.0586960463807998 * (B1/B2)^-1 + 0.0386028226571908 * (B1/B3)^-1 - 1130093.2287521 * (B2/B1)^-1 + 2983684.96398572 * (B3/B1)^-1 - 57688.4775314291 * B2 / (B2 + B3) + 4560992.23416809 * B1 / (B2 + B3)</f>
        <v>247.09553228858556</v>
      </c>
      <c r="X105" s="1">
        <f t="shared" si="41"/>
        <v>0</v>
      </c>
      <c r="Y105" s="1">
        <f>IF(AND($C$3&gt;=U105,$C$3&lt;=V105),1,0)</f>
        <v>0</v>
      </c>
      <c r="Z105" s="1">
        <f t="shared" si="43"/>
        <v>0</v>
      </c>
    </row>
    <row r="106" spans="1:26" x14ac:dyDescent="0.25">
      <c r="A106" s="1">
        <v>30</v>
      </c>
      <c r="B106" s="1">
        <v>36</v>
      </c>
      <c r="C106" s="1">
        <v>11</v>
      </c>
      <c r="D106" s="1">
        <v>14</v>
      </c>
      <c r="E106" s="1">
        <f xml:space="preserve"> 0.104396414210951 * B1 + 0.000162276393980107 * B2 + 0.000047302274090054 * B3 - 0.0846528965049478 * LN(B1) - 3.83868298979971 * LN(B2) + 4.1357988003472 * LN(B3) - 0.40572038008263 * B1^-5 + 1.15623504079653 * B1^-4 - 1.36383066718833 * B1^-3 + 0.942621484276952 * B1^-2 + 1.87850419091827 * B1^-1 + 25562.8073584887 * B3^-1 - 0.000202946709793966 * B1^2 - 6.83243206986028E-10 * B2^2 + 2.88561982503992E-06 * B1^3 - 42107.4999122589 * (B1*B2)^-1 + 96.9852355115671 * (B1*B3)^-1 - 4.4305733982305E-07 * B1*B2 - 3.21830984816735E-06 * B1*B3 - 3.4113389185686E-09 * B2*B3 + 0.303760316631133 * (B2/B3)^-5 - 0.0000349416709598286 * (B3/B2)^-5 - 1493.4594543871 * (B1/B3)^-2 - 0.0000354759481988283 * (B1/B2)^-1 + 1.31751156795177E-06 * (B1/B3)^-1 + 850.182526628308 * (B2/B1)^-1 - 3.49115159492821 * (B2/B3)^-1 - 304165191166634 * (B3/B1)^-1 + 304165191166432 * B1/B3 + 1493.45945438707 * (B3/B1)^2 - 2412.89738674176 * B1 / (B2 + B3) - 2.43813518839497</f>
        <v>0.90691369688653101</v>
      </c>
      <c r="F106" s="1">
        <f t="shared" si="35"/>
        <v>1</v>
      </c>
      <c r="G106" s="1">
        <f t="shared" si="36"/>
        <v>0</v>
      </c>
      <c r="H106" s="1">
        <f t="shared" si="37"/>
        <v>0</v>
      </c>
      <c r="I106" s="1"/>
      <c r="J106" s="1">
        <v>30</v>
      </c>
      <c r="K106" s="1">
        <v>36</v>
      </c>
      <c r="L106" s="1">
        <v>11</v>
      </c>
      <c r="M106" s="1">
        <v>14</v>
      </c>
      <c r="N106" s="1">
        <f xml:space="preserve"> 0.00461869722789608 * B1 + 4.36525456759402E-06 * B2 - 0.0000675467717740613 * B3 - 0.0380380593563434 * LN(B1) - 0.160591192812656 * LN(B2) + 1.54251075854483 * LN(B3) - 1.45831477187558 * B1^-5 + 3.56217341066704 * B1^-4 - 3.32494218143492 * B1^-3 + 1.59803744667268 * B1^-2 + 8332.73208915497 * B3^-1 - 10325.2872410895 * (B1*B2)^-1 + 824.683896318048 * (B1*B3)^-1 + 3.02504703889276E-08 * B1*B2 - 4.32377463487927E-07 * B1*B3 - 0.103291997844857 * (B2/B3)^-5 + 1.43044235387575E-10 * (B1/B3)^-2 - 8.28398883024469E-06 * (B1/B2)^-1 - 11.7475201829261</f>
        <v>0.94795332023044132</v>
      </c>
      <c r="O106" s="1">
        <f t="shared" si="38"/>
        <v>1</v>
      </c>
      <c r="P106" s="1">
        <f t="shared" si="39"/>
        <v>0</v>
      </c>
      <c r="Q106" s="1">
        <f t="shared" si="40"/>
        <v>0</v>
      </c>
      <c r="R106" s="1"/>
      <c r="S106" s="1">
        <v>30</v>
      </c>
      <c r="T106" s="1">
        <v>36</v>
      </c>
      <c r="U106" s="1">
        <v>11</v>
      </c>
      <c r="V106" s="1">
        <v>14</v>
      </c>
      <c r="W106" s="1">
        <f xml:space="preserve">  - 15.7177000204563 * B1 - 0.0719416574463939 * B2 + 0.000143923785328397 * B3 - 19.5149351691587 * LN(B1) + 232.726962283591 * LN(B2) - 9.32015059197636 * LN(B3) - 729.341832164089 * B1^-5 + 1674.1229652496 * B1^-4 - 1393.91659872091 * B1^-3 + 635.516907034868 * B1^-2 - 16442587.7840712 * B2^-1 + 7.52317790388695E-07 * B2^2 - 8494842.49140081 * (B1*B2)^-1 - 43951.8603829107 * (B1*B3)^-1 + 0.000147857374032985 * B1*B2 + 0.000383103887447586 * B1*B3 + 1.84091309128761E-08 * B2*B3 - 6.60967562034652E-08 * (B1/B2)^-2 - 5.93704446263154E-09 * (B1/B3)^-2 + 0.00331277969081695 * (B1/B2)^-1 + 29945.4052139495 * (B3/B1)^-1 + 199766.472531349 * B1 / (B2 + B3)</f>
        <v>244.19455644614851</v>
      </c>
      <c r="X106" s="1">
        <f t="shared" si="41"/>
        <v>1</v>
      </c>
      <c r="Y106" s="1">
        <f t="shared" si="42"/>
        <v>0</v>
      </c>
      <c r="Z106" s="1">
        <f t="shared" si="43"/>
        <v>0</v>
      </c>
    </row>
    <row r="107" spans="1:26" x14ac:dyDescent="0.25">
      <c r="A107" s="1">
        <v>30</v>
      </c>
      <c r="B107" s="1">
        <v>36</v>
      </c>
      <c r="C107" s="1">
        <v>14</v>
      </c>
      <c r="D107" s="1">
        <v>16</v>
      </c>
      <c r="E107" s="1">
        <f xml:space="preserve"> 0.269064063420438 * B1 + 0.00012177942416793 * B2 + 0.000467787983718659 * B3 - 0.0226597079863376 * LN(B1) + 1.17417095216707 * LN(B2) - 2.13687720666667 * LN(B3) - 0.299788173383333 * B1^-5 + 0.762535981325892 * B1^-4 - 0.759721020288293 * B1^-3 + 0.416530143617637 * B1^-2 + 2.07945282175607 * B1^-1 + 87186.2346951646 * B2^-1 - 41840.3327719937 * (B1*B2)^-1 + 736.205488354491 * (B1*B3)^-1 - 1.08973289945627E-06 * B1*B2 - 7.80811352683022E-06 * B1*B3 - 7.68760152348426E-09 * B2*B3 + 4.40128905482385 * (B2/B3)^-5 - 0.000553465827260927 * (B3/B2)^-5 - 6.06505803832322 * (B2/B3)^-3 - 0.0000342329523628272 * (B1/B2)^-1 + 3.86631688744685E-06 * (B1/B3)^-1 + 1905.41642574803 * (B2/B1)^-1 - 768.564584286834 * (B3/B1)^-1 - 6055.66441658933 * B1 / (B2 + B3)</f>
        <v>0.91128949609612142</v>
      </c>
      <c r="F107" s="1">
        <f t="shared" si="35"/>
        <v>1</v>
      </c>
      <c r="G107" s="1">
        <f t="shared" si="36"/>
        <v>0</v>
      </c>
      <c r="H107" s="1">
        <f t="shared" si="37"/>
        <v>0</v>
      </c>
      <c r="I107" s="1"/>
      <c r="J107" s="1">
        <v>30</v>
      </c>
      <c r="K107" s="1">
        <v>36</v>
      </c>
      <c r="L107" s="1">
        <v>14</v>
      </c>
      <c r="M107" s="1">
        <v>16</v>
      </c>
      <c r="N107" s="1">
        <f xml:space="preserve"> 0.075784006596608 * B1 - 0.0000596759034372334 * B2 - 0.000107028289580106 * B3 + 0.00330821171259493 * LN(B1) + 1.20446448815075 * LN(B2) + 0.601380269782549 * LN(B3) - 0.0242205514493083 * B1^-5 + 0.0271633850008681 * B1^-4 - 1614.32094037496 * (B1*B2)^-1 + 628.314801149748 * (B1*B3)^-1 + 7.41148261229149E-07 * B1*B2 - 4.79437662829696E-06 * B1*B3 + 1.81594954227554E-09 * B2*B3 + 0.000195443535381983 * (B3/B2)^-5 + 0.703390111557729 * (B2/B3)^-3 + 430.349977194075 * (B2/B1)^-1 - 865.490193776948 * (B3/B1)^-1 + 647.109099200829 * B1 / (B2 + B3) - 14.7320016546998</f>
        <v>0.96078728220377485</v>
      </c>
      <c r="O107" s="1">
        <f t="shared" si="38"/>
        <v>1</v>
      </c>
      <c r="P107" s="1">
        <f t="shared" si="39"/>
        <v>0</v>
      </c>
      <c r="Q107" s="1">
        <f t="shared" si="40"/>
        <v>0</v>
      </c>
      <c r="R107" s="1"/>
      <c r="S107" s="1">
        <v>30</v>
      </c>
      <c r="T107" s="1">
        <v>36</v>
      </c>
      <c r="U107" s="1">
        <v>14</v>
      </c>
      <c r="V107" s="1">
        <v>16</v>
      </c>
      <c r="W107" s="1">
        <f xml:space="preserve">  - 61.9452272872082 * B1 - 0.0891181437607227 * B2 - 0.100784733317982 * B3 - 17.8511034805804 * LN(B1) + 177.917308418824 * LN(B2) + 192.810632632778 * LN(B3) - 517.044587244375 * B1^-5 + 1174.4896834256 * B1^-4 - 955.879643256155 * B1^-3 + 450.390040157631 * B1^-2 - 35632256.8205683 * B2^-1 + 7.0912961424661E-07 * B2^2 - 9807299.10919023 * (B1*B2)^-1 + 748885.665468369 * (B1*B3)^-1 + 0.000249075891871399 * B1*B2 + 0.00180461495741196 * B1*B3 + 1.46696771731397E-06 * B2*B3 + 0.085924498750064 * (B3/B2)^-5 - 6.49594827873281E-08 * (B1/B2)^-2 - 4.05252140343608E-08 * (B1/B3)^-2 + 0.00198018528113123 * (B1/B2)^-1 + 0.00533816435840207 * (B1/B3)^-1 - 340038.98589011 * (B2/B1)^-1 + 1333.72396012407 * (B2/B3)^-1 + 224236.296840301 * (B3/B1)^-1 + 1114167.62460735 * B1 / (B2 + B3)</f>
        <v>245.5282778214096</v>
      </c>
      <c r="X107" s="1">
        <f t="shared" si="41"/>
        <v>1</v>
      </c>
      <c r="Y107" s="1">
        <f t="shared" si="42"/>
        <v>0</v>
      </c>
      <c r="Z107" s="1">
        <f t="shared" si="43"/>
        <v>0</v>
      </c>
    </row>
    <row r="108" spans="1:26" x14ac:dyDescent="0.25">
      <c r="A108" s="1">
        <v>30</v>
      </c>
      <c r="B108" s="1">
        <v>36</v>
      </c>
      <c r="C108" s="1">
        <v>16</v>
      </c>
      <c r="D108" s="1">
        <v>18</v>
      </c>
      <c r="E108" s="1">
        <f xml:space="preserve"> 0.490566336293112 * B1 + 0.000199427045695408 * B2 + 0.000708980362344003 * B3 - 0.11332094268645 * LN(B1) + 3.02971784716709 * LN(B2) - 4.6927362554382 * LN(B3) - 1.26168052897776 * B1^-5 + 3.33742538725892 * B1^-4 - 3.53274064300836 * B1^-3 + 2.25749984466378 * B1^-2 + 154644.948581208 * B2^-1 - 10335.4499598793 * B3^-1 - 0.0000275610410275755 * B1^2 - 37384.139210493 * (B1*B2)^-1 + 5544.15551462758 * (B1*B3)^-1 - 1.50053621664655E-06 * B1*B2 - 0.0000134846368677534 * B1*B3 - 1.1890272468387E-08 * B2*B3 + 12.006232595379 * (B2/B3)^-5 - 0.00198751125583601 * (B3/B2)^-5 - 14.1164786466701 * (B2/B3)^-4 + 363.588909791134 * (B1/B2)^-2 - 2.73696002637698E-10 * (B1/B3)^-2 - 0.0000216632457792321 * (B1/B2)^-1 + 0.0000333511366612366 * (B1/B3)^-1 + 3273.40160755575 * (B2/B1)^-1 - 1793.31520806195 * (B3/B1)^-1 - 363.588909791211 * (B2/B1)^2 - 10459.9651841489 * B1 / (B2 + B3)</f>
        <v>0.90122063102156447</v>
      </c>
      <c r="F108" s="1">
        <f t="shared" si="35"/>
        <v>1</v>
      </c>
      <c r="G108" s="1">
        <f t="shared" si="36"/>
        <v>1</v>
      </c>
      <c r="H108" s="1">
        <f t="shared" si="37"/>
        <v>0.90122063102156447</v>
      </c>
      <c r="I108" s="1"/>
      <c r="J108" s="1">
        <v>30</v>
      </c>
      <c r="K108" s="1">
        <v>36</v>
      </c>
      <c r="L108" s="1">
        <v>16</v>
      </c>
      <c r="M108" s="1">
        <v>18</v>
      </c>
      <c r="N108" s="1">
        <f xml:space="preserve"> 0.381220253417586 * B1 - 0.0000830842868565774 * B2 - 0.000113390971545126 * B3 - 0.170285465983303 * LN(B1) + 1.2395506153956 * LN(B2) + 0.465011568296314 * LN(B3) - 6.86920547856348 * B1^-5 + 16.7902455902463 * B1^-4 - 15.6918766600082 * B1^-3 + 7.56332677625238 * B1^-2 - 19131.2519968386 * (B1*B2)^-1 - 8209.14668788555 * (B1*B3)^-1 + 7.43976074258988E-07 * B1*B2 - 0.000014278910340239 * B1*B3 + 2.80393077416103E-09 * B2*B3 + 0.975252916651936 * (B2/B3)^-5 + 0.000743115332080666 * (B3/B2)^-5 + 3.59448699609756E-10 * (B1/B3)^-2 - 0.0000160642900793893 * (B1/B2)^-1 - 0.0000504179413763164 * (B1/B3)^-1 + 718.471240648183 * (B2/B1)^-1 - 3185.25427357223 * (B3/B1)^-1 - 12.8545673011447</f>
        <v>0.95715899472391364</v>
      </c>
      <c r="O108" s="1">
        <f t="shared" si="38"/>
        <v>1</v>
      </c>
      <c r="P108" s="1">
        <f t="shared" si="39"/>
        <v>1</v>
      </c>
      <c r="Q108" s="1">
        <f t="shared" si="40"/>
        <v>0.95715899472391364</v>
      </c>
      <c r="R108" s="1"/>
      <c r="S108" s="1">
        <v>30</v>
      </c>
      <c r="T108" s="1">
        <v>36</v>
      </c>
      <c r="U108" s="1">
        <v>16</v>
      </c>
      <c r="V108" s="1">
        <v>18</v>
      </c>
      <c r="W108" s="1">
        <f xml:space="preserve">  - 233.225984665033 * B1 - 0.0195099342243347 * B2 - 0.309795935984372 * B3 + 6.54832941210306 * LN(B1) - 4355.65191609747 * LN(B2) + 1654.67907266843 * LN(B3) + 980.708955572823 * B1^-5 - 2419.15929606934 * B1^-4 + 2297.81513040089 * B1^-3 - 1021.88542395135 * B1^-2 - 120588550.956948 * B2^-1 - 9989372.27614697 * (B1*B2)^-1 + 3719382.27635284 * (B1*B3)^-1 + 0.00077318042279162 * B1*B2 + 0.00605859097662976 * B1*B3 + 0.0000043736228972674 * B2*B3 - 684.322293158916 * (B2/B3)^-5 + 0.629078287005848 * (B3/B2)^-5 - 6.54273811918439E-08 * (B1/B2)^-2 - 1.46007387633688E-07 * (B1/B3)^-2 + 2486.94381424628 * (B2/B3)^-2 + 0.00186674928583431 * (B1/B2)^-1 + 0.0209130308460673 * (B1/B3)^-1 - 952687.831717423 * (B2/B1)^-1 + 1035841.69026684 * (B3/B1)^-1 + 3729535.95999235 * B1 / (B2 + B3) + 35853.2610521859</f>
        <v>247.65221954043955</v>
      </c>
      <c r="X108" s="1">
        <f t="shared" si="41"/>
        <v>1</v>
      </c>
      <c r="Y108" s="1">
        <f t="shared" si="42"/>
        <v>1</v>
      </c>
      <c r="Z108" s="1">
        <f t="shared" si="43"/>
        <v>247.65221954043955</v>
      </c>
    </row>
    <row r="109" spans="1:26" x14ac:dyDescent="0.25">
      <c r="A109" s="1">
        <v>30</v>
      </c>
      <c r="B109" s="1">
        <v>36</v>
      </c>
      <c r="C109" s="1">
        <v>18</v>
      </c>
      <c r="D109" s="1">
        <v>20</v>
      </c>
      <c r="E109" s="1">
        <f xml:space="preserve"> 0.538076521143763 * B1 + 0.000187747581222098 * B2 + 0.000236137757696551 * B3 + 0.272171107647952 * LN(B1) - 1.52189077037113 * LN(B2) + 1.02375616136274 * LN(B3) + 3.44707885899431 * B1^-5 - 9.2165731146506 * B1^-4 + 9.87942535596113 * B1^-3 - 5.36271510446558 * B1^-2 + 14463.4736921159 * B3^-1 + 0.000345039378784328 * B1^2 - 30689.1739802286 * (B1*B2)^-1 + 23695.2959900371 * (B1*B3)^-1 - 3.38351239151079E-07 * B1*B2 - 0.0000172290441503571 * B1*B3 - 8.39961682117062E-09 * B2*B3 - 1.56067880414688 * (B2/B3)^-5 - 0.00462567439159179 * (B3/B2)^-5 - 2.13333791235842E-10 * (B1/B2)^-2 - 7.55706574018302E-10 * (B1/B3)^-2 + 3.37234299054048E-07 * (B1/B2)^-1 + 0.000110211832621418 * (B1/B3)^-1 + 4274.96458939408 * (B2/B1)^-1 - 3056.57779313083 * (B3/B1)^-1 - 10664.2642485445 * B1 / (B2 + B3)</f>
        <v>0.90322604312445121</v>
      </c>
      <c r="F109" s="1">
        <f t="shared" si="35"/>
        <v>1</v>
      </c>
      <c r="G109" s="1">
        <f>IF(AND($C$3&gt;=C109,$C$3&lt;=D109),1,0)</f>
        <v>0</v>
      </c>
      <c r="H109" s="1">
        <f t="shared" si="37"/>
        <v>0</v>
      </c>
      <c r="I109" s="1"/>
      <c r="J109" s="1">
        <v>30</v>
      </c>
      <c r="K109" s="1">
        <v>36</v>
      </c>
      <c r="L109" s="1">
        <v>18</v>
      </c>
      <c r="M109" s="1">
        <v>20</v>
      </c>
      <c r="N109" s="1">
        <f xml:space="preserve"> 1.09518975804086 * B1 - 0.0000505068640956296 * B2 - 0.0000353257805741567 * B3 - 0.322929548441233 * LN(B1) + 0.459737521308144 * LN(B2) - 0.228244607736888 * LN(B3) - 9.31762803035621 * B1^-5 + 23.4122951972712 * B1^-4 - 22.8564642227949 * B1^-3 + 11.7488686667722 * B1^-2 + 6248.51658022728 * B3^-1 - 33960.1390498063 * (B1*B2)^-1 - 14004.139445975 * (B1*B3)^-1 + 3.30114759370401E-07 * B1*B2 - 0.0000332092389590274 * B1*B3 + 2.28347014161524E-09 * B2*B3 + 0.587958169304485 * (B2/B3)^-5 + 4.64976587552225E-10 * (B1/B3)^-2 - 0.0000301566586287984 * (B1/B2)^-1 - 0.0000741839331632728 * (B1/B3)^-1 + 3334.70716537026 * (B2/B1)^-1 - 8406.46721008114 * (B3/B1)^-1 - 7336.75262512107 * B1 / (B2 + B3)</f>
        <v>0.95655716593532847</v>
      </c>
      <c r="O109" s="1">
        <f t="shared" si="38"/>
        <v>1</v>
      </c>
      <c r="P109" s="1">
        <f>IF(AND($C$3&gt;=L109,$C$3&lt;=M109),1,0)</f>
        <v>0</v>
      </c>
      <c r="Q109" s="1">
        <f t="shared" si="40"/>
        <v>0</v>
      </c>
      <c r="R109" s="1"/>
      <c r="S109" s="1">
        <v>30</v>
      </c>
      <c r="T109" s="1">
        <v>36</v>
      </c>
      <c r="U109" s="1">
        <v>18</v>
      </c>
      <c r="V109" s="1">
        <v>20</v>
      </c>
      <c r="W109" s="1">
        <f xml:space="preserve">  - 927.582678327415 * B1 - 0.249166012713826 * B2 - 1.00205248677059 * B3 + 130.295360047281 * LN(B1) - 606.532915317355 * LN(B2) + 2512.10383906818 * LN(B3) + 8355.91572552679 * B1^-5 - 20120.0340916095 * B1^-4 + 18332.9067485331 * B1^-3 - 8278.91220506854 * B1^-2 - 266180170.470508 * B2^-1 - 9996863.07307134 * (B1*B2)^-1 + 19398009.7400269 * (B1*B3)^-1 + 0.00267534031251088 * B1*B2 + 0.0218433541075503 * B1*B3 + 0.0000135594041443119 * B2*B3 - 435.200547453607 * (B2/B3)^-5 + 2.84523439266298 * (B3/B2)^-5 - 7.78930693678681E-08 * (B1/B2)^-2 - 5.56942189976559E-07 * (B1/B3)^-2 + 0.00316619446240876 * (B1/B2)^-1 + 0.087593197023447 * (B1/B3)^-1 - 2946947.76576427 * (B2/B1)^-1 + 14126.5425636905 * (B2/B3)^-1 + 4923088.07431181 * (B3/B1)^-1 + 13412600.8259712 * B1 / (B2 + B3)</f>
        <v>248.06473877862004</v>
      </c>
      <c r="X109" s="1">
        <f t="shared" si="41"/>
        <v>1</v>
      </c>
      <c r="Y109" s="1">
        <f>IF(AND($C$3&gt;=U109,$C$3&lt;=V109),1,0)</f>
        <v>0</v>
      </c>
      <c r="Z109" s="1">
        <f t="shared" si="43"/>
        <v>0</v>
      </c>
    </row>
    <row r="110" spans="1:26" x14ac:dyDescent="0.25">
      <c r="A110" s="1">
        <v>36</v>
      </c>
      <c r="B110" s="1">
        <v>42</v>
      </c>
      <c r="C110" s="1">
        <v>11</v>
      </c>
      <c r="D110" s="1">
        <v>14</v>
      </c>
      <c r="E110" s="1">
        <f xml:space="preserve"> 0.00693959304219757 * B1 + 0.000921862432233022 * B2 - 0.000585972269881148 * B3 - 0.0053302309805592 * LN(B1) - 14.991113997266 * LN(B2) + 14.2224262027323 * LN(B3) + 0.124129032361461 * B1^-5 - 0.269126272872037 * B1^-4 + 0.194785837813329 * B1^-3 - 0.0173270969874489 * B1^-2 + 92555.2912574503 * B3^-1 - 5.30697547474259E-09 * B2^2 + 1.20282407274478E-08 * B3^2 + 1173.82816024403 * (B1*B3)^-1 + 1.21501090959187E-06 * B1*B2 - 4.82946094376365E-06 * B1*B3 - 8.5863834044162E-09 * B2*B3 - 11.2441393777737 * (B2/B3)^-5 + 0.000934517415789885 * (B3/B2)^-5 - 0.00645791311906524 * (B3/B2)^-4 - 1.47720816532115E-10 * (B1/B3)^-2 - 9.03331594619406E-06 * (B1/B2)^-1 + 0.0000142150537444444 * (B1/B3)^-1 + 5317.9537127308 * (B2/B1)^-1 - 249.580977468086 * (B3/B1)^-1 - 5807.75861571829 * B1 / (B2 + B3)</f>
        <v>0.6864007041955571</v>
      </c>
      <c r="F110" s="1">
        <f t="shared" si="35"/>
        <v>0</v>
      </c>
      <c r="G110" s="1">
        <f t="shared" si="36"/>
        <v>0</v>
      </c>
      <c r="H110" s="1">
        <f t="shared" si="37"/>
        <v>0</v>
      </c>
      <c r="I110" s="1"/>
      <c r="J110" s="1">
        <v>36</v>
      </c>
      <c r="K110" s="1">
        <v>42</v>
      </c>
      <c r="L110" s="1">
        <v>11</v>
      </c>
      <c r="M110" s="1">
        <v>14</v>
      </c>
      <c r="N110" s="1">
        <f xml:space="preserve"> 0.0050682668042208 * B1 - 9.97183922538048E-06 * B2 - 0.0000643388680676439 * B3 + 0.00407355749432504 * LN(B1) + 0.13979600953764 * LN(B2) + 1.19179544549094 * LN(B3) + 0.0197265511283519 * B1^-5 - 0.0237295358300643 * B1^-4 + 5932.7829131363 * B3^-1 + 95.4264035029087 * (B1*B3)^-1 + 1.40277289732405E-07 * B1*B2 - 7.75198191424037E-07 * B1*B3 + 3.50422793146682E-10 * B2*B3 - 0.0000686454209015939 * (B3/B2)^-5 + 0.000457403919358608 * (B3/B2)^-4 + 6.13956651573185E-08 * (B1/B2)^-1 - 421.87647852479 * (B2/B1)^-1 - 134.556616173801 * (B3/B1)^-1 + 1024.57577701701 * B1 / (B2 + B3) - 11.2227831298205</f>
        <v>0.94986105323637915</v>
      </c>
      <c r="O110" s="1">
        <f t="shared" si="38"/>
        <v>0</v>
      </c>
      <c r="P110" s="1">
        <f t="shared" si="39"/>
        <v>0</v>
      </c>
      <c r="Q110" s="1">
        <f t="shared" si="40"/>
        <v>0</v>
      </c>
      <c r="R110" s="1"/>
      <c r="S110" s="1">
        <v>36</v>
      </c>
      <c r="T110" s="1">
        <v>42</v>
      </c>
      <c r="U110" s="1">
        <v>11</v>
      </c>
      <c r="V110" s="1">
        <v>14</v>
      </c>
      <c r="W110" s="1">
        <f xml:space="preserve">  - 22.4346992300926 * B1 - 0.192877240516405 * B2 + 0.112475875353156 * B3 - 1.2408499089436 * LN(B1) + 3032.47651390355 * LN(B2) - 2813.3978944117 * LN(B3) + 397.57183224415 * B1^-5 - 983.521403047911 * B1^-4 + 944.118147021192 * B1^-3 - 468.687404418355 * B1^-2 - 19399900.1203535 * B3^-1 + 1.14588473578712E-06 * B2^2 - 0.0000026447780837699 * B3^2 + 26278.1748329572 * (B1*B3)^-1 + 0.0000188963500288179 * B1*B2 + 0.000823847063937309 * B1*B3 + 1.93878827057214E-06 * B2*B3 + 2406.31930841227 * (B2/B3)^-5 - 0.0773096319048706 * (B3/B2)^-5 + 4.57715161625855 * (B3/B2)^-3 - 1.291450443805E-08 * (B1/B2)^-2 + 0.00444312998210335 * (B1/B2)^-1 - 417474.027379037 * (B2/B1)^-1 + 49997.5155013568 * (B3/B1)^-1 + 0.000185515446243103 * B3/B1 + 942335.147625995 * B1 / (B2 + B3)</f>
        <v>293.54000306397631</v>
      </c>
      <c r="X110" s="1">
        <f t="shared" si="41"/>
        <v>0</v>
      </c>
      <c r="Y110" s="1">
        <f t="shared" si="42"/>
        <v>0</v>
      </c>
      <c r="Z110" s="1">
        <f t="shared" si="43"/>
        <v>0</v>
      </c>
    </row>
    <row r="111" spans="1:26" x14ac:dyDescent="0.25">
      <c r="A111" s="1">
        <v>36</v>
      </c>
      <c r="B111" s="1">
        <v>42</v>
      </c>
      <c r="C111" s="1">
        <v>14</v>
      </c>
      <c r="D111" s="1">
        <v>16</v>
      </c>
      <c r="E111" s="1">
        <f xml:space="preserve"> 0.228730681303826 * B1 + 0.00145025637529357 * B2 + 0.000089718524013349 * B3 + 0.0437271722306238 * LN(B1) - 27.6430946254269 * LN(B2) + 25.0934855482042 * LN(B3) + 2.97650348220498 * B1^-5 - 7.16269594347819 * B1^-4 + 6.51057018355529 * B1^-3 - 2.93026348442679 * B1^-2 + 226241.802991567 * B3^-1 - 7.23181756637488E-09 * B2^2 + 5773.40893546833 * (B1*B3)^-1 + 3.14090815339248E-08 * B1*B2 - 9.36887730560867E-06 * B1*B3 - 1.6129227112905E-08 * B2*B3 + 74.6845396004101 * (B2/B3)^-5 - 0.000573331060343549 * (B3/B2)^-5 - 64.1507479953853 * (B2/B3)^-4 - 3.88267043694598E-10 * (B1/B3)^-2 - 0.0000070204810146115 * (B1/B2)^-1 + 0.0000461634863196575 * (B1/B3)^-1 + 6193.60673446717 * (B2/B1)^-1 - 791.563332806559 * (B3/B1)^-1 - 10917.1349028583 * B1 / (B2 + B3)</f>
        <v>0.98754026483553492</v>
      </c>
      <c r="F111" s="1">
        <f t="shared" si="35"/>
        <v>0</v>
      </c>
      <c r="G111" s="1">
        <f t="shared" si="36"/>
        <v>0</v>
      </c>
      <c r="H111" s="1">
        <f t="shared" si="37"/>
        <v>0</v>
      </c>
      <c r="I111" s="1"/>
      <c r="J111" s="1">
        <v>36</v>
      </c>
      <c r="K111" s="1">
        <v>42</v>
      </c>
      <c r="L111" s="1">
        <v>14</v>
      </c>
      <c r="M111" s="1">
        <v>16</v>
      </c>
      <c r="N111" s="1">
        <f xml:space="preserve"> 0.068260903006079 * B1 + 0.0000181337955183569 * B2 - 0.0000764901680837059 * B3 - 0.0586126002887225 * LN(B1) - 0.151548425841718 * LN(B2) + 0.297362282715688 * LN(B3) - 0.898475328840597 * B1^-5 + 2.34747736858479 * B1^-4 - 2.43487395056012 * B1^-3 + 1.34295591785033 * B1^-2 - 0.0000601745095702517 * B1^2 - 3.89647681151956E-10 * B2^2 - 3113.34750448669 * (B1*B3)^-1 + 4.73446737307847E-07 * B1*B2 - 3.85895464611236E-06 * B1*B3 + 1.31471468977761E-09 * B2*B3 - 6.7458556070944 * (B2/B3)^-5 + 0.0000907193043846377 * (B3/B2)^-5 + 5.58934027765333 * (B2/B3)^-4 + 2.0665343041186E-10 * (B1/B3)^-2 + 1.83082262350271E-07 * (B1/B2)^-1 - 0.0000240133905106774 * (B1/B3)^-1 - 1461.967510112 * (B2/B1)^-1 - 918.578888842361 * (B3/B1)^-1 + 3867.53240742884 * B1 / (B2 + B3) + 0.063382287764446</f>
        <v>0.94820427592345191</v>
      </c>
      <c r="O111" s="1">
        <f t="shared" si="38"/>
        <v>0</v>
      </c>
      <c r="P111" s="1">
        <f t="shared" si="39"/>
        <v>0</v>
      </c>
      <c r="Q111" s="1">
        <f t="shared" si="40"/>
        <v>0</v>
      </c>
      <c r="R111" s="1"/>
      <c r="S111" s="1">
        <v>36</v>
      </c>
      <c r="T111" s="1">
        <v>42</v>
      </c>
      <c r="U111" s="1">
        <v>14</v>
      </c>
      <c r="V111" s="1">
        <v>16</v>
      </c>
      <c r="W111" s="1">
        <f xml:space="preserve">  - 140.789603760707 * B1 - 0.516432477379415 * B2 - 0.0888914522845612 * B3 + 3.394086315183 * LN(B1) + 10289.4815413512 * LN(B2) - 9230.71706867319 * LN(B3) + 705.602721418102 * B1^-5 - 1728.03181515897 * B1^-4 + 1623.83396878909 * B1^-3 - 777.999332231038 * B1^-2 - 89591451.2746687 * B3^-1 + 0.0000023516064264397 * B2^2 + 577865.21170305 * (B1*B3)^-1 + 0.00063176866149707 * B1*B2 + 0.00333987204134318 * B1*B3 + 6.40805828125543E-06 * B2*B3 - 28734.2452996265 * (B2/B3)^-5 + 0.270055651874069 * (B3/B2)^-5 + 25166.137327527 * (B2/B3)^-4 - 1.17560608243489E-08 * (B1/B2)^-2 - 3.61452389802423E-08 * (B1/B3)^-2 + 0.00423301539305987 * (B1/B2)^-1 + 0.00424309618816819 * (B1/B3)^-1 - 1035941.55859944 * (B2/B1)^-1 + 340687.732884442 * (B3/B1)^-1 + 3817121.94332669 * B1 / (B2 + B3)</f>
        <v>221.25680059245957</v>
      </c>
      <c r="X111" s="1">
        <f t="shared" si="41"/>
        <v>0</v>
      </c>
      <c r="Y111" s="1">
        <f t="shared" si="42"/>
        <v>0</v>
      </c>
      <c r="Z111" s="1">
        <f t="shared" si="43"/>
        <v>0</v>
      </c>
    </row>
    <row r="112" spans="1:26" x14ac:dyDescent="0.25">
      <c r="A112" s="1">
        <v>36</v>
      </c>
      <c r="B112" s="1">
        <v>42</v>
      </c>
      <c r="C112" s="1">
        <v>16</v>
      </c>
      <c r="D112" s="1">
        <v>18</v>
      </c>
      <c r="E112" s="1">
        <f xml:space="preserve"> 0.375952582194451 * B1 + 0.0014544934912302 * B2 - 0.0000321369435164624 * B3 - 0.113797608427736 * LN(B1) - 24.9009162117503 * LN(B2) + 22.1457460444673 * LN(B3) + 2.22194649259678 * B1^-5 - 4.48329099291416 * B1^-4 + 2.80725530019369 * B1^-3 + 227472.06459658 * B3^-1 - 7.87784812525947E-09 * B2^2 - 12310.4973677838 * (B1*B3)^-1 - 2.79508937719644E-07 * B1*B2 - 0.0000124962559656546 * B1*B3 - 1.31200042033641E-08 * B2*B3 - 7.93488731918548 * (B2/B3)^-5 - 0.0016744871432997 * (B3/B2)^-5 - 1.0450234589442E-10 * (B1/B2)^-2 - 6.84831615549451E-10 * (B1/B3)^-2 + 6.82805768251816E-06 * (B1/B2)^-1 - 2677.63576181157 * (B3/B1)^-1</f>
        <v>0.88740458987731119</v>
      </c>
      <c r="F112" s="1">
        <f t="shared" si="35"/>
        <v>0</v>
      </c>
      <c r="G112" s="1">
        <f t="shared" si="36"/>
        <v>1</v>
      </c>
      <c r="H112" s="1">
        <f t="shared" si="37"/>
        <v>0</v>
      </c>
      <c r="I112" s="1"/>
      <c r="J112" s="1">
        <v>36</v>
      </c>
      <c r="K112" s="1">
        <v>42</v>
      </c>
      <c r="L112" s="1">
        <v>16</v>
      </c>
      <c r="M112" s="1">
        <v>18</v>
      </c>
      <c r="N112" s="1">
        <f xml:space="preserve"> 0.315703729402861 * B1 - 0.0000241980186564746 * B2 + 0.0000601347454238406 * B3 - 0.108244539988285 * LN(B1) + 0.687578260100836 * LN(B2) - 0.67213755178264 * LN(B3) - 6.82800649079513 * B1^-5 + 16.459149895811 * B1^-4 - 15.0034870802673 * B1^-3 + 6.83113564426532 * B1^-2 + 5842.96872735973 * B3^-1 - 12597.1862682973 * (B1*B3)^-1 + 0.0000013634178151727 * B1*B2 - 0.0000138105000795026 * B1*B3 + 3.62894865610937E-10 * B2*B3 + 5.81160771823131E-10 * (B1/B3)^-2 - 0.0000757474312088503 * (B1/B3)^-1 - 3420.77462003759 * (B3/B1)^-1 + 3500.24245577721 * B1 / (B2 + B3)</f>
        <v>0.94219821499035505</v>
      </c>
      <c r="O112" s="1">
        <f t="shared" si="38"/>
        <v>0</v>
      </c>
      <c r="P112" s="1">
        <f t="shared" si="39"/>
        <v>1</v>
      </c>
      <c r="Q112" s="1">
        <f t="shared" si="40"/>
        <v>0</v>
      </c>
      <c r="R112" s="1"/>
      <c r="S112" s="1">
        <v>36</v>
      </c>
      <c r="T112" s="1">
        <v>42</v>
      </c>
      <c r="U112" s="1">
        <v>16</v>
      </c>
      <c r="V112" s="1">
        <v>18</v>
      </c>
      <c r="W112" s="1">
        <f xml:space="preserve">  - 507.233269392314 * B1 - 1.35352120814558 * B2 - 15.3371181440028 * B3 - 21.5450623426432 * LN(B1) + 28104.2513461383 * LN(B2) - 100.709597540344 * B1^-5 + 137.367223026402 * B1^-4 + 2.78207852394901 * B1^-3 - 1439698650.61041 * B3^-1 + 5.19686643043129E-06 * B2^2 + 0.000279213013833414 * B3^2 - 2312148.67136002 * (B1*B3)^-1 + 0.00241716855376075 * B1*B2 + 0.0104850750868035 * B1*B3 + 0.0000176809150748668 * B2*B3 - 49510.7746027941 * (B2/B3)^-5 + 1.65967203321179 * (B3/B2)^-5 + 48719.0187441093 * (B2/B3)^-4 - 1.10795735525654E-08 * (B1/B2)^-2 - 1.48068146541719E-07 * (B1/B3)^-2 + 0.00402562536096216 * (B1/B2)^-1 - 2860686.96440534 * (B2/B1)^-1 + 1385315.9492416 * (B3/B1)^-1 + 12884294.5598765 * B1 / (B2 + B3)</f>
        <v>228.00359659498577</v>
      </c>
      <c r="X112" s="1">
        <f t="shared" si="41"/>
        <v>0</v>
      </c>
      <c r="Y112" s="1">
        <f t="shared" si="42"/>
        <v>1</v>
      </c>
      <c r="Z112" s="1">
        <f t="shared" si="43"/>
        <v>0</v>
      </c>
    </row>
    <row r="113" spans="1:26" x14ac:dyDescent="0.25">
      <c r="A113" s="1">
        <v>36</v>
      </c>
      <c r="B113" s="1">
        <v>42</v>
      </c>
      <c r="C113" s="1">
        <v>18</v>
      </c>
      <c r="D113" s="1">
        <v>20</v>
      </c>
      <c r="E113" s="1">
        <f xml:space="preserve">  - 0.745721199926849 * B1 - 0.00039702556731065 * B2 - 0.000901006225186742 * B3 + 0.954126564805683 * LN(B1) + 0.691807667323193 * LN(B2) + 2.17146456692305 * LN(B3) + 12.546201326357 * B1^-5 - 33.1988717348809 * B1^-4 + 35.1218888160396 * B1^-3 - 19.671806638732 * B1^-2 - 300733.377008993 * B3^-1 + 0.000941823875693644 * B1^2 - 2.90181313051325E-09 * B2^2 + 52353.2669805773 * (B1*B3)^-1 + 6.01644427487362E-06 * B1*B2 + 3.85179642987616E-06 * B1*B3 + 1.33946845362527E-08 * B2*B3 + 1.9604155810467 * (B2/B3)^-5 - 2.1352430958243E-10 * (B1/B2)^-2 - 1.75123425269001E-09 * (B1/B3)^-2 + 0.0000239526998376485 * (B1/B2)^-1 + 0.000258897702856916 * (B1/B3)^-1 - 1729.75271727093 * (B2/B1)^-1 + 6.13809012396152 * (B3/B2)^-1 + 23291.8501791112 * B1 / (B2 + B3)</f>
        <v>0.8652949263668579</v>
      </c>
      <c r="F113" s="1">
        <f t="shared" si="35"/>
        <v>0</v>
      </c>
      <c r="G113" s="1">
        <f>IF(AND($C$3&gt;=C113,$C$3&lt;=D113),1,0)</f>
        <v>0</v>
      </c>
      <c r="H113" s="1">
        <f t="shared" si="37"/>
        <v>0</v>
      </c>
      <c r="I113" s="1"/>
      <c r="J113" s="1">
        <v>36</v>
      </c>
      <c r="K113" s="1">
        <v>42</v>
      </c>
      <c r="L113" s="1">
        <v>18</v>
      </c>
      <c r="M113" s="1">
        <v>20</v>
      </c>
      <c r="N113" s="1">
        <f xml:space="preserve"> 1.37405289237048 * B1 + 0.00135317076845547 * B2 + 0.000252339199852354 * B3 - 0.317913356493758 * LN(B1) - 28.7514341531567 * LN(B2) + 25.3047460449984 * LN(B3) - 11.6109148217561 * B1^-5 + 29.2637503321155 * B1^-4 - 28.5542970819381 * B1^-3 + 14.2545897377914 * B1^-2 + 339071.891479687 * B3^-1 - 5.64743102299868E-09 * B2^2 - 32300.2063496972 * (B1*B3)^-1 - 4.58377582068563E-07 * B1*B2 - 0.0000392044197322102 * B1*B3 - 1.23632451388074E-08 * B2*B3 + 26.7896376221577 * (B2/B3)^-5 - 0.00220589095011125 * (B3/B2)^-5 - 28.6238058858139 * (B2/B3)^-4 + 1.15642659884333E-09 * (B1/B3)^-2 - 1.12303901078904E-06 * (B1/B2)^-1 - 0.000163983135347373 * (B1/B3)^-1 - 1151.48801921747 * (B2/B1)^-1 - 11230.3083957268 * (B3/B1)^-1</f>
        <v>1.0037785901392118</v>
      </c>
      <c r="O113" s="1">
        <f t="shared" si="38"/>
        <v>0</v>
      </c>
      <c r="P113" s="1">
        <f>IF(AND($C$3&gt;=L113,$C$3&lt;=M113),1,0)</f>
        <v>0</v>
      </c>
      <c r="Q113" s="1">
        <f t="shared" si="40"/>
        <v>0</v>
      </c>
      <c r="R113" s="1"/>
      <c r="S113" s="1">
        <v>36</v>
      </c>
      <c r="T113" s="1">
        <v>42</v>
      </c>
      <c r="U113" s="1">
        <v>18</v>
      </c>
      <c r="V113" s="1">
        <v>20</v>
      </c>
      <c r="W113" s="1">
        <f xml:space="preserve">  - 2175.0917992131 * B1 - 3.99364105867232 * B2 - 1.45327194643946 * B3 + 477.030805534247 * LN(B1) + 88143.2362346599 * LN(B2) - 77245.6127011516 * LN(B3) + 6566.17015621501 * B1^-5 - 17254.5057295684 * B1^-4 + 18077.0961683928 * B1^-3 - 10177.9553720006 * B1^-2 - 1012148383.54692 * B3^-1 + 0.455148993478457 * B1^2 + 0.0000131747392647482 * B2^2 + 31110531.1869305 * (B1*B3)^-1 - 0.0336209437498342 * B1*B2 + 0.0000532840239044471 * B2*B3 - 35270.3093900189 * (B2/B3)^-5 + 9.00031922679466 * (B3/B2)^-5 + 52492.6408158269 * (B2/B3)^-3 - 3.02429882562346E-08 * (B1/B2)^-2 - 7.57653651569596E-07 * (B1/B3)^-2 + 0.00607437071533906 * (B1/B2)^-1 + 0.131466634167237 * (B1/B3)^-1 - 9479569.68729628 * (B2/B1)^-1 + 8229105.81279222 * (B3/B1)^-1 + 47444579.8181058 * B1 / (B2 + B3) + 0.0423288062445836 * B1 * (B2 + B3)</f>
        <v>163.0905244710666</v>
      </c>
      <c r="X113" s="1">
        <f t="shared" si="41"/>
        <v>0</v>
      </c>
      <c r="Y113" s="1">
        <f>IF(AND($C$3&gt;=U113,$C$3&lt;=V113),1,0)</f>
        <v>0</v>
      </c>
      <c r="Z113" s="1">
        <f t="shared" si="43"/>
        <v>0</v>
      </c>
    </row>
    <row r="114" spans="1:26" x14ac:dyDescent="0.25">
      <c r="A114" s="1">
        <v>42</v>
      </c>
      <c r="B114" s="1">
        <v>48</v>
      </c>
      <c r="C114" s="1">
        <v>11</v>
      </c>
      <c r="D114" s="1">
        <v>14</v>
      </c>
      <c r="E114" s="1">
        <f xml:space="preserve">  - 0.0822349505935705 * B1 + 0.00195968871474483 * B2 - 0.00136849994133291 * B3 - 0.0948923063061354 * LN(B1) - 49.2346107673037 * LN(B2) + 43.6598240477923 * LN(B3) - 2.58234496168698 * B1^-5 + 6.42222121048243 * B1^-4 - 6.21612501879752 * B1^-3 + 2.83191451971628 * B1^-2 + 180542.977401583 * B3^-1 - 1.08791987713178E-08 * B2^2 + 2.75980128556041E-08 * B3^2 + 4487.37059987809 * (B1*B3)^-1 + 2.89981685968825E-06 * B1*B2 - 8.00769399716485E-06 * B1*B3 - 1.49132609666629E-08 * B2*B3 - 9.89955865022224 * (B2/B3)^-5 + 2.74512513010365E-10 * (B1/B2)^-2 - 5.42010974174003E-10 * (B1/B3)^-2 - 0.0000541566321557892 * (B1/B2)^-1 + 0.0000551498480374682 * (B1/B3)^-1 + 16879.8741533733 * (B2/B1)^-1 - 191.525956513224 * (B3/B1)^-1 + 73.3819925770181 * B2 / (B2 + B3) - 17754.0404590898 * B1 / (B2 + B3)</f>
        <v>0.69809925437677922</v>
      </c>
      <c r="F114" s="1">
        <f t="shared" si="35"/>
        <v>0</v>
      </c>
      <c r="G114" s="1">
        <f t="shared" si="36"/>
        <v>0</v>
      </c>
      <c r="H114" s="1">
        <f t="shared" si="37"/>
        <v>0</v>
      </c>
      <c r="I114" s="1"/>
      <c r="J114" s="1">
        <v>42</v>
      </c>
      <c r="K114" s="1">
        <v>48</v>
      </c>
      <c r="L114" s="1">
        <v>11</v>
      </c>
      <c r="M114" s="1">
        <v>14</v>
      </c>
      <c r="N114" s="1">
        <f xml:space="preserve">  - 0.0349396956402588 * B1 + 0.000152389529662189 * B2 - 0.0000352436142838838 * B3 - 0.0100677461222101 * LN(B1) - 3.06449156381014 * LN(B2) + 0.854172796435893 * LN(B3) + 0.432744132440672 * B1^-5 - 0.809477325784846 * B1^-4 + 0.420902185779849 * B1^-3 + 4960.31663637806 * B3^-1 - 9.36655011716049E-10 * B2^2 + 34.147079268989 * (B1*B3)^-1 + 5.1630186634024E-07 * B1*B2 - 5.7826563984063E-07 * B1*B3 + 0.0000030361247578688 * (B3/B2)^-5 - 1.62751488711662E-06 * (B1/B2)^-1 - 4.05654729499226E-07 * (B1/B3)^-1 + 501.235233949373 * (B2/B1)^-1 - 97.6851286083609 * (B3/B1)^-1 + 890.915172252343 * B1 / (B2 + B3) + 20.8648541078309</f>
        <v>0.98646420270036828</v>
      </c>
      <c r="O114" s="1">
        <f t="shared" si="38"/>
        <v>0</v>
      </c>
      <c r="P114" s="1">
        <f t="shared" si="39"/>
        <v>0</v>
      </c>
      <c r="Q114" s="1">
        <f t="shared" si="40"/>
        <v>0</v>
      </c>
      <c r="R114" s="1"/>
      <c r="S114" s="1">
        <v>42</v>
      </c>
      <c r="T114" s="1">
        <v>48</v>
      </c>
      <c r="U114" s="1">
        <v>11</v>
      </c>
      <c r="V114" s="1">
        <v>14</v>
      </c>
      <c r="W114" s="1">
        <f xml:space="preserve"> 91.9353524132623 * B1 - 1.39352541699955 * B2 + 1.51796638888328 * B3 - 14.8526634161408 * LN(B1) + 25981.1058738047 * LN(B2) - 25387.0809764313 * LN(B3) - 46.6704948815091 * B1^-5 + 67.8098352298551 * B1^-4 - 471.132226779293 * B1^-1 - 151305274.044087 * B3^-1 + 0.0000070182290856425 * B2^2 - 0.0000295391438575206 * B3^2 - 255899.964072188 * (B1*B3)^-1 - 0.00166276260257899 * B1*B2 + 0.00253875365828253 * B1*B3 + 0.0000109031519124931 * B2*B3 + 27638.9661358989 * (B2/B3)^-5 - 0.113507290421323 * (B3/B2)^-5 - 2.28963451467118E-08 * (B1/B2)^-2 + 121.34751825235 * (B3/B2)^-2 + 0.0132459739006692 * (B1/B2)^-1 - 0.00244350736137209 * (B1/B3)^-1 - 6785354.07580048 * (B2/B1)^-1 + 85197.0001105626 * (B3/B1)^-1 + 5513189.41603108 * B1 / (B2 + B3)</f>
        <v>1032.2514179798541</v>
      </c>
      <c r="X114" s="1">
        <f t="shared" si="41"/>
        <v>0</v>
      </c>
      <c r="Y114" s="1">
        <f t="shared" si="42"/>
        <v>0</v>
      </c>
      <c r="Z114" s="1">
        <f t="shared" si="43"/>
        <v>0</v>
      </c>
    </row>
    <row r="115" spans="1:26" x14ac:dyDescent="0.25">
      <c r="A115" s="1">
        <v>42</v>
      </c>
      <c r="B115" s="1">
        <v>48</v>
      </c>
      <c r="C115" s="1">
        <v>14</v>
      </c>
      <c r="D115" s="1">
        <v>16</v>
      </c>
      <c r="E115" s="1">
        <f xml:space="preserve">  - 0.0247284299524285 * B1 + 0.000503065477865388 * B2 - 0.000395321813492297 * B3 + 0.0990219711809784 * LN(B1) + 2.30371598295454 * LN(B2) - 0.780505934120786 * LN(B3) + 6.96639862952493 * B1^-5 - 16.5803263317148 * B1^-4 + 14.832496088149 * B1^-3 - 6.82837805886602 * B1^-2 - 5.05090566599076E-09 * B2^2 + 18011.0050798542 * (B1*B3)^-1 + 1.93375373905907E-06 * B1*B2 - 6.44966003483554E-06 * B1*B3 - 0.00303961572003284 * (B3/B2)^-3 + 1.74112866869483E-10 * (B1/B2)^-2 - 21122.4681443232 * (B1/B3)^-2 - 0.0000354500067214907 * (B1/B2)^-1 + 0.000139516039988535 * (B1/B3)^-1 + 12951.9811252143 * (B2/B1)^-1 + 21122.4681443222 * (B3/B1)^2 - 30.8029380584797 * B2 / (B2 + B3) - 15753.9507236019 * B1 / (B2 + B3)</f>
        <v>0.83835408625198515</v>
      </c>
      <c r="F115" s="1">
        <f t="shared" si="35"/>
        <v>0</v>
      </c>
      <c r="G115" s="1">
        <f t="shared" si="36"/>
        <v>0</v>
      </c>
      <c r="H115" s="1">
        <f t="shared" si="37"/>
        <v>0</v>
      </c>
      <c r="I115" s="1"/>
      <c r="J115" s="1">
        <v>42</v>
      </c>
      <c r="K115" s="1">
        <v>48</v>
      </c>
      <c r="L115" s="1">
        <v>14</v>
      </c>
      <c r="M115" s="1">
        <v>16</v>
      </c>
      <c r="N115" s="1">
        <f xml:space="preserve"> 0.0449214693615359 * B1 + 0.000732850062152413 * B2 + 0.00041339840167254 * B3 + 0.0122690456007595 * LN(B1) - 15.9438038304941 * LN(B2) + 0.0275743007048421 * B1^-5 - 0.00314031535133511 * B1^-4 - 0.059986266028249 * B1^-3 + 28633.102276161 * B3^-1 - 3.19867713537761E-09 * B2^2 + 1778.69153891673 * (B1*B3)^-1 + 0.0000003705180255906 * B1*B2 - 3.11906799586446E-06 * B1*B3 - 6.14665277319275E-09 * B2*B3 - 20.5645486240968 * (B2/B3)^-5 - 0.000278875984991495 * (B3/B2)^-5 + 1.3457562316688E-10 * (B1/B3)^-2 - 2.21052913310208E-06 * (B1/B2)^-1 - 585.584582368835 * (B3/B1)^-1 + 1306.83453795341 * B1 / (B2 + B3) + 141.481670268761</f>
        <v>0.45648141429575162</v>
      </c>
      <c r="O115" s="1">
        <f t="shared" si="38"/>
        <v>0</v>
      </c>
      <c r="P115" s="1">
        <f t="shared" si="39"/>
        <v>0</v>
      </c>
      <c r="Q115" s="1">
        <f t="shared" si="40"/>
        <v>0</v>
      </c>
      <c r="R115" s="1"/>
      <c r="S115" s="1">
        <v>42</v>
      </c>
      <c r="T115" s="1">
        <v>48</v>
      </c>
      <c r="U115" s="1">
        <v>14</v>
      </c>
      <c r="V115" s="1">
        <v>16</v>
      </c>
      <c r="W115" s="1">
        <f xml:space="preserve">  - 366.703921569231 * B1 - 3.25100735973613 * B2 - 0.370648636409355 * B3 + 17.281735708425 * LN(B1) + 103656.100908391 * LN(B2) - 87924.5439090081 * LN(B3) + 1432.37266995233 * B1^-5 - 3471.87392937454 * B1^-4 + 3203.07747443385 * B1^-3 - 1511.72211612326 * B1^-2 - 554925472.993268 * B3^-1 + 0.0000136691191995696 * B2^2 + 383129.669554236 * (B1*B3)^-1 + 0.00117354985903624 * B1*B2 + 0.00965953844925314 * B1*B3 + 0.0000328308636990529 * B2*B3 - 1.51024192457212E-08 * (B1/B2)^-2 + 0.0110700047270268 * (B1/B2)^-1 - 9573762.46412552 * (B2/B1)^-1 + 651906.045691019 * (B3/B1)^-1 + 11496.9878921022 * (B3/B2)^2 - 169576.681905911 * B2 / (B2 + B3) + 20365865.6852054 * B1 / (B2 + B3)</f>
        <v>222.95287361491251</v>
      </c>
      <c r="X115" s="1">
        <f t="shared" si="41"/>
        <v>0</v>
      </c>
      <c r="Y115" s="1">
        <f t="shared" si="42"/>
        <v>0</v>
      </c>
      <c r="Z115" s="1">
        <f t="shared" si="43"/>
        <v>0</v>
      </c>
    </row>
    <row r="116" spans="1:26" x14ac:dyDescent="0.25">
      <c r="A116" s="1">
        <v>42</v>
      </c>
      <c r="B116" s="1">
        <v>48</v>
      </c>
      <c r="C116" s="1">
        <v>16</v>
      </c>
      <c r="D116" s="1">
        <v>18</v>
      </c>
      <c r="E116" s="1">
        <f xml:space="preserve">  - 0.683973743401246 * B1 - 0.0039864068310172 * B2 - 0.00124610999001388 * B3 + 0.177509357514961 * LN(B1) + 166.671877885682 * LN(B2) - 137.109292430867 * LN(B3) + 12.7699765348343 * B1^-5 - 30.7472161010965 * B1^-4 + 27.9675896360312 * B1^-3 - 12.540274136183 * B1^-2 - 907597.822447821 * B3^-1 + 1.17574255933611E-08 * B2^2 + 19184.0657932178 * (B1*B3)^-1 + 6.20570903938047E-06 * B1*B2 + 3.04346672683735E-06 * B1*B3 + 4.32574720649889E-08 * B2*B3 + 23.9096804636365 * (B2/B3)^-5 - 1.44363590072252E-09 * (B1/B3)^-2 - 151841230.79843 * (B1/B2)^-1 + 0.000162431941380514 * (B1/B3)^-1 + 1681.94517074613 * (B2/B1)^-1 + 151841230.798423 * B2/B1 - 348.986026241933 * B2 / (B2 + B3) + 18748.1074978699 * B1 / (B2 + B3)</f>
        <v>0.70701373960323299</v>
      </c>
      <c r="F116" s="1">
        <f t="shared" si="35"/>
        <v>0</v>
      </c>
      <c r="G116" s="1">
        <f t="shared" si="36"/>
        <v>1</v>
      </c>
      <c r="H116" s="1">
        <f t="shared" si="37"/>
        <v>0</v>
      </c>
      <c r="I116" s="1"/>
      <c r="J116" s="1">
        <v>42</v>
      </c>
      <c r="K116" s="1">
        <v>48</v>
      </c>
      <c r="L116" s="1">
        <v>16</v>
      </c>
      <c r="M116" s="1">
        <v>18</v>
      </c>
      <c r="N116" s="1">
        <f xml:space="preserve"> 1.65169790791731 * B1 + 0.00325855339057288 * B2 - 0.00231868838027673 * B3 - 0.00627605751993157 * B1^-5 + 583213.188419212 * B3^-1 - 0.000207586144711687 * B1^2 - 1.795896589117E-08 * B2^2 - 1367.87339064405 * (B2/B3)^-5 + 962.031666739736 * (B2/B3)^-4 + 2717.7797492013 * (B2/B1)^-1 + 1221.9533742215 * (B3/B1)^-1 - 18.1846736856533 * (B3/B2)^-1 - 57159.512966166 * B1 / (B2 + B3) - 0.0000139099549687913 * B1 * (B2 + B3) - 65.1134112406408</f>
        <v>-3.4762383534138621</v>
      </c>
      <c r="O116" s="1">
        <f t="shared" si="38"/>
        <v>0</v>
      </c>
      <c r="P116" s="1">
        <f t="shared" si="39"/>
        <v>1</v>
      </c>
      <c r="Q116" s="1">
        <f t="shared" si="40"/>
        <v>0</v>
      </c>
      <c r="R116" s="1"/>
      <c r="S116" s="1">
        <v>42</v>
      </c>
      <c r="T116" s="1">
        <v>48</v>
      </c>
      <c r="U116" s="1">
        <v>16</v>
      </c>
      <c r="V116" s="1">
        <v>18</v>
      </c>
      <c r="W116" s="1">
        <f xml:space="preserve">  - 1029.20923355869 * B1 - 3.53250998713167 * B2 + 1.82800565742028 * B3 - 771.923072447635 * LN(B1) + 184479.467087558 * LN(B2) - 160442.314593163 * LN(B3) - 26105.1305666183 * B1^-5 + 63939.6314894055 * B1^-4 - 60002.1211458151 * B1^-3 + 29599.195578109 * B1^-2 - 324250278.267298 * B3^-1 + 0.0000211701058551 * B2^2 - 84645053.6782531 * (B1*B3)^-1 - 9.02740377855179E-09 * (B1/B2)^-2 - 2.62315262286455E-08 * (B1/B3)^-2 + 0.00816170768447827 * (B1/B2)^-1 - 0.294825303740577 * (B1/B3)^-1 - 14429718.7278929 * (B2/B1)^-1 - 2753883.51022142 * (B3/B1)^-1 - 13665.4831207813 * (B3/B2)^-1 - 373202.743763691 * B2 / (B2 + B3) + 59746376.0481925 * B1 / (B2 + B3) + 0.00929655342382675 * B1 * (B2 + B3)</f>
        <v>-485.24522532275068</v>
      </c>
      <c r="X116" s="1">
        <f t="shared" si="41"/>
        <v>0</v>
      </c>
      <c r="Y116" s="1">
        <f t="shared" si="42"/>
        <v>1</v>
      </c>
      <c r="Z116" s="1">
        <f t="shared" si="43"/>
        <v>0</v>
      </c>
    </row>
    <row r="117" spans="1:26" x14ac:dyDescent="0.25">
      <c r="A117" s="1">
        <v>42</v>
      </c>
      <c r="B117" s="1">
        <v>48</v>
      </c>
      <c r="C117" s="1">
        <v>18</v>
      </c>
      <c r="D117" s="1">
        <v>20</v>
      </c>
      <c r="E117" s="1">
        <f xml:space="preserve">  - 2.13256407117488 * B1 - 0.00426027797089837 * B2 + 0.00234739393810191 * B3 - 0.50698754524133 * LN(B1) + 100.972583013241 * LN(B2) - 94.5585567979715 * LN(B3) - 5.8369537879429 * B1^-5 + 15.0545209486474 * B1^-4 - 15.4281367201216 * B1^-3 + 9.47656234870993 * B1^-2 - 875761.818584852 * B3^-1 + 2.2075103438482E-08 * B2^2 - 60390.7749924207 * (B1*B3)^-1 + 10.0779859537544 * (B2/B3)^-5 - 0.00174944513741875 * (B3/B2)^-5 + 1.23168980341771E-10 * (B1/B2)^-2 - 2.43176032648602E-09 * (B1/B3)^-2 - 0.0000151382714380175 * (B1/B2)^-1 + 65541.1534225901 * B1 / (B2 + B3) + 0.0000174563728462913 * B1 * (B2 + B3)</f>
        <v>-6.3638401590814464E-2</v>
      </c>
      <c r="F117" s="1">
        <f t="shared" si="35"/>
        <v>0</v>
      </c>
      <c r="G117" s="1">
        <f>IF(AND($C$3&gt;=C117,$C$3&lt;=D117),1,0)</f>
        <v>0</v>
      </c>
      <c r="H117" s="1">
        <f t="shared" si="37"/>
        <v>0</v>
      </c>
      <c r="I117" s="1"/>
      <c r="J117" s="1">
        <v>42</v>
      </c>
      <c r="K117" s="1">
        <v>48</v>
      </c>
      <c r="L117" s="1">
        <v>18</v>
      </c>
      <c r="M117" s="1">
        <v>20</v>
      </c>
      <c r="N117" s="1">
        <f xml:space="preserve"> 0.849725546075292 * B1 + 0.01665028837364 * B2 - 0.0369623491674328 * B3 + 0.553512087882832 * B1^-5 - 0.592447184733329 * B1^-4 - 172308.781259719 * B3^-1 - 9.79672321899315E-08 * B2^2 + 4.70786683259807E-07 * B3^2 - 4096.62414366238 * (B2/B3)^-5 + 0.957938067521355 * (B3/B2)^-5 + 3481.89655688969 * (B2/B3)^-4 - 4.30666934025899 * (B3/B2)^-4 - 14035.998685891 * (B2/B1)^-1 - 8.68117674569575E-06 * B1 * (B2 + B3)</f>
        <v>1.6572723011361035</v>
      </c>
      <c r="O117" s="1">
        <f t="shared" si="38"/>
        <v>0</v>
      </c>
      <c r="P117" s="1">
        <f>IF(AND($C$3&gt;=L117,$C$3&lt;=M117),1,0)</f>
        <v>0</v>
      </c>
      <c r="Q117" s="1">
        <f t="shared" si="40"/>
        <v>0</v>
      </c>
      <c r="R117" s="1"/>
      <c r="S117" s="1">
        <v>42</v>
      </c>
      <c r="T117" s="1">
        <v>48</v>
      </c>
      <c r="U117" s="1">
        <v>18</v>
      </c>
      <c r="V117" s="1">
        <v>20</v>
      </c>
      <c r="W117" s="1">
        <f xml:space="preserve">  - 3254.85726949952 * B1 - 6.19217887908913 * B2 + 4.19189690796439 * B3 - 2599.08085658882 * LN(B1) + 146294.829204097 * LN(B2) - 139771.58153636 * LN(B3) - 88233.3354509521 * B1^-5 + 216210.605174185 * B1^-4 - 203050.90108919 * B1^-3 + 100358.612900541 * B1^-2 - 838247074.787978 * B3^-1 + 0.0000370110966676775 * B2^2 - 314822407.657819 * (B1*B3)^-1 + 23796.730857139 * (B2/B3)^-5 - 3.88507633225829E-07 * (B1/B3)^-2 - 0.854234615766504 * (B1/B3)^-1 - 34565546.975396 * (B2/B1)^-1 - 9020233.67645589 * (B3/B1)^-1 - 6145.72973309913 * (B3/B2)^-1 + 176612152.263742 * B1 / (B2 + B3) + 0.028641790434549 * B1 * (B2 + B3)</f>
        <v>-608.45772313167708</v>
      </c>
      <c r="X117" s="1">
        <f t="shared" si="41"/>
        <v>0</v>
      </c>
      <c r="Y117" s="1">
        <f>IF(AND($C$3&gt;=U117,$C$3&lt;=V117),1,0)</f>
        <v>0</v>
      </c>
      <c r="Z117" s="1">
        <f t="shared" si="43"/>
        <v>0</v>
      </c>
    </row>
    <row r="118" spans="1:26" x14ac:dyDescent="0.25">
      <c r="A118" s="1">
        <v>48</v>
      </c>
      <c r="B118" s="1">
        <v>52</v>
      </c>
      <c r="C118" s="1">
        <v>11</v>
      </c>
      <c r="D118" s="1">
        <v>14</v>
      </c>
      <c r="E118" s="1">
        <f xml:space="preserve"> 2.04523647127764 * B1 + 0.00014512586437416 * B2 - 0.00289813319738108 * B3 + 0.230824677261492 * LN(B1) + 11.6580999875255 * LN(B2) - 2.10546352839465 * LN(B3) + 8.82123495727649 * B1^-5 - 21.2104892242871 * B1^-4 + 19.1942374968947 * B1^-3 - 8.92977320228201 * B1^-2 - 3.73921629503918E-09 * B2^2 + 9411.204848291 * (B1*B3)^-1 - 0.0000181634624463618 * B1*B2 - 8.97273711195946E-06 * B1*B3 + 2.74484543229031E-08 * B2*B3 + 1.67377724781865E-10 * (B1/B2)^-2 - 1.51138752380576E-09 * (B1/B3)^-2 + 26.666162766201 * (B2/B3)^-2 + 0.000128610862788018 * (B1/B3)^-1 - 28899.00040675 * (B2/B1)^-1 - 108.459742509154 * B2 / (B2 + B3) - 28493.9616747509 * B1 / (B2 + B3)</f>
        <v>4.4970814692506638</v>
      </c>
      <c r="F118" s="1">
        <f t="shared" si="35"/>
        <v>0</v>
      </c>
      <c r="G118" s="1">
        <f t="shared" si="36"/>
        <v>0</v>
      </c>
      <c r="H118" s="1">
        <f t="shared" si="37"/>
        <v>0</v>
      </c>
      <c r="I118" s="1"/>
      <c r="J118" s="1">
        <v>48</v>
      </c>
      <c r="K118" s="1">
        <v>52</v>
      </c>
      <c r="L118" s="1">
        <v>11</v>
      </c>
      <c r="M118" s="1">
        <v>14</v>
      </c>
      <c r="N118" s="1">
        <f xml:space="preserve">  - 3.39989143255142 * B1 + 0.000233176670064112 * B2 + 0.00445891151604822 * B3 - 0.281971380498663 * LN(B1) - 9.50302712149861 * LN(B2) + 0.574583672163502 * LN(B3) - 12.1941851224696 * B1^-5 + 29.3575466240243 * B1^-4 - 26.5452500844851 * B1^-3 + 12.2384456906173 * B1^-2 + 923.377198893113 * (B1*B3)^-1 + 0.0000337892936899116 * B1*B2 - 4.63780722446126E-08 * B2*B3 - 0.0000783269684672138 * (B1/B2)^-1 + 85790.6830125676 * (B2/B1)^-1 - 109.409238558985 * (B2/B3)^-1 + 88.2027419800578</f>
        <v>-5.632664624441972</v>
      </c>
      <c r="O118" s="1">
        <f t="shared" si="38"/>
        <v>0</v>
      </c>
      <c r="P118" s="1">
        <f t="shared" si="39"/>
        <v>0</v>
      </c>
      <c r="Q118" s="1">
        <f t="shared" si="40"/>
        <v>0</v>
      </c>
      <c r="R118" s="1"/>
      <c r="S118" s="1">
        <v>48</v>
      </c>
      <c r="T118" s="1">
        <v>52</v>
      </c>
      <c r="U118" s="1">
        <v>11</v>
      </c>
      <c r="V118" s="1">
        <v>14</v>
      </c>
      <c r="W118" s="1">
        <f xml:space="preserve">  - 859.848978231254 * B1 - 0.252103828250894 * B2 - 2.63872880022789 * B3 + 81.9995362300436 * LN(B1) + 4016.26800168421 * LN(B2) - 1119.40472374869 * LN(B3) - 1395.77974262752 * B1^-5 + 2044.55811141722 * B1^-4 - 715.816493877519 * B1^-2 - 120330235.032486 * B3^-1 - 2.06374773218478E-06 * B2^2 - 3805646.85649268 * (B1*B3)^-1 + 0.00631286592875828 * B1*B2 + 0.00950503850758086 * B1*B3 + 0.0000357597534456863 * B2*B3 - 2.55417844840217E-07 * (B1/B2)^-2 + 3.00848271759356E-07 * (B1/B3)^-2 + 51212.2349393603 * (B2/B3)^-2 + 129.251190434273 * (B3/B2)^-2 + 0.0369597272960939 * (B1/B2)^-1 - 0.0401782373275542 * (B1/B3)^-1 - 5600552.08994873 * (B2/B1)^-1 + 48127.8588491943 * (B3/B1)^-1 + 33159112.7012954 * B1 / (B2 + B3)</f>
        <v>4637.2505138342385</v>
      </c>
      <c r="X118" s="1">
        <f t="shared" si="41"/>
        <v>0</v>
      </c>
      <c r="Y118" s="1">
        <f t="shared" si="42"/>
        <v>0</v>
      </c>
      <c r="Z118" s="1">
        <f t="shared" si="43"/>
        <v>0</v>
      </c>
    </row>
    <row r="119" spans="1:26" x14ac:dyDescent="0.25">
      <c r="A119" s="1">
        <v>48</v>
      </c>
      <c r="B119" s="1">
        <v>52</v>
      </c>
      <c r="C119" s="1">
        <v>14</v>
      </c>
      <c r="D119" s="1">
        <v>16</v>
      </c>
      <c r="E119" s="1">
        <f xml:space="preserve"> 1.0012402458409 * B1 + 0.00154460180802853 * B2 - 0.0109056106630886 * B3 + 0.201645243791663 * LN(B1) + 35.003746680029 * LN(B2) + 10.2722329672313 * B1^-5 - 24.7656868903644 * B1^-4 + 22.5355599113036 * B1^-3 - 10.4436106498364 * B1^-2 - 1.80272575043382E-08 * B2^2 + 5.34217201471157E-08 * B3^2 + 9224.43786855927 * (B1*B3)^-1 - 0.0000106073634354938 * B1*B2 + 1.85080466273589E-06 * B1*B3 + 7.53552528330704E-08 * B2*B3 + 1.90519272622571E-10 * (B1/B2)^-2 - 1.88502768892867E-09 * (B1/B3)^-2 + 44.8132173962367 * (B2/B3)^-2 + 0.000148959996091723 * (B1/B3)^-1 - 35734.6327534692 * (B2/B1)^-1 - 415.983639842589 * B2 / (B2 + B3) + 13391.5627265648 * B1 / (B2 + B3)</f>
        <v>8.081316797716882</v>
      </c>
      <c r="F119" s="1">
        <f t="shared" si="35"/>
        <v>0</v>
      </c>
      <c r="G119" s="1">
        <f t="shared" si="36"/>
        <v>0</v>
      </c>
      <c r="H119" s="1">
        <f t="shared" si="37"/>
        <v>0</v>
      </c>
      <c r="I119" s="1"/>
      <c r="J119" s="1">
        <v>48</v>
      </c>
      <c r="K119" s="1">
        <v>52</v>
      </c>
      <c r="L119" s="1">
        <v>14</v>
      </c>
      <c r="M119" s="1">
        <v>16</v>
      </c>
      <c r="N119" s="1">
        <f xml:space="preserve"> 1.12801700999711 * B1 + 0.0154890734104738 * B2 + 0.00271582757829398 * B3 - 0.0579929477269768 * LN(B1) + 1081.15318863671 * LN(B2) - 1444.36958759206 * LN(B3) - 3.21608755285936 * B1^-5 + 4.14284601625492 * B1^-4 + 8.92470260299301E-07 * B3^2 - 88.9178072095021 * (B1*B3)^-1 + 4.12189156104322E-06 * B1*B2 - 0.0000517121815833687 * B1*B3 - 5.70641192965419E-07 * B2*B3 - 4.63989087773055E-10 * (B1/B2)^-2 - 1766.1514015603 * (B2/B3)^-2 - 12.7094970787969 * (B3/B2)^-2 + 102993.436562394 * (B2/B1)^-1 - 2662.09029233801 * (B3/B1)^-1 + 8251.48542295142 * B3 / (B2 + B3) - 158573.435021588 * B1 / (B2 + B3)</f>
        <v>-77.185050466923514</v>
      </c>
      <c r="O119" s="1">
        <f t="shared" si="38"/>
        <v>0</v>
      </c>
      <c r="P119" s="1">
        <f t="shared" si="39"/>
        <v>0</v>
      </c>
      <c r="Q119" s="1">
        <f t="shared" si="40"/>
        <v>0</v>
      </c>
      <c r="R119" s="1"/>
      <c r="S119" s="1">
        <v>48</v>
      </c>
      <c r="T119" s="1">
        <v>52</v>
      </c>
      <c r="U119" s="1">
        <v>14</v>
      </c>
      <c r="V119" s="1">
        <v>16</v>
      </c>
      <c r="W119" s="1">
        <f xml:space="preserve">  - 2955.75838878864 * B1 - 2.50446098956857 * B2 - 4.42942547156846 * B3 + 82.9408758788129 * LN(B1) + 163965.595556942 * LN(B2) - 178568.17298736 * LN(B3) - 2829.61142206434 * B1^-5 + 5234.72487100122 * B1^-4 - 2559.36094759876 * B1^-3 - 1029428095.24342 * B3^-1 + 3287691.29491393 * (B1*B3)^-1 + 0.0203257390931952 * B1*B2 + 0.0332657990912635 * B1*B3 + 0.0000932315925975579 * B2*B3 - 1.23531251009199E-07 * (B1/B2)^-2 + 36035.2590664964 * (B2/B3)^-2 + 0.0115674590025403 * (B1/B2)^-1 - 12513327.010278 * (B2/B1)^-1 + 1332351.642783 * (B3/B1)^-1 + 564797.400413597 * B3 / (B2 + B3) + 104057140.483485 * B1 / (B2 + B3)</f>
        <v>3952.8351138790622</v>
      </c>
      <c r="X119" s="1">
        <f t="shared" si="41"/>
        <v>0</v>
      </c>
      <c r="Y119" s="1">
        <f t="shared" si="42"/>
        <v>0</v>
      </c>
      <c r="Z119" s="1">
        <f t="shared" si="43"/>
        <v>0</v>
      </c>
    </row>
    <row r="120" spans="1:26" x14ac:dyDescent="0.25">
      <c r="A120" s="1">
        <v>48</v>
      </c>
      <c r="B120" s="1">
        <v>52</v>
      </c>
      <c r="C120" s="1">
        <v>16</v>
      </c>
      <c r="D120" s="1">
        <v>18</v>
      </c>
      <c r="E120" s="1">
        <f xml:space="preserve">  - 0.687741948645018 * B1 - 0.00286405725998024 * B2 - 0.00696574283800769 * B3 + 0.131632816511027 * LN(B1) + 187.955056590142 * LN(B2) - 137.880426060435 * LN(B3) + 9.97880385832566 * B1^-5 - 24.0138965364117 * B1^-4 + 21.7916907468352 * B1^-3 - 10.0005009806972 * B1^-2 - 755746.897599613 * B3^-1 + 7093.15895674556 * (B1*B3)^-1 - 6.17586153547474E-07 * B1*B2 + 0.0000235703222407085 * B1*B3 + 9.55085314987572E-08 * B2*B3 + 1.77379429303333E-10 * (B1/B2)^-2 - 1.57679509707175E-09 * (B1/B3)^-2 + 41.8098593815463 * (B2/B3)^-2 + 0.000134987349686195 * (B1/B3)^-1 - 48626.728327017 * (B2/B1)^-1 + 1630.33429585706 * (B3/B1)^-1 - 630.609466538607 * B2 / (B2 + B3) + 79510.4172634151 * B1 / (B2 + B3)</f>
        <v>5.3412558116950937</v>
      </c>
      <c r="F120" s="1">
        <f t="shared" si="35"/>
        <v>0</v>
      </c>
      <c r="G120" s="1">
        <f t="shared" si="36"/>
        <v>1</v>
      </c>
      <c r="H120" s="1">
        <f t="shared" si="37"/>
        <v>0</v>
      </c>
      <c r="I120" s="1"/>
      <c r="J120" s="1">
        <v>48</v>
      </c>
      <c r="K120" s="1">
        <v>52</v>
      </c>
      <c r="L120" s="1">
        <v>16</v>
      </c>
      <c r="M120" s="1">
        <v>18</v>
      </c>
      <c r="N120" s="1">
        <f xml:space="preserve"> 0.0927209840914739 * B1 - 0.0265320135582232 * B2 + 0.0304460593666751 * B3 - 0.0484083798158151 * LN(B1) - 7057.26874227158 * LN(B2) + 4852.40175028965 * LN(B3) + 0.0810115807539888 * B1^-3 - 30158847.930976 * B3^-1 - 5199.67539215857 * (B1*B3)^-1 - 5.96964712745131E-06 * B1*B3 + 7.2473096584698E-07 * B2*B3 + 4370.6902886411 * (B2/B3)^-2 + 67.623218241876 * (B3/B2)^-2 + 40158.2715463014 * B2 / (B2 + B3)</f>
        <v>100.46252056698359</v>
      </c>
      <c r="O120" s="1">
        <f t="shared" si="38"/>
        <v>0</v>
      </c>
      <c r="P120" s="1">
        <f t="shared" si="39"/>
        <v>1</v>
      </c>
      <c r="Q120" s="1">
        <f t="shared" si="40"/>
        <v>0</v>
      </c>
      <c r="R120" s="1"/>
      <c r="S120" s="1">
        <v>48</v>
      </c>
      <c r="T120" s="1">
        <v>52</v>
      </c>
      <c r="U120" s="1">
        <v>16</v>
      </c>
      <c r="V120" s="1">
        <v>18</v>
      </c>
      <c r="W120" s="1">
        <f xml:space="preserve">  - 6461.86679249008 * B1 + 5.40869023083642 * B2 - 13.0058764904666 * B3 - 75.3500010446063 * LN(B1) + 53457.0316726721 * LN(B2) - 90022.2309237311 * LN(B3) - 90.8316527448361 * B1^-5 + 4427.33245326318 * B1^-1 - 0.0000483821256776599 * B2^2 - 21865061.8075191 * (B1*B3)^-1 + 0.0416505880326228 * B1*B2 + 0.0746056361190248 * B1*B3 + 0.000137275537401255 * B2*B3 + 5.33182343844576E-08 * (B1/B2)^-2 + 5.62254706015577E-07 * (B1/B3)^-2 + 39768.7269592098 * (B2/B3)^-2 - 0.026038728374782 * (B1/B2)^-1 - 0.126744693744379 * (B1/B3)^-1 - 30419842.9685252 * (B2/B1)^-1 + 4598449.04210824 * (B3/B1)^-1 + 983446.068380253 * B3 / (B2 + B3) + 231976790.95167 * B1 / (B2 + B3)</f>
        <v>10841.202246281791</v>
      </c>
      <c r="X120" s="1">
        <f t="shared" si="41"/>
        <v>0</v>
      </c>
      <c r="Y120" s="1">
        <f t="shared" si="42"/>
        <v>1</v>
      </c>
      <c r="Z120" s="1">
        <f t="shared" si="43"/>
        <v>0</v>
      </c>
    </row>
    <row r="121" spans="1:26" x14ac:dyDescent="0.25">
      <c r="A121" s="1">
        <v>48</v>
      </c>
      <c r="B121" s="1">
        <v>52</v>
      </c>
      <c r="C121" s="1">
        <v>18</v>
      </c>
      <c r="D121" s="1">
        <v>20</v>
      </c>
      <c r="E121" s="1">
        <f xml:space="preserve"> 0.727693670536467 * B1 - 0.000686613334064505 * B2 + 0.00372135470953041 * B3 - 0.63698060785046 * LN(B1) - 4.06626340406855 * LN(B2) - 18.867114374184 * B1^-5 + 46.1312932559597 * B1^-4 - 43.2280910933579 * B1^-3 + 21.0082600298129 * B1^-2 + 509254.238608748 * B3^-1 + 1.50150914183277E-08 * B2^2 - 69434.7340166825 * (B1*B3)^-1 - 7.94964094700496E-06 * B1*B2 + 4.82295513457932E-06 * B1*B3 - 4.4244006981987E-08 * B2*B3 + 2.17835437766165E-10 * (B1/B2)^-2 - 5.03416475894149E-10 * (B1/B3)^-2 - 49.6137685225856 * (B2/B3)^-2 - 0.798353566502544 * (B3/B2)^-2 - 0.0000176005148189902 * (B1/B2)^-1 - 0.000138607890788083 * (B1/B3)^-1 - 30766.1564036691 * (B2/B1)^-1 + 14528.684812048 * B1 / (B2 + B3)</f>
        <v>0.21102592911531404</v>
      </c>
      <c r="F121" s="1">
        <f t="shared" si="35"/>
        <v>0</v>
      </c>
      <c r="G121" s="1">
        <f>IF(AND($C$3&gt;=C121,$C$3&lt;=D121),1,0)</f>
        <v>0</v>
      </c>
      <c r="H121" s="1">
        <f t="shared" si="37"/>
        <v>0</v>
      </c>
      <c r="I121" s="1"/>
      <c r="J121" s="1">
        <v>48</v>
      </c>
      <c r="K121" s="1">
        <v>52</v>
      </c>
      <c r="L121" s="1">
        <v>18</v>
      </c>
      <c r="M121" s="1">
        <v>20</v>
      </c>
      <c r="N121" s="1">
        <f xml:space="preserve">  - 4.40393884358563 * B1 + 0.209232750700605 * B2 - 0.128245408505343 * B3 - 0.455881492002178 * LN(B1) - 1082.52780418577 * LN(B2) - 1.36629265896655 * B1^-5 + 1.50548057270794 * B1^-4 + 37351539.6319031 * B3^-1 - 1.08855457365936E-06 * B2^2 - 4.42076292549754E-07 * B1^4 - 29935.6087734054 * (B1*B3)^-1 + 0.0000134323302646794 * B1*B2 + 0.0000854079257439455 * B1*B3 + 2.43229291106229E-07 * B2*B3 + 14672.0641657771 * (B1/B2)^-2 - 6961.50118238191 * (B2/B3)^-2 - 46.3001797441261 * (B3/B2)^-2 - 106841.141073669 * (B2/B1)^-1 + 14577.8545164283 * (B2/B3)^-1 + 11483.4511336926 * (B3/B1)^-1 - 14672.0641657769 * (B2/B1)^2 + 252323.365918616 * B1 / (B2 + B3)</f>
        <v>140.34369260314196</v>
      </c>
      <c r="O121" s="1">
        <f t="shared" si="38"/>
        <v>0</v>
      </c>
      <c r="P121" s="1">
        <f>IF(AND($C$3&gt;=L121,$C$3&lt;=M121),1,0)</f>
        <v>0</v>
      </c>
      <c r="Q121" s="1">
        <f t="shared" si="40"/>
        <v>0</v>
      </c>
      <c r="R121" s="1"/>
      <c r="S121" s="1">
        <v>48</v>
      </c>
      <c r="T121" s="1">
        <v>52</v>
      </c>
      <c r="U121" s="1">
        <v>18</v>
      </c>
      <c r="V121" s="1">
        <v>20</v>
      </c>
      <c r="W121" s="1">
        <f xml:space="preserve">  - 14807.1428496851 * B1 - 5.37104645024928 * B2 + 3.48037320958385 * B3 - 1101504323.27047 * B3^-1 - 0.0000223993456243335 * B2^2 - 0.000350140780824174 * B3^2 + 0.0829212872344814 * B1*B2 + 0.192707132495077 * B1*B3 + 0.000270584373478678 * B2*B3 + 137246.798079667 * (B2/B3)^-2 - 80807937.9154555 * (B2/B1)^-1 + 23035191.9614377 * (B3/B1)^-1 + 63299.7081780253 * (B3/B2)^-1 + 513019670.652984 * B1 / (B2 + B3)</f>
        <v>8490.4177599967952</v>
      </c>
      <c r="X121" s="1">
        <f t="shared" si="41"/>
        <v>0</v>
      </c>
      <c r="Y121" s="1">
        <f>IF(AND($C$3&gt;=U121,$C$3&lt;=V121),1,0)</f>
        <v>0</v>
      </c>
      <c r="Z121" s="1">
        <f t="shared" si="43"/>
        <v>0</v>
      </c>
    </row>
    <row r="122" spans="1:26" x14ac:dyDescent="0.25">
      <c r="A122" s="1">
        <v>52</v>
      </c>
      <c r="B122" s="1">
        <v>56</v>
      </c>
      <c r="C122" s="1">
        <v>11</v>
      </c>
      <c r="D122" s="1">
        <v>14</v>
      </c>
      <c r="E122" s="1">
        <f xml:space="preserve"> 0.37278381277138 * B1 - 0.000998384611609565 * B2 - 0.00211667507098527 * B3 + 0.635936684311027 * LN(B1) + 4.3216202920957 * LN(B2) + 22.0495485670652 * B1^-5 - 53.644749732568 * B1^-4 + 49.7591194623047 * B1^-3 - 22.4368385474265 * B1^-2 - 163636.658396971 * B3^-1 + 2.46395075200679E-09 * B2^2 - 1.93256828079707E-08 * B3^2 + 9485.36196994483 * (B1*B3)^-1 - 5.09587104860359E-06 * B1*B2 + 5.52949162773884E-06 * B1*B3 + 3.75101776180192E-08 * B2*B3 - 4.61269493416207E-10 * (B1/B2)^-2 - 1.74636940099089E-09 * (B1/B3)^-2 + 56.1290325040838 * (B2/B3)^-2 + 0.0000964752890235545 * (B1/B2)^-1 + 0.000135349326024282 * (B1/B3)^-1 - 36422.1254310457 * (B2/B1)^-1 - 28.7596384717294 * (B3/B1)^-1 + 2.87263591318927 * (B3/B2)^-1 + 32583.8390052535 * B1 / (B2 + B3)</f>
        <v>8.6213217641189033</v>
      </c>
      <c r="F122" s="1">
        <f t="shared" si="35"/>
        <v>0</v>
      </c>
      <c r="G122" s="1">
        <f t="shared" si="36"/>
        <v>0</v>
      </c>
      <c r="H122" s="1">
        <f t="shared" si="37"/>
        <v>0</v>
      </c>
      <c r="I122" s="1"/>
      <c r="J122" s="1">
        <v>52</v>
      </c>
      <c r="K122" s="1">
        <v>56</v>
      </c>
      <c r="L122" s="1">
        <v>11</v>
      </c>
      <c r="M122" s="1">
        <v>14</v>
      </c>
      <c r="N122" s="1">
        <f xml:space="preserve"> 13.8979332023147 * B1 + 0.00208739406058001 * B2 - 0.0228805615185774 * B3 + 0.162162734932403 * LN(B1) + 59.6936541217963 * LN(B2) + 3.64746522254592 * B1^-5 - 4.67059331082912 * B1^-4 - 3.06022721622151E-08 * B2^2 - 4187.40884854678 * (B1*B3)^-1 - 0.0000544242668280358 * B1*B2 + 2.12332927798688E-07 * B2*B3 + 4.74969529019673E-10 * (B1/B2)^-2 + 360.9013087038 * (B2/B3)^-2 - 167929.228009029 * (B2/B1)^-1 - 677.352277916749 * B2 / (B2 + B3) - 256681.696989026 * B1 / (B2 + B3) - 0.0000600788772510111 * B1 * (B2 + B3)</f>
        <v>49.430984891991734</v>
      </c>
      <c r="O122" s="1">
        <f t="shared" si="38"/>
        <v>0</v>
      </c>
      <c r="P122" s="1">
        <f t="shared" si="39"/>
        <v>0</v>
      </c>
      <c r="Q122" s="1">
        <f t="shared" si="40"/>
        <v>0</v>
      </c>
      <c r="R122" s="1"/>
      <c r="S122" s="1">
        <v>52</v>
      </c>
      <c r="T122" s="1">
        <v>56</v>
      </c>
      <c r="U122" s="1">
        <v>11</v>
      </c>
      <c r="V122" s="1">
        <v>14</v>
      </c>
      <c r="W122" s="1">
        <f xml:space="preserve">  - 4178.48265499695 * B1 + 0.10398791923595 * B2 - 1.60033738406076 * B3 - 472.333785530304 * LN(B1) + 49453.9492877823 * LN(B2) - 59012.4703733213 * LN(B3) - 16334.195761251 * B1^-5 + 39749.1940025861 * B1^-4 - 36876.9542878098 * B1^-3 + 16774.0813458772 * B1^-2 - 222198274.934328 * B3^-1 - 5.21615442425378E-06 * B2^2 - 7989165.57962526 * (B1*B3)^-1 + 0.0328511808806985 * B1*B2 + 0.0279081303162747 * B1*B3 + 0.0000295165121310566 * B2*B3 + 2.94299745174281E-07 * (B1/B2)^-2 + 0.0000011772986724808 * (B1/B3)^-2 - 153709.780136691 * (B2/B3)^-2 - 48.3209974815484 * (B3/B2)^-2 - 0.0688362676799015 * (B1/B2)^-1 - 0.103463430656253 * (B1/B3)^-1 + 22621995.578203 * (B2/B1)^-1 + 243293.460712602 * (B2/B3)^-1 + 192612.963179387 * (B3/B1)^-1 + 108712193.872717 * B1 / (B2 + B3)</f>
        <v>-3870.7065362279354</v>
      </c>
      <c r="X122" s="1">
        <f t="shared" si="41"/>
        <v>0</v>
      </c>
      <c r="Y122" s="1">
        <f t="shared" si="42"/>
        <v>0</v>
      </c>
      <c r="Z122" s="1">
        <f t="shared" si="43"/>
        <v>0</v>
      </c>
    </row>
    <row r="123" spans="1:26" x14ac:dyDescent="0.25">
      <c r="A123" s="1">
        <v>52</v>
      </c>
      <c r="B123" s="1">
        <v>56</v>
      </c>
      <c r="C123" s="1">
        <v>14</v>
      </c>
      <c r="D123" s="1">
        <v>16</v>
      </c>
      <c r="E123" s="1">
        <f xml:space="preserve">  - 1.15708848650983 * B1 + 0.000459718312324733 * B2 - 0.000888973223118383 * B3 - 0.0585245477383565 * LN(B1) - 29.7455733359149 * LN(B2) + 29.6397930162516 * LN(B3) + 0.556203699126482 * B1^-5 - 0.822934204065806 * B1^-4 + 207398.223329026 * B3^-1 - 6631.83565045773 * (B1*B3)^-1 + 5.15464882757564E-06 * B1*B2 + 0.0000184685855764067 * B1*B3 + 1.88189105597909E-10 * (B1/B2)^-2 - 40643.5408922438 * (B2/B1)^-1 + 18.1648948074691 * B2 / (B2 + B3) + 93395.3091092246 * B1 / (B2 + B3)</f>
        <v>3.8432217232693731</v>
      </c>
      <c r="F123" s="1">
        <f t="shared" si="35"/>
        <v>0</v>
      </c>
      <c r="G123" s="1">
        <f t="shared" si="36"/>
        <v>0</v>
      </c>
      <c r="H123" s="1">
        <f t="shared" si="37"/>
        <v>0</v>
      </c>
      <c r="I123" s="1"/>
      <c r="J123" s="1">
        <v>52</v>
      </c>
      <c r="K123" s="1">
        <v>56</v>
      </c>
      <c r="L123" s="1">
        <v>14</v>
      </c>
      <c r="M123" s="1">
        <v>16</v>
      </c>
      <c r="N123" s="1">
        <f xml:space="preserve"> 0.117880350212386 * B1 - 0.0014858985691428 * B2 + 0.000332791004008399 * B3 - 0.0133806658421869 * LN(B1) + 2.41577120982132 * B1^-5 - 3.24911808495008 * B1^-4 - 64616.1084969713 * B3^-1 + 1.1169024803269E-08 * B2^2 - 12402.0352804263 * (B1*B3)^-1 - 1.31291049311406E-06 * B1*B2 - 3.61670025690569E-06 * B1*B3 + 4.8774223763192E-10 * (B1/B2)^-2 + 61.0528602421038 * B2 / (B2 + B3)</f>
        <v>5.8376918924627645</v>
      </c>
      <c r="O123" s="1">
        <f t="shared" si="38"/>
        <v>0</v>
      </c>
      <c r="P123" s="1">
        <f t="shared" si="39"/>
        <v>0</v>
      </c>
      <c r="Q123" s="1">
        <f t="shared" si="40"/>
        <v>0</v>
      </c>
      <c r="R123" s="1"/>
      <c r="S123" s="1">
        <v>52</v>
      </c>
      <c r="T123" s="1">
        <v>56</v>
      </c>
      <c r="U123" s="1">
        <v>14</v>
      </c>
      <c r="V123" s="1">
        <v>16</v>
      </c>
      <c r="W123" s="1">
        <f xml:space="preserve">  - 6935.39211925649 * B1 - 0.34259986338293 * B2 + 2.99490341938602 * B3 + 19346.2949484026 * LN(B2) - 23514.9653022885 * LN(B3) - 0.000044433736348734 * B3^2 + 0.0485199367841216 * B1*B2 + 0.0694027605017198 * B1*B3 - 21556751.3268259 * (B2/B1)^-1 + 2328482.0840973 * (B3/B1)^-1 - 5910.19158150209 * (B3/B2)^2 + 243187458.402821 * B1 / (B2 + B3)</f>
        <v>-2646.9529577206267</v>
      </c>
      <c r="X123" s="1">
        <f t="shared" si="41"/>
        <v>0</v>
      </c>
      <c r="Y123" s="1">
        <f t="shared" si="42"/>
        <v>0</v>
      </c>
      <c r="Z123" s="1">
        <f t="shared" si="43"/>
        <v>0</v>
      </c>
    </row>
    <row r="124" spans="1:26" x14ac:dyDescent="0.25">
      <c r="A124" s="1">
        <v>52</v>
      </c>
      <c r="B124" s="1">
        <v>56</v>
      </c>
      <c r="C124" s="1">
        <v>16</v>
      </c>
      <c r="D124" s="1">
        <v>18</v>
      </c>
      <c r="E124" s="1">
        <f xml:space="preserve">  - 0.662379046575933 * B1 - 0.000655581467671526 * B2 + 0.00606830129592244 * B3 - 0.0895920990467362 * LN(B1) - 5.62711535924998 * LN(B2) + 0.109315370079619 * B1^-5 - 0.237560979685162 * B1^-4 + 486749.307749839 * B3^-1 + 1.59922550869701E-08 * B2^2 - 6097.89088291178 * (B1*B3)^-1 + 1.34375940261215E-06 * B1*B2 + 0.0000157178366165626 * B1*B3 - 7.01720431563627E-08 * B2*B3 + 1.16031405063411E-10 * (B1/B2)^-2 - 112.611817300122 * (B2/B3)^-2 - 0.571665591162907 * (B3/B2)^-2 - 31188.0361493397 * (B2/B1)^-1 + 1034.60481552142 * (B3/B1)^-1 + 59716.7531209206 * B1 / (B2 + B3)</f>
        <v>-6.6184543590470621</v>
      </c>
      <c r="F124" s="1">
        <f t="shared" si="35"/>
        <v>0</v>
      </c>
      <c r="G124" s="1">
        <f t="shared" si="36"/>
        <v>1</v>
      </c>
      <c r="H124" s="1">
        <f t="shared" si="37"/>
        <v>0</v>
      </c>
      <c r="I124" s="1"/>
      <c r="J124" s="1">
        <v>52</v>
      </c>
      <c r="K124" s="1">
        <v>56</v>
      </c>
      <c r="L124" s="1">
        <v>16</v>
      </c>
      <c r="M124" s="1">
        <v>18</v>
      </c>
      <c r="N124" s="1">
        <f xml:space="preserve">  - 2.13844580357249 * B1 + 0.00113000542803065 * B2 - 0.00155376241699485 * B3 - 79.3561871712651 * LN(B2) + 75.1457652220396 * LN(B3) + 584640.983155189 * B3^-1 + 0.000006866236842574 * B1*B2 + 0.0000376520093282906 * B1*B3 - 96267.6259803422 * (B2/B1)^-1 + 84.4360419071884 * B2 / (B2 + B3) + 206004.729801685 * B1 / (B2 + B3)</f>
        <v>8.4789702122340103</v>
      </c>
      <c r="O124" s="1">
        <f t="shared" si="38"/>
        <v>0</v>
      </c>
      <c r="P124" s="1">
        <f t="shared" si="39"/>
        <v>1</v>
      </c>
      <c r="Q124" s="1">
        <f t="shared" si="40"/>
        <v>0</v>
      </c>
      <c r="R124" s="1"/>
      <c r="S124" s="1">
        <v>52</v>
      </c>
      <c r="T124" s="1">
        <v>56</v>
      </c>
      <c r="U124" s="1">
        <v>16</v>
      </c>
      <c r="V124" s="1">
        <v>18</v>
      </c>
      <c r="W124" s="1">
        <f xml:space="preserve">  - 11666.5765373315 * B1 + 8.77690773977844 * B2 - 19.9573386642808 * B3 - 1405.36718724404 * LN(B1) + 81421.209768249 * LN(B2) - 141321.427531961 * LN(B3) - 52423.9195786999 * B1^-5 + 128658.910312706 * B1^-4 - 121093.297977333 * B1^-3 + 56315.7486447939 * B1^-2 - 0.0000725331861942823 * B2^2 - 56268713.254281 * (B1*B3)^-1 + 0.0725413191566662 * B1*B2 + 0.128894542898113 * B1*B3 + 0.000193833892225765 * B2*B3 + 9.13809743791601E-07 * (B1/B2)^-2 + 0.000003094815825002 * (B1/B3)^-2 + 46532.2305949115 * (B2/B3)^-2 - 0.174904618491913 * (B1/B2)^-1 - 0.396726874595207 * (B1/B3)^-1 - 73283862.582217 * (B2/B1)^-1 + 7000385.18939779 * (B3/B1)^-1 + 1623926.52378364 * B3 / (B2 + B3) + 465864894.339652 * B1 / (B2 + B3)</f>
        <v>20759.140964528553</v>
      </c>
      <c r="X124" s="1">
        <f t="shared" si="41"/>
        <v>0</v>
      </c>
      <c r="Y124" s="1">
        <f t="shared" si="42"/>
        <v>1</v>
      </c>
      <c r="Z124" s="1">
        <f t="shared" si="43"/>
        <v>0</v>
      </c>
    </row>
    <row r="125" spans="1:26" x14ac:dyDescent="0.25">
      <c r="A125" s="1">
        <v>52</v>
      </c>
      <c r="B125" s="1">
        <v>56</v>
      </c>
      <c r="C125" s="1">
        <v>18</v>
      </c>
      <c r="D125" s="1">
        <v>20</v>
      </c>
      <c r="E125" s="1">
        <f xml:space="preserve"> 0.204444010246433 * B1 - 0.009852938331001 * B2 + 0.00857767010051262 * B3 - 0.0339963257144612 * LN(B1) + 50.3258341861877 * LN(B2) + 1.44665630196114 * B1^-1 - 1567238.20240059 * B3^-1 + 5.32240423349878E-08 * B2^2 - 17315.6548074868 * (B1*B3)^-1 - 2.33656465710778E-06 * B1*B2 + 2.08037845261119E-06 * B1*B3 - 3.69417729341093E-08 * B2*B3 + 360.240527885558 * (B2/B3)^-2 + 1.60193974925351 * (B3/B2)^-2 + 6.25831812248579E-06 * (B1/B2)^-1 - 0.0000453201851931607 * (B1/B3)^-1 - 12512.7862893534 * (B2/B1)^-1 - 771.624759815334 * (B2/B3)^-1 + 8341.77504107542 * B1 / (B2 + B3)</f>
        <v>-10.217896640758667</v>
      </c>
      <c r="F125" s="1">
        <f t="shared" si="35"/>
        <v>0</v>
      </c>
      <c r="G125" s="1">
        <f>IF(AND($C$3&gt;=C125,$C$3&lt;=D125),1,0)</f>
        <v>0</v>
      </c>
      <c r="H125" s="1">
        <f t="shared" si="37"/>
        <v>0</v>
      </c>
      <c r="I125" s="1"/>
      <c r="J125" s="1">
        <v>52</v>
      </c>
      <c r="K125" s="1">
        <v>56</v>
      </c>
      <c r="L125" s="1">
        <v>18</v>
      </c>
      <c r="M125" s="1">
        <v>20</v>
      </c>
      <c r="N125" s="1">
        <f xml:space="preserve"> 0.0485559886793837 * B1 - 0.000871029796097135 * B2 + 0.00907975439907998 * B3 - 0.157288180491859 * LN(B1) - 10.5541587004356 * LN(B2) + 0.0748216471857593 * B1^-5 - 0.236118784119633 * B1^-4 + 991597.311274247 * B3^-1 + 2.56685427101329E-08 * B2^2 - 9833.27182248116 * (B1*B3)^-1 - 4.29394840593678E-06 * B1*B2 + 0.0000123712285563391 * B1*B3 - 1.05349816911332E-07 * B2*B3 + 1.5692513333175E-10 * (B1/B2)^-2 - 143.750731225828 * (B2/B3)^-2 - 1.36273777418191 * (B3/B2)^-2 - 39170.4600462075 * (B2/B1)^-1 + 1147.10016486326 * (B3/B1)^-1 + 44993.807043838 * B1 / (B2 + B3)</f>
        <v>-5.6207547143494327</v>
      </c>
      <c r="O125" s="1">
        <f t="shared" si="38"/>
        <v>0</v>
      </c>
      <c r="P125" s="1">
        <f>IF(AND($C$3&gt;=L125,$C$3&lt;=M125),1,0)</f>
        <v>0</v>
      </c>
      <c r="Q125" s="1">
        <f t="shared" si="40"/>
        <v>0</v>
      </c>
      <c r="R125" s="1"/>
      <c r="S125" s="1">
        <v>52</v>
      </c>
      <c r="T125" s="1">
        <v>56</v>
      </c>
      <c r="U125" s="1">
        <v>18</v>
      </c>
      <c r="V125" s="1">
        <v>20</v>
      </c>
      <c r="W125" s="1">
        <f xml:space="preserve">  - 30177.492465763 * B1 - 9.63560286965867 * B2 + 6.54355157013375 * B3 + 153.546702940271 * LN(B1) - 2595245343.82555 * B3^-1 - 0.0000495428910881991 * B2^2 - 0.000729844799073313 * B3^2 + 0.156984500368257 * B1*B2 + 0.394483510495092 * B1*B3 + 0.000526426240443412 * B2*B3 + 348604.964348628 * (B2/B3)^-2 - 266598312.521106 * (B2/B1)^-1 + 44516060.6692527 * (B3/B1)^-1 + 125996.713606171 * B2/B3 + 1230143669.5783 * B1 / (B2 + B3)</f>
        <v>24120.342162831497</v>
      </c>
      <c r="X125" s="1">
        <f t="shared" si="41"/>
        <v>0</v>
      </c>
      <c r="Y125" s="1">
        <f>IF(AND($C$3&gt;=U125,$C$3&lt;=V125),1,0)</f>
        <v>0</v>
      </c>
      <c r="Z125" s="1">
        <f t="shared" si="43"/>
        <v>0</v>
      </c>
    </row>
    <row r="126" spans="1:26" x14ac:dyDescent="0.25">
      <c r="A126" s="1">
        <v>56</v>
      </c>
      <c r="B126" s="1">
        <v>60</v>
      </c>
      <c r="C126" s="1">
        <v>11</v>
      </c>
      <c r="D126" s="1">
        <v>14</v>
      </c>
      <c r="E126" s="1">
        <f xml:space="preserve">  - 1.8567247880353 * B1 - 0.000671687182038711 * B2 + 0.00259098843656637 * B3 + 0.274108186252831 * LN(B1) + 0.111728084308305 * LN(B2) - 5.45638138641574 * LN(B3) + 10.6599240709176 * B1^-5 - 26.0532482649246 * B1^-4 + 24.3534528402168 * B1^-3 - 11.0885427730553 * B1^-2 - 35777.5365108523 * B3^-1 + 5.75595899885469E-09 * B2^2 + 6504.01342638119 * (B1*B3)^-1 + 0.0000128899925608788 * B1*B2 + 0.0000123680482130687 * B1*B3 - 2.14677598521991E-08 * B2*B3 - 1.89530804910342E-10 * (B1/B2)^-2 - 1.18905498312994E-09 * (B1/B3)^-2 - 47.2563900086356 * (B2/B3)^-2 + 0.0000365983243128791 * (B1/B2)^-1 + 0.0000940135156413541 * (B1/B3)^-1 + 3774.50033951481 * (B2/B1)^-1 + 119.681382287979 * (B3/B1)^-1 + 69.8525396405246 * B2 / (B2 + B3) + 61349.4725323226 * B1 / (B2 + B3)</f>
        <v>-5.6031554125645524</v>
      </c>
      <c r="F126" s="1">
        <f>IF(AND($C$2&gt;=A126,$C$2&lt;=B126),1,0)</f>
        <v>0</v>
      </c>
      <c r="G126" s="1">
        <f t="shared" si="36"/>
        <v>0</v>
      </c>
      <c r="H126" s="1">
        <f t="shared" si="37"/>
        <v>0</v>
      </c>
      <c r="I126" s="1"/>
      <c r="J126" s="1">
        <v>56</v>
      </c>
      <c r="K126" s="1">
        <v>60</v>
      </c>
      <c r="L126" s="1">
        <v>11</v>
      </c>
      <c r="M126" s="1">
        <v>14</v>
      </c>
      <c r="N126" s="1">
        <f xml:space="preserve">  - 7.10940402831798 * B1 - 0.000114883739378492 * B2 - 0.00476129962148201 * B3 + 31.7297805448878 * LN(B1) - 124.418507570809 * LN(B2) + 133.507449611622 * LN(B3) - 311.565810971578 * B1^-5 + 768.939337754056 * B1^-4 - 701.543531275424 * B1^-3 + 282.687861711652 * B1^-2 + 53496.4957319329 * B3^-1 + 0.370732836035198 * B1^2 - 0.012087053583642 * B1^3 + 0.000172822904153818 * B1^4 - 30543.6316325345 * (B1*B3)^-1 - 3.18799954320674E-06 * B1*B2 + 4.07844141356933E-08 * B2*B3 + 1.31166697210392E-10 * (B1/B2)^-2 - 5.02283091832348E-09 * (B1/B3)^-2 - 101.626642448368 * (B2/B3)^-2 - 1.0756852008362 * (B3/B2)^-2 - 1214268919975.71 * (B3/B2)^-1 + 1214268920005.27 * B2/B3</f>
        <v>0.955810546875</v>
      </c>
      <c r="O126" s="1">
        <f>IF(AND($C$2&gt;=J126,$C$2&lt;=K126),1,0)</f>
        <v>0</v>
      </c>
      <c r="P126" s="1">
        <f t="shared" si="39"/>
        <v>0</v>
      </c>
      <c r="Q126" s="1">
        <f t="shared" si="40"/>
        <v>0</v>
      </c>
      <c r="R126" s="1"/>
      <c r="S126" s="1">
        <v>56</v>
      </c>
      <c r="T126" s="1">
        <v>60</v>
      </c>
      <c r="U126" s="1">
        <v>11</v>
      </c>
      <c r="V126" s="1">
        <v>14</v>
      </c>
      <c r="W126" s="1">
        <f xml:space="preserve">  - 1330.82612520184 * B1 - 0.781577172524368 * B2 - 0.460174772114365 * B3 - 353.078690675168 * LN(B1) + 59793.5102302541 * LN(B2) - 66855.1240816433 * LN(B3) - 15677.8137861055 * B1^-5 + 38075.3803492934 * B1^-4 - 35199.818134374 * B1^-3 + 15839.986057173 * B1^-2 - 323741948.41373 * B3^-1 - 11436803.6621445 * (B1*B3)^-1 + 0.00489785262497924 * B1*B2 + 0.0409649797211302 * B1*B3 + 0.0000232184269209603 * B2*B3 + 2.30410603390102E-07 * (B1/B2)^-2 + 1.74217839839272E-06 * (B1/B3)^-2 - 141231.095079865 * (B2/B3)^-2 - 0.0428921755247952 * (B1/B2)^-1 - 0.145723932473484 * (B1/B3)^-1 - 92470374.4963573 * (B2/B1)^-1 + 201239.335454646 * (B2/B3)^-1 + 1047227.83827296 * (B3/B1)^-1 + 145249807.372546 * B1 / (B2 + B3)</f>
        <v>-8037.4030145569941</v>
      </c>
      <c r="X126" s="1">
        <f>IF(AND($C$2&gt;=S126,$C$2&lt;=T126),1,0)</f>
        <v>0</v>
      </c>
      <c r="Y126" s="1">
        <f t="shared" si="42"/>
        <v>0</v>
      </c>
      <c r="Z126" s="1">
        <f t="shared" si="43"/>
        <v>0</v>
      </c>
    </row>
    <row r="127" spans="1:26" x14ac:dyDescent="0.25">
      <c r="A127" s="1">
        <v>56</v>
      </c>
      <c r="B127" s="1">
        <v>60</v>
      </c>
      <c r="C127" s="1">
        <v>14</v>
      </c>
      <c r="D127" s="1">
        <v>16</v>
      </c>
      <c r="E127" s="1">
        <f xml:space="preserve">  - 0.430377052377133 * B1 + 0.00108431624981435 * B2 + 0.00168047173311966 * B3 - 0.0180367451130103 * LN(B1) - 41.650509475681 * LN(B2) + 38.7003331200908 * LN(B3) - 0.952879869558369 * B1^-5 + 1.82895154237532 * B1^-4 - 0.995130109606419 * B1^-3 + 471468.288569438 * B3^-1 - 3852.62188588738 * (B1*B3)^-1 + 3.57584246809339E-06 * B1*B2 - 3.14550792119137E-08 * B2*B3 - 75.1332127036724 * (B2/B3)^-2 - 0.152060810027034 * (B3/B2)^-2 + 7.43932248275257E-06 * (B1/B2)^-1 + 12889.5646829162 * (B2/B1)^-1</f>
        <v>-4.6332673350757299</v>
      </c>
      <c r="F127" s="1">
        <f t="shared" ref="F127:F129" si="44">IF(AND($C$2&gt;=A127,$C$2&lt;=B127),1,0)</f>
        <v>0</v>
      </c>
      <c r="G127" s="1">
        <f t="shared" si="36"/>
        <v>0</v>
      </c>
      <c r="H127" s="1">
        <f t="shared" si="37"/>
        <v>0</v>
      </c>
      <c r="I127" s="1"/>
      <c r="J127" s="1">
        <v>56</v>
      </c>
      <c r="K127" s="1">
        <v>60</v>
      </c>
      <c r="L127" s="1">
        <v>14</v>
      </c>
      <c r="M127" s="1">
        <v>16</v>
      </c>
      <c r="N127" s="1">
        <f xml:space="preserve">  - 2.80245345662372 * B1 - 0.00332503243784457 * B2 + 0.0103522432309388 * B3 + 0.433267075018981 * LN(B1) + 9.57168180044813 * LN(B2) + 18.1662075876015 * B1^-5 - 44.458444478561 * B1^-4 + 41.6435089275098 * B1^-3 - 18.9386183829063 * B1^-2 + 2.57939929110218E-08 * B2^2 - 2.15402646411397E-08 * B3^2 + 8710.39383477082 * (B1*B3)^-1 + 0.000016676124953203 * B1*B2 + 0.0000276523917103036 * B1*B3 - 7.99544247563359E-08 * B2*B3 - 3.14490648129157E-10 * (B1/B2)^-2 - 1.87907087089044E-09 * (B1/B3)^-2 + 55.6879661154671 * (B2/B3)^-2 + 0.0000647804981952816 * (B1/B2)^-1 + 0.000146274252653449 * (B1/B3)^-1 - 21788.534197093 * (B2/B1)^-1 - 326.667455784813 * (B2/B3)^-1 + 1001.38265433065 * (B3/B1)^-1 + 125104.930420653 * B1 / (B2 + B3)</f>
        <v>-14.760741535931858</v>
      </c>
      <c r="O127" s="1">
        <f t="shared" ref="O127:O129" si="45">IF(AND($C$2&gt;=J127,$C$2&lt;=K127),1,0)</f>
        <v>0</v>
      </c>
      <c r="P127" s="1">
        <f t="shared" si="39"/>
        <v>0</v>
      </c>
      <c r="Q127" s="1">
        <f t="shared" si="40"/>
        <v>0</v>
      </c>
      <c r="R127" s="1"/>
      <c r="S127" s="1">
        <v>56</v>
      </c>
      <c r="T127" s="1">
        <v>60</v>
      </c>
      <c r="U127" s="1">
        <v>14</v>
      </c>
      <c r="V127" s="1">
        <v>16</v>
      </c>
      <c r="W127" s="1">
        <f xml:space="preserve">  - 5596.74298558175 * B1 - 3.19597754995446 * B2 + 15.7715119706863 * B3 + 55.5825095610173 * LN(B1) + 53297.3771947094 * LN(B2) - 71391.3449271631 * LN(B3) + 2898.74686824944 * B1^-5 - 4090.38051313516 * B1^-4 + 12668.5103080648 * B1^-1 - 0.000441492871937558 * B3^2 - 53556537.0496304 * (B1*B3)^-1 - 0.0758106992759008 * B1*B2 + 0.0000969130782628521 * B2*B3 + 3.30228253230189E-07 * (B1/B2)^-2 + 4.03781997256563E-06 * (B1/B3)^-2 + 87690.6811231289 * (B2/B3)^-2 - 0.0591769676352382 * (B1/B2)^-1 - 0.441710112445785 * (B1/B3)^-1 - 187045069.357358 * (B2/B1)^-1 + 3456066.10375023 * (B3/B1)^-1 + 15700.4938737739 * (B3/B2)^-1 + 404122675.532032 * B1 / (B2 + B3) + 0.102317583177046 * B1 * (B2 + B3)</f>
        <v>2350.6652150400187</v>
      </c>
      <c r="X127" s="1">
        <f t="shared" ref="X127:X129" si="46">IF(AND($C$2&gt;=S127,$C$2&lt;=T127),1,0)</f>
        <v>0</v>
      </c>
      <c r="Y127" s="1">
        <f t="shared" si="42"/>
        <v>0</v>
      </c>
      <c r="Z127" s="1">
        <f t="shared" si="43"/>
        <v>0</v>
      </c>
    </row>
    <row r="128" spans="1:26" x14ac:dyDescent="0.25">
      <c r="A128" s="1">
        <v>56</v>
      </c>
      <c r="B128" s="1">
        <v>60</v>
      </c>
      <c r="C128" s="1">
        <v>16</v>
      </c>
      <c r="D128" s="1">
        <v>18</v>
      </c>
      <c r="E128" s="1">
        <f xml:space="preserve">  - 0.353990193698197 * B1 - 0.000112041953275714 * B2 - 0.0000326898058541686 * B3 - 0.0503712627340996 * LN(B1) + 0.357917107665365 * LN(B2) + 4010.67687368149 * B3^-1 + 8.04751475389882E-10 * B2^2 + 0.0000015596425366339 * B1*B2 + 4.94711020161517E-06 * B1*B3 + 3.78570018036558E-10 * B2*B3 - 9662.28833765315 * (B2/B1)^-1 + 26061.8718157071 * B1 / (B2 + B3)</f>
        <v>0.82670069464495044</v>
      </c>
      <c r="F128" s="1">
        <f t="shared" si="44"/>
        <v>0</v>
      </c>
      <c r="G128" s="1">
        <f t="shared" si="36"/>
        <v>1</v>
      </c>
      <c r="H128" s="1">
        <f t="shared" si="37"/>
        <v>0</v>
      </c>
      <c r="I128" s="1"/>
      <c r="J128" s="1">
        <v>56</v>
      </c>
      <c r="K128" s="1">
        <v>60</v>
      </c>
      <c r="L128" s="1">
        <v>16</v>
      </c>
      <c r="M128" s="1">
        <v>18</v>
      </c>
      <c r="N128" s="1">
        <f xml:space="preserve"> 0.000197471766524175 * B2 - 0.000734794134448911 * B3 - 0.0778863996625121 * LN(B1) - 16.2983781789512 * LN(B2) + 17.1938049949058 * LN(B3) + 155419.32514444 * B3^-1 + 3.64498300777406E-09 * B2*B3</f>
        <v>3.5564630674772659</v>
      </c>
      <c r="O128" s="1">
        <f t="shared" si="45"/>
        <v>0</v>
      </c>
      <c r="P128" s="1">
        <f t="shared" si="39"/>
        <v>1</v>
      </c>
      <c r="Q128" s="1">
        <f t="shared" si="40"/>
        <v>0</v>
      </c>
      <c r="R128" s="1"/>
      <c r="S128" s="1">
        <v>56</v>
      </c>
      <c r="T128" s="1">
        <v>60</v>
      </c>
      <c r="U128" s="1">
        <v>16</v>
      </c>
      <c r="V128" s="1">
        <v>18</v>
      </c>
      <c r="W128" s="1">
        <f xml:space="preserve">  - 15387.218137074 * B1 - 8.14651010109273 * B2 + 34.2204073546288 * B3 - 1366.94378275131 * LN(B1) + 239557.341404579 * LN(B2) - 282983.58626953 * LN(B3) - 63144.332810325 * B1^-5 + 155111.835216632 * B1^-4 - 145980.670469415 * B1^-3 + 68084.6644943272 * B1^-2 - 0.000876128333937088 * B3^2 - 90310979.9084794 * (B1*B3)^-1 + 0.0721000756628391 * B1*B2 + 0.2411092937281 * B1*B3 + 0.000226357430338761 * B2*B3 + 6.09421304558859E-07 * (B1/B2)^-2 + 5.70099641479203E-06 * (B1/B3)^-2 + 288855.319644356 * (B2/B3)^-2 + 2631.12691458637 * (B3/B2)^-2 - 0.106678772888733 * (B1/B2)^-1 - 0.65788240038761 * (B1/B3)^-1 - 357550940.1933 * (B2/B1)^-1 + 14660820.300649 * (B3/B1)^-1 + 936573425.236396 * B1 / (B2 + B3)</f>
        <v>10320.344184358735</v>
      </c>
      <c r="X128" s="1">
        <f t="shared" si="46"/>
        <v>0</v>
      </c>
      <c r="Y128" s="1">
        <f t="shared" si="42"/>
        <v>1</v>
      </c>
      <c r="Z128" s="1">
        <f t="shared" si="43"/>
        <v>0</v>
      </c>
    </row>
    <row r="129" spans="1:26" x14ac:dyDescent="0.25">
      <c r="A129" s="1">
        <v>56</v>
      </c>
      <c r="B129" s="1">
        <v>60</v>
      </c>
      <c r="C129" s="1">
        <v>18</v>
      </c>
      <c r="D129" s="1">
        <v>20</v>
      </c>
      <c r="E129" s="1">
        <f xml:space="preserve">  - 0.106276317865061 * B1 - 0.000107039793477921 * B2 + 0.000628786151626638 * B3 - 0.0219311084268848 * LN(B1) - 0.620948264734243 * LN(B2) - 0.709654441823848 * B1^-5 + 1.65428467618629 * B1^-4 - 1.4086406936286 * B1^-3 + 0.366675894345353 * B1^-2 + 2.5429221728059 * B1^-1 + 74713.8406129524 * B3^-1 + 1.76359529264415E-09 * B2^2 - 21047.0271249724 * (B1*B3)^-1 + 6.87562034931563E-07 * B1*B2 + 9.3413344105994E-07 * B1*B3 - 6.21540383954863E-09 * B2*B3 + 4.8243579617416E-10 * (B1/B3)^-2 - 11.8952894572903 * (B2/B3)^-2 - 0.060868383635278 * (B3/B2)^-2 + 3.00870853427897E-06 * (B1/B2)^-1 - 0.0000863268514835984 * (B1/B3)^-1 - 7397.05250634837 * (B2/B1)^-1 - 733.145545022415 * (B3/B1)^-1 + 16546.05171627 * B1 / (B2 + B3)</f>
        <v>-0.34064926419667341</v>
      </c>
      <c r="F129" s="1">
        <f t="shared" si="44"/>
        <v>0</v>
      </c>
      <c r="G129" s="1">
        <f>IF(AND($C$3&gt;=C129,$C$3&lt;=D129),1,0)</f>
        <v>0</v>
      </c>
      <c r="H129" s="1">
        <f t="shared" si="37"/>
        <v>0</v>
      </c>
      <c r="I129" s="1"/>
      <c r="J129" s="1">
        <v>56</v>
      </c>
      <c r="K129" s="1">
        <v>60</v>
      </c>
      <c r="L129" s="1">
        <v>18</v>
      </c>
      <c r="M129" s="1">
        <v>20</v>
      </c>
      <c r="N129" s="1">
        <f xml:space="preserve">  - 0.568392905275149 * B1 - 0.000306732920631644 * B2 + 0.0015866659711206 * B3 - 0.0640588298250713 * LN(B1) - 1.3115092638396 * LN(B2) + 0.127752651573138 * B1^-5 - 0.343812783160617 * B1^-3 + 5.03272797321571 * B1^-1 + 170889.411037912 * B3^-1 + 4.7138256443661E-09 * B2^2 - 48012.6005075305 * (B1*B3)^-1 + 2.85424377308777E-06 * B1*B2 + 6.83487168877057E-06 * B1*B3 - 1.61753186809078E-08 * B2*B3 + 6.83887619503506E-10 * (B1/B3)^-2 - 31.516566238806 * (B2/B3)^-2 - 0.142789603699921 * (B3/B2)^-2 + 9.61295863100969E-06 * (B1/B2)^-1 - 0.000159661310929135 * (B1/B3)^-1 - 21913.760298945 * (B2/B1)^-1 - 1021.11525258982 * (B3/B1)^-1 + 54288.8307475464 * B1 / (B2 + B3)</f>
        <v>-0.82157788074408789</v>
      </c>
      <c r="O129" s="1">
        <f t="shared" si="45"/>
        <v>0</v>
      </c>
      <c r="P129" s="1">
        <f>IF(AND($C$3&gt;=L129,$C$3&lt;=M129),1,0)</f>
        <v>0</v>
      </c>
      <c r="Q129" s="1">
        <f t="shared" si="40"/>
        <v>0</v>
      </c>
      <c r="R129" s="1"/>
      <c r="S129" s="1">
        <v>56</v>
      </c>
      <c r="T129" s="1">
        <v>60</v>
      </c>
      <c r="U129" s="1">
        <v>18</v>
      </c>
      <c r="V129" s="1">
        <v>20</v>
      </c>
      <c r="W129" s="1">
        <f xml:space="preserve"> 0.0373397333927032 * B2 + 310.988070241339 * LN(B1) - 24746203.9421221 * B3^-1 + 0.0774369453109981 * B1*B3 - 77862379.4914476 * (B2/B1)^-1</f>
        <v>-4732.5911033572147</v>
      </c>
      <c r="X129" s="1">
        <f t="shared" si="46"/>
        <v>0</v>
      </c>
      <c r="Y129" s="1">
        <f>IF(AND($C$3&gt;=U129,$C$3&lt;=V129),1,0)</f>
        <v>0</v>
      </c>
      <c r="Z129" s="1">
        <f t="shared" si="43"/>
        <v>0</v>
      </c>
    </row>
  </sheetData>
  <sheetProtection algorithmName="SHA-512" hashValue="KKSNEf8g/pNuOkCA2LBNTERrAkraqHy0eEPb4OG9Gm3A36fKRatS4Iu+VgI2suonH5wPM31JV6cy2XTujOyi8Q==" saltValue="4KepYqGL7H4xbioQbooYlg==" spinCount="100000" sheet="1" objects="1" scenarios="1" selectLockedCells="1" selectUnlockedCells="1"/>
  <mergeCells count="36">
    <mergeCell ref="A99:H99"/>
    <mergeCell ref="A100:B100"/>
    <mergeCell ref="C100:D100"/>
    <mergeCell ref="J99:Q99"/>
    <mergeCell ref="S99:Z99"/>
    <mergeCell ref="J100:K100"/>
    <mergeCell ref="L100:M100"/>
    <mergeCell ref="S100:T100"/>
    <mergeCell ref="U100:V100"/>
    <mergeCell ref="S7:Z7"/>
    <mergeCell ref="S8:T8"/>
    <mergeCell ref="U8:V8"/>
    <mergeCell ref="A37:H37"/>
    <mergeCell ref="A38:B38"/>
    <mergeCell ref="C38:D38"/>
    <mergeCell ref="J37:Q37"/>
    <mergeCell ref="J38:K38"/>
    <mergeCell ref="L38:M38"/>
    <mergeCell ref="S37:Z37"/>
    <mergeCell ref="A7:H7"/>
    <mergeCell ref="A8:B8"/>
    <mergeCell ref="C8:D8"/>
    <mergeCell ref="J7:Q7"/>
    <mergeCell ref="J8:K8"/>
    <mergeCell ref="L8:M8"/>
    <mergeCell ref="U68:V68"/>
    <mergeCell ref="S38:T38"/>
    <mergeCell ref="U38:V38"/>
    <mergeCell ref="A67:H67"/>
    <mergeCell ref="A68:B68"/>
    <mergeCell ref="C68:D68"/>
    <mergeCell ref="J67:Q67"/>
    <mergeCell ref="J68:K68"/>
    <mergeCell ref="L68:M68"/>
    <mergeCell ref="S67:Z67"/>
    <mergeCell ref="S68:T68"/>
  </mergeCells>
  <pageMargins left="0.7" right="0.7" top="0.75" bottom="0.75" header="0.3" footer="0.3"/>
  <ignoredErrors>
    <ignoredError sqref="P12 Y12 G13 P14 Y15 P16 G17 Y18 P19 G21 Y21 P22 Y24 G25 G29 G43 P43 Y43 G47 P47 Y47 G51 P51 Y51 G55 P55 Y55 G59 P59 Y59 G73 P73 Y73 G77 P77 Y77 G81 P81 Y81 G85 P85 Y85 G89 Y89 G105 P105 Y105 G109 P109 Y109 G113 P113 Y113 G117 P117 Y117 G121 P121 Y121 G125 P125 Y12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Model</vt: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Danaci, David</dc:creator>
  <cp:lastModifiedBy>Danaci, David</cp:lastModifiedBy>
  <dcterms:created xsi:type="dcterms:W3CDTF">2019-07-30T07:31:57Z</dcterms:created>
  <dcterms:modified xsi:type="dcterms:W3CDTF">2019-08-10T01:05:10Z</dcterms:modified>
</cp:coreProperties>
</file>