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amitch\Documents\zhong\BACbine\re-submit\revised\submitted\"/>
    </mc:Choice>
  </mc:AlternateContent>
  <bookViews>
    <workbookView xWindow="0" yWindow="0" windowWidth="19200" windowHeight="73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5" i="1" l="1"/>
  <c r="B75" i="1"/>
  <c r="C7" i="1"/>
  <c r="C6" i="1"/>
  <c r="C5" i="1"/>
  <c r="C3" i="1"/>
  <c r="J32" i="1" l="1"/>
  <c r="J62" i="1"/>
  <c r="J63" i="1" s="1"/>
  <c r="J64" i="1" s="1"/>
  <c r="J65" i="1" s="1"/>
  <c r="J66" i="1" s="1"/>
  <c r="J67" i="1" s="1"/>
  <c r="J21" i="1"/>
  <c r="J20" i="1"/>
  <c r="J14" i="1"/>
  <c r="J15" i="1" s="1"/>
  <c r="J26" i="1" s="1"/>
  <c r="J27" i="1" s="1"/>
  <c r="J19" i="1"/>
  <c r="J24" i="1" s="1"/>
  <c r="J25" i="1" s="1"/>
  <c r="J18" i="1"/>
  <c r="J12" i="1"/>
  <c r="J13" i="1" s="1"/>
  <c r="J53" i="1"/>
  <c r="J54" i="1" s="1"/>
  <c r="J56" i="1" s="1"/>
  <c r="J57" i="1" s="1"/>
  <c r="J71" i="1" s="1"/>
  <c r="J48" i="1"/>
  <c r="J50" i="1" s="1"/>
  <c r="J51" i="1" s="1"/>
  <c r="J47" i="1"/>
  <c r="J70" i="1" l="1"/>
  <c r="B38" i="1"/>
  <c r="B39" i="1" s="1"/>
  <c r="B40" i="1" s="1"/>
  <c r="B35" i="1"/>
  <c r="B37" i="1" s="1"/>
  <c r="G5" i="1"/>
  <c r="G6" i="1" s="1"/>
  <c r="J73" i="1" s="1"/>
  <c r="D109" i="1"/>
  <c r="D108" i="1"/>
  <c r="B92" i="1"/>
  <c r="B93" i="1" s="1"/>
  <c r="B90" i="1"/>
  <c r="B91" i="1" s="1"/>
  <c r="B87" i="1"/>
  <c r="B88" i="1" s="1"/>
  <c r="B85" i="1"/>
  <c r="B86" i="1" s="1"/>
  <c r="B32" i="1"/>
  <c r="B62" i="1"/>
  <c r="B63" i="1" s="1"/>
  <c r="B64" i="1" s="1"/>
  <c r="B65" i="1" s="1"/>
  <c r="B66" i="1" s="1"/>
  <c r="B67" i="1" s="1"/>
  <c r="B55" i="1"/>
  <c r="B49" i="1"/>
  <c r="B53" i="1"/>
  <c r="B54" i="1" s="1"/>
  <c r="B56" i="1" s="1"/>
  <c r="B47" i="1"/>
  <c r="B48" i="1" s="1"/>
  <c r="B20" i="1"/>
  <c r="B21" i="1" s="1"/>
  <c r="B18" i="1"/>
  <c r="B19" i="1" s="1"/>
  <c r="B14" i="1"/>
  <c r="B15" i="1" s="1"/>
  <c r="B12" i="1"/>
  <c r="B13" i="1" s="1"/>
  <c r="B8" i="1"/>
  <c r="B4" i="1"/>
  <c r="B57" i="1" l="1"/>
  <c r="B71" i="1" s="1"/>
  <c r="B50" i="1"/>
  <c r="B51" i="1" s="1"/>
  <c r="B73" i="1" s="1"/>
  <c r="B26" i="1"/>
  <c r="B27" i="1" s="1"/>
  <c r="B95" i="1"/>
  <c r="B96" i="1" s="1"/>
  <c r="C8" i="1"/>
  <c r="J29" i="1"/>
  <c r="B41" i="1"/>
  <c r="B42" i="1" s="1"/>
  <c r="B43" i="1" s="1"/>
  <c r="B44" i="1" s="1"/>
  <c r="J72" i="1" s="1"/>
  <c r="B24" i="1"/>
  <c r="B25" i="1" s="1"/>
  <c r="B29" i="1" s="1"/>
  <c r="B97" i="1"/>
  <c r="B98" i="1" s="1"/>
  <c r="B102" i="1" s="1"/>
  <c r="B103" i="1" s="1"/>
  <c r="B100" i="1"/>
  <c r="B101" i="1" s="1"/>
  <c r="D110" i="1"/>
  <c r="D111" i="1"/>
  <c r="E111" i="1" s="1"/>
  <c r="B70" i="1" l="1"/>
  <c r="B72" i="1" s="1"/>
  <c r="B104" i="1"/>
</calcChain>
</file>

<file path=xl/sharedStrings.xml><?xml version="1.0" encoding="utf-8"?>
<sst xmlns="http://schemas.openxmlformats.org/spreadsheetml/2006/main" count="202" uniqueCount="95">
  <si>
    <t>MGD</t>
  </si>
  <si>
    <t>MF capital cost ($M/MGD)</t>
  </si>
  <si>
    <t>RO capital cost ($M/MGD)</t>
  </si>
  <si>
    <t>capital cost ($M)</t>
  </si>
  <si>
    <t>ML/D</t>
  </si>
  <si>
    <t>m2</t>
  </si>
  <si>
    <t>height (ft)</t>
  </si>
  <si>
    <t>OCWD</t>
  </si>
  <si>
    <t>MG</t>
  </si>
  <si>
    <t>annuity factor first term</t>
  </si>
  <si>
    <t xml:space="preserve">annuity factor   </t>
  </si>
  <si>
    <t>methanol cost paris - euro/1000 m3 for 26 mg_N/L nitrogen</t>
  </si>
  <si>
    <t>m3/yr treated</t>
  </si>
  <si>
    <t>1000 m3/yr treated</t>
  </si>
  <si>
    <t>euros/yr</t>
  </si>
  <si>
    <t>methanol cost paris - euro/1000 m3 for 10.5 mg_N/L nitrogen</t>
  </si>
  <si>
    <t>MF unit</t>
  </si>
  <si>
    <t>RO unit</t>
  </si>
  <si>
    <t>AOP</t>
  </si>
  <si>
    <t>Design Flows</t>
  </si>
  <si>
    <t>RO concentrate for O3 and BAC</t>
  </si>
  <si>
    <t>BAC units</t>
  </si>
  <si>
    <t>10 min EBCT</t>
  </si>
  <si>
    <t>Capital cost ($M/MGD)</t>
  </si>
  <si>
    <t>2011 dollars</t>
  </si>
  <si>
    <t>20 min EBCT</t>
  </si>
  <si>
    <t>30 min EBCT</t>
  </si>
  <si>
    <t>O3 treatment of concentrate</t>
  </si>
  <si>
    <t>2011 dollars without correction for higher O3 dose</t>
  </si>
  <si>
    <t>delta capital cost for higher O3 dose ($M)</t>
  </si>
  <si>
    <t>total cap cost ($M)</t>
  </si>
  <si>
    <t>total O+M cost ($M/yr)</t>
  </si>
  <si>
    <t>Footprint</t>
  </si>
  <si>
    <t>Footprint (ft2)</t>
  </si>
  <si>
    <t>From Plumlee et al (2014) for 10 min or 20 min EBCT BAC units at ~10 MGD</t>
  </si>
  <si>
    <t>assumed</t>
  </si>
  <si>
    <t>hydraulic residence time (min)</t>
  </si>
  <si>
    <t>hydraulic residence time (d)</t>
  </si>
  <si>
    <t>d</t>
  </si>
  <si>
    <t>volume for 10.5 MGD</t>
  </si>
  <si>
    <t>gal</t>
  </si>
  <si>
    <t>ft3</t>
  </si>
  <si>
    <t>ft2</t>
  </si>
  <si>
    <t>footprint (m2)</t>
  </si>
  <si>
    <t>footprint</t>
  </si>
  <si>
    <t>MF/RO/AOP treatment train</t>
  </si>
  <si>
    <t>MF capital cost ($M)</t>
  </si>
  <si>
    <t>MF O+M cost ($M/MGD/yr)</t>
  </si>
  <si>
    <t>MF O+M cost ($M/yr)</t>
  </si>
  <si>
    <t>RO capital cost ($M)</t>
  </si>
  <si>
    <t>RO O+M cost ($M/MGD/yr)</t>
  </si>
  <si>
    <t>RO O+M cost ($M/yr)</t>
  </si>
  <si>
    <t>AOP capital cost ($M/MGD)</t>
  </si>
  <si>
    <t>AOP capital cost ($M)</t>
  </si>
  <si>
    <t>AOP O+M cost ($M/MGD/yr)</t>
  </si>
  <si>
    <t>AOP O+M cost ($M/yr)</t>
  </si>
  <si>
    <t>MF</t>
  </si>
  <si>
    <t>RO</t>
  </si>
  <si>
    <t>flow</t>
  </si>
  <si>
    <t>total</t>
  </si>
  <si>
    <t xml:space="preserve"> MGD reuse facility</t>
  </si>
  <si>
    <t>O+M cost ($M/MGD/yr)</t>
  </si>
  <si>
    <t>O+M cost ($M/yr)</t>
  </si>
  <si>
    <t>delta O+M cost for higher O3 dose ($M/yr)</t>
  </si>
  <si>
    <t>MF/RO/AOP capital cost ($M)</t>
  </si>
  <si>
    <t>MF/RO/AOP O+M cost ($M/yr)</t>
  </si>
  <si>
    <t>O3/BAC treatment</t>
  </si>
  <si>
    <t>assume the sum for the 10 min and 20 min EBCTs in series</t>
  </si>
  <si>
    <t>Design parameters</t>
  </si>
  <si>
    <t>lifetime</t>
  </si>
  <si>
    <t>years</t>
  </si>
  <si>
    <t>discount rate</t>
  </si>
  <si>
    <t>percent</t>
  </si>
  <si>
    <t>https://www.investopedia.com/terms/e/eac.asp</t>
  </si>
  <si>
    <t>Nitrate conc (mg-N/L) in conventional effluent</t>
  </si>
  <si>
    <t>based on proportion for levels of nitrate in conventional study vs. Parisian study (Rocher et al., 2012)</t>
  </si>
  <si>
    <t>gallons per year treated</t>
  </si>
  <si>
    <t>dol/yr in 2017</t>
  </si>
  <si>
    <t>dol/yr in 2012</t>
  </si>
  <si>
    <t>for 70 MGD nitrified effluent into denitrified biofilter</t>
  </si>
  <si>
    <t>based on $1.3/euro in 2012</t>
  </si>
  <si>
    <t>Methanol needed for denitifying biofilters, which is same needed for BAC units</t>
  </si>
  <si>
    <t>Equivalent annual cost (EAC in $M/yr)</t>
  </si>
  <si>
    <t>total ($M/yr)</t>
  </si>
  <si>
    <t>EAC ($M/yr)</t>
  </si>
  <si>
    <t>O3 only</t>
  </si>
  <si>
    <t>2011 dollars and 20 mg/L dose</t>
  </si>
  <si>
    <t>volume for 70 MGD</t>
  </si>
  <si>
    <t>From Plumlee et al (2014) for 10 min or 20 min EBCT BAC units at 70 MGD</t>
  </si>
  <si>
    <t>Conventional Effluent</t>
  </si>
  <si>
    <t>adjusted to July 2019 dollars using RSMeans</t>
  </si>
  <si>
    <t>Conventional Effluent Treatment</t>
  </si>
  <si>
    <t>RO Concentrate Treatment</t>
  </si>
  <si>
    <t>Footprint for ozone</t>
  </si>
  <si>
    <t>Total footprint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</si>
</sst>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0" fillId="2" borderId="0" xfId="0" applyFill="1"/>
    <xf numFmtId="2" fontId="0" fillId="0" borderId="0" xfId="0" applyNumberFormat="1"/>
    <xf numFmtId="1" fontId="0" fillId="0" borderId="0" xfId="0" applyNumberFormat="1"/>
    <xf numFmtId="0" fontId="2" fillId="0" borderId="0" xfId="0" applyFont="1"/>
    <xf numFmtId="164" fontId="0" fillId="0" borderId="0" xfId="0" applyNumberFormat="1"/>
    <xf numFmtId="0" fontId="0" fillId="0" borderId="0" xfId="0" applyNumberFormat="1"/>
    <xf numFmtId="0" fontId="3" fillId="0" borderId="0" xfId="1"/>
    <xf numFmtId="0" fontId="2" fillId="2" borderId="0" xfId="0" applyFont="1" applyFill="1"/>
    <xf numFmtId="0" fontId="2" fillId="3" borderId="0" xfId="0" applyFont="1" applyFill="1"/>
    <xf numFmtId="0" fontId="0" fillId="3" borderId="0" xfId="0" applyFill="1"/>
    <xf numFmtId="1" fontId="0" fillId="3" borderId="0" xfId="0" applyNumberFormat="1" applyFill="1"/>
    <xf numFmtId="164" fontId="0" fillId="3" borderId="0" xfId="0" applyNumberFormat="1" applyFill="1"/>
    <xf numFmtId="0" fontId="0" fillId="0" borderId="0" xfId="0" applyFill="1"/>
    <xf numFmtId="0" fontId="4" fillId="2" borderId="0" xfId="0" applyFont="1" applyFill="1"/>
    <xf numFmtId="0" fontId="5" fillId="2" borderId="0" xfId="0" applyFont="1" applyFill="1"/>
    <xf numFmtId="0" fontId="1" fillId="2" borderId="0" xfId="0" applyFont="1" applyFill="1"/>
    <xf numFmtId="164" fontId="0" fillId="0" borderId="0" xfId="0" applyNumberFormat="1" applyFill="1"/>
    <xf numFmtId="1" fontId="0" fillId="3" borderId="0" xfId="0" applyNumberFormat="1" applyFill="1" applyAlignment="1">
      <alignment horizontal="right" indent="2"/>
    </xf>
    <xf numFmtId="2" fontId="0" fillId="3" borderId="0" xfId="0" applyNumberForma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nvestopedia.com/terms/e/eac.a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11"/>
  <sheetViews>
    <sheetView tabSelected="1" topLeftCell="A54" workbookViewId="0">
      <selection activeCell="A75" sqref="A75:XFD75"/>
    </sheetView>
  </sheetViews>
  <sheetFormatPr defaultRowHeight="14.5" x14ac:dyDescent="0.35"/>
  <cols>
    <col min="1" max="1" width="56.81640625" customWidth="1"/>
    <col min="2" max="2" width="9.36328125" bestFit="1" customWidth="1"/>
    <col min="6" max="6" width="23.08984375" customWidth="1"/>
  </cols>
  <sheetData>
    <row r="2" spans="1:11" s="1" customFormat="1" x14ac:dyDescent="0.35">
      <c r="A2" s="16" t="s">
        <v>19</v>
      </c>
      <c r="B2" s="1" t="s">
        <v>0</v>
      </c>
      <c r="C2" s="1" t="s">
        <v>4</v>
      </c>
      <c r="F2" s="16" t="s">
        <v>68</v>
      </c>
    </row>
    <row r="3" spans="1:11" x14ac:dyDescent="0.35">
      <c r="A3" t="s">
        <v>89</v>
      </c>
      <c r="B3">
        <v>70</v>
      </c>
      <c r="C3" s="3">
        <f>3.78*B3</f>
        <v>264.59999999999997</v>
      </c>
      <c r="F3" t="s">
        <v>69</v>
      </c>
      <c r="G3">
        <v>40</v>
      </c>
      <c r="H3" t="s">
        <v>70</v>
      </c>
    </row>
    <row r="4" spans="1:11" x14ac:dyDescent="0.35">
      <c r="B4">
        <f>B3*3.78</f>
        <v>264.59999999999997</v>
      </c>
      <c r="F4" t="s">
        <v>71</v>
      </c>
      <c r="G4" s="6">
        <v>4</v>
      </c>
      <c r="H4" t="s">
        <v>72</v>
      </c>
    </row>
    <row r="5" spans="1:11" x14ac:dyDescent="0.35">
      <c r="A5" t="s">
        <v>20</v>
      </c>
      <c r="B5">
        <v>10.5</v>
      </c>
      <c r="C5" s="3">
        <f t="shared" ref="C5:C8" si="0">3.78*B5</f>
        <v>39.69</v>
      </c>
      <c r="F5" t="s">
        <v>9</v>
      </c>
      <c r="G5">
        <f>1/(1+G4/100)^G3</f>
        <v>0.20828904466294101</v>
      </c>
      <c r="H5" s="7" t="s">
        <v>73</v>
      </c>
    </row>
    <row r="6" spans="1:11" x14ac:dyDescent="0.35">
      <c r="A6" t="s">
        <v>16</v>
      </c>
      <c r="B6">
        <v>70</v>
      </c>
      <c r="C6" s="3">
        <f t="shared" si="0"/>
        <v>264.59999999999997</v>
      </c>
      <c r="F6" t="s">
        <v>10</v>
      </c>
      <c r="G6">
        <f>(1-G5)/(G4/100)</f>
        <v>19.792773883426474</v>
      </c>
    </row>
    <row r="7" spans="1:11" x14ac:dyDescent="0.35">
      <c r="A7" t="s">
        <v>17</v>
      </c>
      <c r="B7">
        <v>70</v>
      </c>
      <c r="C7" s="3">
        <f t="shared" si="0"/>
        <v>264.59999999999997</v>
      </c>
    </row>
    <row r="8" spans="1:11" x14ac:dyDescent="0.35">
      <c r="A8" t="s">
        <v>18</v>
      </c>
      <c r="B8">
        <f>0.85*B7</f>
        <v>59.5</v>
      </c>
      <c r="C8" s="3">
        <f t="shared" si="0"/>
        <v>224.91</v>
      </c>
    </row>
    <row r="10" spans="1:11" s="1" customFormat="1" x14ac:dyDescent="0.35">
      <c r="A10" s="16" t="s">
        <v>21</v>
      </c>
      <c r="B10" s="16" t="s">
        <v>92</v>
      </c>
      <c r="J10" s="16" t="s">
        <v>91</v>
      </c>
    </row>
    <row r="11" spans="1:11" x14ac:dyDescent="0.35">
      <c r="A11" s="4" t="s">
        <v>22</v>
      </c>
    </row>
    <row r="12" spans="1:11" x14ac:dyDescent="0.35">
      <c r="A12" t="s">
        <v>23</v>
      </c>
      <c r="B12" s="2">
        <f>1.427*B5^-0.167</f>
        <v>0.96357463721566106</v>
      </c>
      <c r="C12" t="s">
        <v>24</v>
      </c>
      <c r="J12" s="2">
        <f>1.427*B3^-0.167</f>
        <v>0.70192805432319527</v>
      </c>
      <c r="K12" t="s">
        <v>24</v>
      </c>
    </row>
    <row r="13" spans="1:11" x14ac:dyDescent="0.35">
      <c r="A13" t="s">
        <v>3</v>
      </c>
      <c r="B13" s="2">
        <f>B12*B5</f>
        <v>10.117533690764441</v>
      </c>
      <c r="C13" t="s">
        <v>24</v>
      </c>
      <c r="J13" s="2">
        <f>J12*B3</f>
        <v>49.134963802623666</v>
      </c>
      <c r="K13" t="s">
        <v>24</v>
      </c>
    </row>
    <row r="14" spans="1:11" x14ac:dyDescent="0.35">
      <c r="A14" t="s">
        <v>61</v>
      </c>
      <c r="B14" s="2">
        <f>0.0589*B5^-0.044</f>
        <v>5.3110814974318854E-2</v>
      </c>
      <c r="C14" t="s">
        <v>24</v>
      </c>
      <c r="J14" s="2">
        <f>0.0589*B3^-0.044</f>
        <v>4.8857470787390021E-2</v>
      </c>
      <c r="K14" t="s">
        <v>24</v>
      </c>
    </row>
    <row r="15" spans="1:11" x14ac:dyDescent="0.35">
      <c r="A15" t="s">
        <v>62</v>
      </c>
      <c r="B15" s="2">
        <f>B14*B5</f>
        <v>0.55766355723034799</v>
      </c>
      <c r="C15" t="s">
        <v>24</v>
      </c>
      <c r="J15" s="2">
        <f>J14*B3</f>
        <v>3.4200229551173016</v>
      </c>
      <c r="K15" t="s">
        <v>24</v>
      </c>
    </row>
    <row r="17" spans="1:11" x14ac:dyDescent="0.35">
      <c r="A17" s="4" t="s">
        <v>25</v>
      </c>
    </row>
    <row r="18" spans="1:11" x14ac:dyDescent="0.35">
      <c r="A18" t="s">
        <v>23</v>
      </c>
      <c r="B18" s="2">
        <f>1.52*B5^-0.147</f>
        <v>1.0757931161909924</v>
      </c>
      <c r="C18" t="s">
        <v>24</v>
      </c>
      <c r="J18" s="2">
        <f>1.52*B3^-0.147</f>
        <v>0.81398082829258622</v>
      </c>
      <c r="K18" t="s">
        <v>24</v>
      </c>
    </row>
    <row r="19" spans="1:11" x14ac:dyDescent="0.35">
      <c r="A19" t="s">
        <v>3</v>
      </c>
      <c r="B19" s="2">
        <f>B18*B5</f>
        <v>11.29582772000542</v>
      </c>
      <c r="C19" t="s">
        <v>24</v>
      </c>
      <c r="J19" s="2">
        <f>J18*B3</f>
        <v>56.978657980481039</v>
      </c>
      <c r="K19" t="s">
        <v>24</v>
      </c>
    </row>
    <row r="20" spans="1:11" x14ac:dyDescent="0.35">
      <c r="A20" t="s">
        <v>61</v>
      </c>
      <c r="B20" s="2">
        <f>0.0669*B5^-0.036</f>
        <v>6.1470012721671435E-2</v>
      </c>
      <c r="C20" t="s">
        <v>24</v>
      </c>
      <c r="J20" s="2">
        <f>0.0669*B3^-0.036</f>
        <v>5.7411988386200714E-2</v>
      </c>
      <c r="K20" t="s">
        <v>24</v>
      </c>
    </row>
    <row r="21" spans="1:11" x14ac:dyDescent="0.35">
      <c r="A21" t="s">
        <v>62</v>
      </c>
      <c r="B21" s="2">
        <f>B20*B5</f>
        <v>0.64543513357755011</v>
      </c>
      <c r="C21" t="s">
        <v>24</v>
      </c>
      <c r="J21" s="2">
        <f>J20*B3</f>
        <v>4.0188391870340503</v>
      </c>
      <c r="K21" t="s">
        <v>24</v>
      </c>
    </row>
    <row r="23" spans="1:11" s="10" customFormat="1" x14ac:dyDescent="0.35">
      <c r="A23" s="9" t="s">
        <v>26</v>
      </c>
      <c r="C23" s="10" t="s">
        <v>67</v>
      </c>
    </row>
    <row r="24" spans="1:11" s="10" customFormat="1" x14ac:dyDescent="0.35">
      <c r="A24" s="10" t="s">
        <v>3</v>
      </c>
      <c r="B24" s="11">
        <f>B19+B13</f>
        <v>21.413361410769859</v>
      </c>
      <c r="C24" s="10" t="s">
        <v>24</v>
      </c>
      <c r="J24" s="11">
        <f>J19+J13</f>
        <v>106.1136217831047</v>
      </c>
      <c r="K24" s="10" t="s">
        <v>24</v>
      </c>
    </row>
    <row r="25" spans="1:11" s="10" customFormat="1" x14ac:dyDescent="0.35">
      <c r="A25" s="10" t="s">
        <v>3</v>
      </c>
      <c r="B25" s="11">
        <f>B24*97.1/80</f>
        <v>25.990467412321912</v>
      </c>
      <c r="C25" s="10" t="s">
        <v>90</v>
      </c>
      <c r="J25" s="11">
        <f>J24*97.1/80</f>
        <v>128.79540843924332</v>
      </c>
      <c r="K25" s="10" t="s">
        <v>90</v>
      </c>
    </row>
    <row r="26" spans="1:11" s="10" customFormat="1" x14ac:dyDescent="0.35">
      <c r="A26" s="10" t="s">
        <v>62</v>
      </c>
      <c r="B26" s="12">
        <f>B15+B21</f>
        <v>1.2030986908078982</v>
      </c>
      <c r="C26" s="10" t="s">
        <v>24</v>
      </c>
      <c r="J26" s="12">
        <f>J15+J21</f>
        <v>7.4388621421513523</v>
      </c>
      <c r="K26" s="10" t="s">
        <v>24</v>
      </c>
    </row>
    <row r="27" spans="1:11" s="10" customFormat="1" x14ac:dyDescent="0.35">
      <c r="A27" s="10" t="s">
        <v>62</v>
      </c>
      <c r="B27" s="12">
        <f>B26*97.1/80</f>
        <v>1.4602610359680863</v>
      </c>
      <c r="C27" s="10" t="s">
        <v>90</v>
      </c>
      <c r="J27" s="12">
        <f>J26*97.1/80</f>
        <v>9.0289189250362032</v>
      </c>
      <c r="K27" s="10" t="s">
        <v>90</v>
      </c>
    </row>
    <row r="29" spans="1:11" s="10" customFormat="1" x14ac:dyDescent="0.35">
      <c r="A29" s="10" t="s">
        <v>82</v>
      </c>
      <c r="B29" s="12">
        <f>B25/G$6+B27+B44</f>
        <v>3.6761287747165157</v>
      </c>
      <c r="J29" s="11">
        <f>J25/G$6+J27+B44</f>
        <v>16.438851004256151</v>
      </c>
    </row>
    <row r="31" spans="1:11" s="10" customFormat="1" x14ac:dyDescent="0.35">
      <c r="A31" s="9" t="s">
        <v>33</v>
      </c>
      <c r="B31" s="10">
        <v>1740</v>
      </c>
      <c r="C31" s="10" t="s">
        <v>34</v>
      </c>
      <c r="J31" s="10">
        <v>12153</v>
      </c>
      <c r="K31" s="10" t="s">
        <v>88</v>
      </c>
    </row>
    <row r="32" spans="1:11" s="10" customFormat="1" x14ac:dyDescent="0.35">
      <c r="A32" s="10" t="s">
        <v>43</v>
      </c>
      <c r="B32" s="11">
        <f>B31/(3.28^2)</f>
        <v>161.73408685306367</v>
      </c>
      <c r="C32" s="10" t="s">
        <v>5</v>
      </c>
      <c r="J32" s="11">
        <f>J31/(3.28^2)</f>
        <v>1129.6289411064845</v>
      </c>
      <c r="K32" s="10" t="s">
        <v>5</v>
      </c>
    </row>
    <row r="34" spans="1:11" s="15" customFormat="1" x14ac:dyDescent="0.35">
      <c r="A34" s="14" t="s">
        <v>81</v>
      </c>
    </row>
    <row r="35" spans="1:11" x14ac:dyDescent="0.35">
      <c r="A35" t="s">
        <v>74</v>
      </c>
      <c r="B35" s="2">
        <f>70/6.7</f>
        <v>10.44776119402985</v>
      </c>
    </row>
    <row r="36" spans="1:11" x14ac:dyDescent="0.35">
      <c r="A36" t="s">
        <v>11</v>
      </c>
      <c r="B36">
        <v>15</v>
      </c>
    </row>
    <row r="37" spans="1:11" x14ac:dyDescent="0.35">
      <c r="A37" t="s">
        <v>15</v>
      </c>
      <c r="B37" s="5">
        <f>B35/26*B36</f>
        <v>6.027554535017221</v>
      </c>
      <c r="C37" t="s">
        <v>75</v>
      </c>
    </row>
    <row r="38" spans="1:11" x14ac:dyDescent="0.35">
      <c r="A38" t="s">
        <v>76</v>
      </c>
      <c r="B38">
        <f>70*10^6*365</f>
        <v>25550000000</v>
      </c>
      <c r="C38" t="s">
        <v>79</v>
      </c>
    </row>
    <row r="39" spans="1:11" x14ac:dyDescent="0.35">
      <c r="A39" t="s">
        <v>12</v>
      </c>
      <c r="B39">
        <f>B38*0.00378</f>
        <v>96579000</v>
      </c>
    </row>
    <row r="40" spans="1:11" x14ac:dyDescent="0.35">
      <c r="A40" t="s">
        <v>13</v>
      </c>
      <c r="B40">
        <f>B39/1000</f>
        <v>96579</v>
      </c>
    </row>
    <row r="41" spans="1:11" x14ac:dyDescent="0.35">
      <c r="A41" t="s">
        <v>14</v>
      </c>
      <c r="B41">
        <f>B40*B37</f>
        <v>582135.18943742814</v>
      </c>
    </row>
    <row r="42" spans="1:11" x14ac:dyDescent="0.35">
      <c r="A42" t="s">
        <v>78</v>
      </c>
      <c r="B42">
        <f>1.3*B41</f>
        <v>756775.74626865657</v>
      </c>
      <c r="C42" t="s">
        <v>80</v>
      </c>
    </row>
    <row r="43" spans="1:11" x14ac:dyDescent="0.35">
      <c r="A43" t="s">
        <v>77</v>
      </c>
      <c r="B43">
        <f>B42*97.1/81.4</f>
        <v>902738.6359052402</v>
      </c>
      <c r="C43" s="13" t="s">
        <v>90</v>
      </c>
    </row>
    <row r="44" spans="1:11" s="10" customFormat="1" x14ac:dyDescent="0.35">
      <c r="A44" s="10" t="s">
        <v>83</v>
      </c>
      <c r="B44" s="12">
        <f>B43/10^6</f>
        <v>0.90273863590524017</v>
      </c>
    </row>
    <row r="46" spans="1:11" s="1" customFormat="1" x14ac:dyDescent="0.35">
      <c r="A46" s="16" t="s">
        <v>27</v>
      </c>
      <c r="B46" s="16" t="s">
        <v>92</v>
      </c>
      <c r="J46" s="16" t="s">
        <v>91</v>
      </c>
    </row>
    <row r="47" spans="1:11" x14ac:dyDescent="0.35">
      <c r="A47" t="s">
        <v>23</v>
      </c>
      <c r="B47" s="2">
        <f>2.26*B5^-0.54</f>
        <v>0.63484282806530956</v>
      </c>
      <c r="C47" t="s">
        <v>24</v>
      </c>
      <c r="J47" s="2">
        <f>2.26*B3^-0.54</f>
        <v>0.22790586287311376</v>
      </c>
      <c r="K47" t="s">
        <v>24</v>
      </c>
    </row>
    <row r="48" spans="1:11" x14ac:dyDescent="0.35">
      <c r="A48" t="s">
        <v>3</v>
      </c>
      <c r="B48" s="2">
        <f>B47*B5</f>
        <v>6.6658496946857504</v>
      </c>
      <c r="C48" t="s">
        <v>24</v>
      </c>
      <c r="J48" s="2">
        <f>J47*B3</f>
        <v>15.953410401117964</v>
      </c>
      <c r="K48" t="s">
        <v>24</v>
      </c>
    </row>
    <row r="49" spans="1:11" x14ac:dyDescent="0.35">
      <c r="A49" t="s">
        <v>29</v>
      </c>
      <c r="B49" s="2">
        <f>0.0156*B5*6</f>
        <v>0.98280000000000001</v>
      </c>
      <c r="C49" t="s">
        <v>86</v>
      </c>
      <c r="J49">
        <v>0</v>
      </c>
      <c r="K49" t="s">
        <v>86</v>
      </c>
    </row>
    <row r="50" spans="1:11" x14ac:dyDescent="0.35">
      <c r="A50" t="s">
        <v>30</v>
      </c>
      <c r="B50" s="2">
        <f>B48+B49</f>
        <v>7.6486496946857505</v>
      </c>
      <c r="C50" t="s">
        <v>24</v>
      </c>
      <c r="J50" s="2">
        <f>J48+J49</f>
        <v>15.953410401117964</v>
      </c>
      <c r="K50" t="s">
        <v>24</v>
      </c>
    </row>
    <row r="51" spans="1:11" s="10" customFormat="1" x14ac:dyDescent="0.35">
      <c r="A51" s="10" t="s">
        <v>30</v>
      </c>
      <c r="B51" s="12">
        <f>B50*97.1/80</f>
        <v>9.2835485669248285</v>
      </c>
      <c r="C51" s="10" t="s">
        <v>90</v>
      </c>
      <c r="J51" s="18">
        <f>J50*97.1/80</f>
        <v>19.363451874356926</v>
      </c>
      <c r="K51" s="10" t="s">
        <v>90</v>
      </c>
    </row>
    <row r="53" spans="1:11" x14ac:dyDescent="0.35">
      <c r="A53" t="s">
        <v>61</v>
      </c>
      <c r="B53" s="2">
        <f>0.0068*B5^-0.0511</f>
        <v>6.0301225658311577E-3</v>
      </c>
      <c r="C53" t="s">
        <v>28</v>
      </c>
      <c r="J53" s="2">
        <f>0.0068*B3^-0.0511</f>
        <v>5.4729868273343269E-3</v>
      </c>
      <c r="K53" t="s">
        <v>28</v>
      </c>
    </row>
    <row r="54" spans="1:11" x14ac:dyDescent="0.35">
      <c r="A54" t="s">
        <v>62</v>
      </c>
      <c r="B54" s="2">
        <f>B5*B53</f>
        <v>6.3316286941227151E-2</v>
      </c>
      <c r="C54" t="s">
        <v>28</v>
      </c>
      <c r="J54" s="2">
        <f>B3*J53</f>
        <v>0.38310907791340287</v>
      </c>
      <c r="K54" t="s">
        <v>28</v>
      </c>
    </row>
    <row r="55" spans="1:11" x14ac:dyDescent="0.35">
      <c r="A55" t="s">
        <v>63</v>
      </c>
      <c r="B55" s="2">
        <f>0.005*B5*6</f>
        <v>0.315</v>
      </c>
      <c r="C55" t="s">
        <v>24</v>
      </c>
      <c r="J55">
        <v>0</v>
      </c>
    </row>
    <row r="56" spans="1:11" x14ac:dyDescent="0.35">
      <c r="A56" t="s">
        <v>31</v>
      </c>
      <c r="B56" s="2">
        <f>B54+B55</f>
        <v>0.37831628694122715</v>
      </c>
      <c r="C56" t="s">
        <v>24</v>
      </c>
      <c r="J56" s="2">
        <f>J54+J55</f>
        <v>0.38310907791340287</v>
      </c>
      <c r="K56" t="s">
        <v>24</v>
      </c>
    </row>
    <row r="57" spans="1:11" s="10" customFormat="1" x14ac:dyDescent="0.35">
      <c r="A57" s="10" t="s">
        <v>31</v>
      </c>
      <c r="B57" s="12">
        <f>B56*97.1/80</f>
        <v>0.45918139327491447</v>
      </c>
      <c r="C57" s="10" t="s">
        <v>90</v>
      </c>
      <c r="J57" s="12">
        <f>J56*97.1/80</f>
        <v>0.46499864331739271</v>
      </c>
      <c r="K57" s="10" t="s">
        <v>90</v>
      </c>
    </row>
    <row r="58" spans="1:11" x14ac:dyDescent="0.35">
      <c r="C58" s="13"/>
      <c r="K58" s="13"/>
    </row>
    <row r="59" spans="1:11" s="1" customFormat="1" x14ac:dyDescent="0.35">
      <c r="A59" s="8" t="s">
        <v>93</v>
      </c>
    </row>
    <row r="60" spans="1:11" x14ac:dyDescent="0.35">
      <c r="A60" t="s">
        <v>6</v>
      </c>
      <c r="B60">
        <v>10</v>
      </c>
      <c r="C60" t="s">
        <v>35</v>
      </c>
      <c r="J60">
        <v>10</v>
      </c>
      <c r="K60" t="s">
        <v>35</v>
      </c>
    </row>
    <row r="61" spans="1:11" x14ac:dyDescent="0.35">
      <c r="A61" t="s">
        <v>36</v>
      </c>
      <c r="B61">
        <v>10</v>
      </c>
      <c r="C61" t="s">
        <v>35</v>
      </c>
      <c r="J61">
        <v>10</v>
      </c>
      <c r="K61" t="s">
        <v>35</v>
      </c>
    </row>
    <row r="62" spans="1:11" x14ac:dyDescent="0.35">
      <c r="A62" t="s">
        <v>37</v>
      </c>
      <c r="B62">
        <f>B61/60/24</f>
        <v>6.9444444444444441E-3</v>
      </c>
      <c r="C62" t="s">
        <v>38</v>
      </c>
      <c r="J62">
        <f>J61/60/24</f>
        <v>6.9444444444444441E-3</v>
      </c>
      <c r="K62" t="s">
        <v>38</v>
      </c>
    </row>
    <row r="63" spans="1:11" x14ac:dyDescent="0.35">
      <c r="A63" t="s">
        <v>39</v>
      </c>
      <c r="B63">
        <f>B5*B62</f>
        <v>7.2916666666666657E-2</v>
      </c>
      <c r="C63" t="s">
        <v>8</v>
      </c>
      <c r="J63">
        <f>B3*J62</f>
        <v>0.4861111111111111</v>
      </c>
      <c r="K63" t="s">
        <v>8</v>
      </c>
    </row>
    <row r="64" spans="1:11" x14ac:dyDescent="0.35">
      <c r="A64" t="s">
        <v>39</v>
      </c>
      <c r="B64" s="3">
        <f>B63*10^6</f>
        <v>72916.666666666657</v>
      </c>
      <c r="C64" t="s">
        <v>40</v>
      </c>
      <c r="I64" t="s">
        <v>87</v>
      </c>
      <c r="J64" s="3">
        <f>J63*10^6</f>
        <v>486111.11111111112</v>
      </c>
      <c r="K64" t="s">
        <v>40</v>
      </c>
    </row>
    <row r="65" spans="1:12" x14ac:dyDescent="0.35">
      <c r="A65" t="s">
        <v>39</v>
      </c>
      <c r="B65" s="3">
        <f>B64*0.1337</f>
        <v>9748.9583333333321</v>
      </c>
      <c r="C65" t="s">
        <v>41</v>
      </c>
      <c r="I65" t="s">
        <v>87</v>
      </c>
      <c r="J65" s="3">
        <f>J64*0.1337</f>
        <v>64993.055555555562</v>
      </c>
      <c r="K65" t="s">
        <v>41</v>
      </c>
    </row>
    <row r="66" spans="1:12" s="10" customFormat="1" x14ac:dyDescent="0.35">
      <c r="A66" s="10" t="s">
        <v>44</v>
      </c>
      <c r="B66" s="11">
        <f>B65/B61</f>
        <v>974.89583333333326</v>
      </c>
      <c r="C66" s="10" t="s">
        <v>42</v>
      </c>
      <c r="D66" s="10" t="s">
        <v>85</v>
      </c>
      <c r="I66" s="10" t="s">
        <v>44</v>
      </c>
      <c r="J66" s="11">
        <f>J65/J61</f>
        <v>6499.3055555555566</v>
      </c>
      <c r="K66" s="10" t="s">
        <v>42</v>
      </c>
      <c r="L66" s="10" t="s">
        <v>85</v>
      </c>
    </row>
    <row r="67" spans="1:12" s="10" customFormat="1" x14ac:dyDescent="0.35">
      <c r="A67" s="10" t="s">
        <v>44</v>
      </c>
      <c r="B67" s="11">
        <f>B66/(3.28^2)</f>
        <v>90.617176655760474</v>
      </c>
      <c r="C67" s="10" t="s">
        <v>5</v>
      </c>
      <c r="D67" s="10" t="s">
        <v>85</v>
      </c>
      <c r="I67" s="10" t="s">
        <v>44</v>
      </c>
      <c r="J67" s="11">
        <f>J66/(3.28^2)</f>
        <v>604.11451103840329</v>
      </c>
      <c r="K67" s="10" t="s">
        <v>5</v>
      </c>
      <c r="L67" s="10" t="s">
        <v>85</v>
      </c>
    </row>
    <row r="68" spans="1:12" x14ac:dyDescent="0.35">
      <c r="C68" s="13"/>
      <c r="K68" s="13"/>
    </row>
    <row r="69" spans="1:12" s="1" customFormat="1" x14ac:dyDescent="0.35">
      <c r="A69" s="16" t="s">
        <v>66</v>
      </c>
    </row>
    <row r="70" spans="1:12" s="10" customFormat="1" x14ac:dyDescent="0.35">
      <c r="A70" s="10" t="s">
        <v>3</v>
      </c>
      <c r="B70" s="12">
        <f>B51+B25</f>
        <v>35.274015979246741</v>
      </c>
      <c r="C70" s="10" t="s">
        <v>90</v>
      </c>
      <c r="J70" s="12">
        <f>J51+J25</f>
        <v>148.15886031360026</v>
      </c>
      <c r="K70" s="10" t="s">
        <v>90</v>
      </c>
    </row>
    <row r="71" spans="1:12" s="10" customFormat="1" x14ac:dyDescent="0.35">
      <c r="A71" s="10" t="s">
        <v>62</v>
      </c>
      <c r="B71" s="12">
        <f>B57+B27</f>
        <v>1.9194424292430008</v>
      </c>
      <c r="C71" s="10" t="s">
        <v>90</v>
      </c>
      <c r="J71" s="12">
        <f>J57+J27</f>
        <v>9.493917568353595</v>
      </c>
      <c r="K71" s="10" t="s">
        <v>90</v>
      </c>
    </row>
    <row r="72" spans="1:12" s="10" customFormat="1" x14ac:dyDescent="0.35">
      <c r="A72" s="10" t="s">
        <v>84</v>
      </c>
      <c r="B72" s="12">
        <f>B70/G6+B71+B44</f>
        <v>4.604347434905212</v>
      </c>
      <c r="J72" s="11">
        <f>J70/G6+J71+B44</f>
        <v>17.882158801631579</v>
      </c>
    </row>
    <row r="73" spans="1:12" x14ac:dyDescent="0.35">
      <c r="B73">
        <f>B51/G6+B57</f>
        <v>0.92821866018869614</v>
      </c>
      <c r="J73">
        <f>J51/G6+J57</f>
        <v>1.4433077973754278</v>
      </c>
    </row>
    <row r="75" spans="1:12" s="10" customFormat="1" x14ac:dyDescent="0.35">
      <c r="A75" s="10" t="s">
        <v>94</v>
      </c>
      <c r="B75" s="11">
        <f>B67+B32</f>
        <v>252.35126350882416</v>
      </c>
      <c r="C75" s="10" t="s">
        <v>5</v>
      </c>
      <c r="J75" s="11">
        <f>J67+J32</f>
        <v>1733.7434521448877</v>
      </c>
      <c r="K75" s="10" t="s">
        <v>5</v>
      </c>
    </row>
    <row r="84" spans="1:3" s="1" customFormat="1" x14ac:dyDescent="0.35">
      <c r="A84" s="16" t="s">
        <v>45</v>
      </c>
    </row>
    <row r="85" spans="1:3" x14ac:dyDescent="0.35">
      <c r="A85" t="s">
        <v>1</v>
      </c>
      <c r="B85" s="5">
        <f>3.568*B6^-0.223</f>
        <v>1.3834643829370683</v>
      </c>
      <c r="C85" t="s">
        <v>24</v>
      </c>
    </row>
    <row r="86" spans="1:3" x14ac:dyDescent="0.35">
      <c r="A86" t="s">
        <v>46</v>
      </c>
      <c r="B86" s="5">
        <f>B6*B85</f>
        <v>96.84250680559478</v>
      </c>
      <c r="C86" t="s">
        <v>24</v>
      </c>
    </row>
    <row r="87" spans="1:3" x14ac:dyDescent="0.35">
      <c r="A87" t="s">
        <v>47</v>
      </c>
      <c r="B87" s="5">
        <f>0.303*B7^-0.219</f>
        <v>0.11949951914838224</v>
      </c>
      <c r="C87" t="s">
        <v>24</v>
      </c>
    </row>
    <row r="88" spans="1:3" x14ac:dyDescent="0.35">
      <c r="A88" t="s">
        <v>48</v>
      </c>
      <c r="B88" s="5">
        <f>B87*B7</f>
        <v>8.364966340386756</v>
      </c>
      <c r="C88" t="s">
        <v>24</v>
      </c>
    </row>
    <row r="89" spans="1:3" x14ac:dyDescent="0.35">
      <c r="B89" s="5"/>
    </row>
    <row r="90" spans="1:3" x14ac:dyDescent="0.35">
      <c r="A90" t="s">
        <v>2</v>
      </c>
      <c r="B90" s="5">
        <f>7.136*B7^-0.223</f>
        <v>2.7669287658741366</v>
      </c>
      <c r="C90" t="s">
        <v>24</v>
      </c>
    </row>
    <row r="91" spans="1:3" x14ac:dyDescent="0.35">
      <c r="A91" t="s">
        <v>49</v>
      </c>
      <c r="B91" s="5">
        <f>B90*B7</f>
        <v>193.68501361118956</v>
      </c>
      <c r="C91" t="s">
        <v>24</v>
      </c>
    </row>
    <row r="92" spans="1:3" x14ac:dyDescent="0.35">
      <c r="A92" t="s">
        <v>50</v>
      </c>
      <c r="B92" s="5">
        <f>0.435*B7^-0.133</f>
        <v>0.24722433514860648</v>
      </c>
      <c r="C92" t="s">
        <v>24</v>
      </c>
    </row>
    <row r="93" spans="1:3" x14ac:dyDescent="0.35">
      <c r="A93" t="s">
        <v>51</v>
      </c>
      <c r="B93" s="5">
        <f>B92*B7</f>
        <v>17.305703460402455</v>
      </c>
      <c r="C93" t="s">
        <v>24</v>
      </c>
    </row>
    <row r="94" spans="1:3" x14ac:dyDescent="0.35">
      <c r="B94" s="5"/>
    </row>
    <row r="95" spans="1:3" x14ac:dyDescent="0.35">
      <c r="A95" t="s">
        <v>52</v>
      </c>
      <c r="B95" s="5">
        <f>0.474*B8^-0.056</f>
        <v>0.37705559679962669</v>
      </c>
      <c r="C95" t="s">
        <v>24</v>
      </c>
    </row>
    <row r="96" spans="1:3" x14ac:dyDescent="0.35">
      <c r="A96" t="s">
        <v>53</v>
      </c>
      <c r="B96" s="5">
        <f>B95*B8</f>
        <v>22.43480800957779</v>
      </c>
      <c r="C96" t="s">
        <v>24</v>
      </c>
    </row>
    <row r="97" spans="1:5" x14ac:dyDescent="0.35">
      <c r="A97" t="s">
        <v>54</v>
      </c>
      <c r="B97" s="5">
        <f>0.038*B8^-0.052</f>
        <v>3.0726190187315223E-2</v>
      </c>
      <c r="C97" t="s">
        <v>24</v>
      </c>
    </row>
    <row r="98" spans="1:5" x14ac:dyDescent="0.35">
      <c r="A98" t="s">
        <v>55</v>
      </c>
      <c r="B98" s="5">
        <f>B97*B8</f>
        <v>1.8282083161452558</v>
      </c>
      <c r="C98" t="s">
        <v>24</v>
      </c>
    </row>
    <row r="99" spans="1:5" x14ac:dyDescent="0.35">
      <c r="B99" s="5"/>
    </row>
    <row r="100" spans="1:5" s="13" customFormat="1" x14ac:dyDescent="0.35">
      <c r="A100" s="13" t="s">
        <v>64</v>
      </c>
      <c r="B100" s="17">
        <f>SUM(B96,B91,B86)</f>
        <v>312.96232842636209</v>
      </c>
      <c r="C100" s="13" t="s">
        <v>24</v>
      </c>
    </row>
    <row r="101" spans="1:5" s="10" customFormat="1" x14ac:dyDescent="0.35">
      <c r="A101" s="10" t="s">
        <v>64</v>
      </c>
      <c r="B101" s="19">
        <f>B100*97.1/80</f>
        <v>379.858026127497</v>
      </c>
      <c r="C101" s="10" t="s">
        <v>90</v>
      </c>
    </row>
    <row r="102" spans="1:5" s="13" customFormat="1" x14ac:dyDescent="0.35">
      <c r="A102" s="13" t="s">
        <v>65</v>
      </c>
      <c r="B102" s="17">
        <f>SUM(B98,B93,B88)</f>
        <v>27.49887811693447</v>
      </c>
      <c r="C102" s="13" t="s">
        <v>24</v>
      </c>
    </row>
    <row r="103" spans="1:5" s="10" customFormat="1" x14ac:dyDescent="0.35">
      <c r="A103" s="10" t="s">
        <v>65</v>
      </c>
      <c r="B103" s="19">
        <f>B102*97.1/80</f>
        <v>33.376763314429212</v>
      </c>
      <c r="C103" s="10" t="s">
        <v>90</v>
      </c>
    </row>
    <row r="104" spans="1:5" s="10" customFormat="1" x14ac:dyDescent="0.35">
      <c r="A104" s="10" t="s">
        <v>84</v>
      </c>
      <c r="B104" s="12">
        <f>B101/G6+B103</f>
        <v>52.568516242277894</v>
      </c>
    </row>
    <row r="106" spans="1:5" x14ac:dyDescent="0.35">
      <c r="B106" t="s">
        <v>7</v>
      </c>
      <c r="D106" t="s">
        <v>60</v>
      </c>
    </row>
    <row r="107" spans="1:5" x14ac:dyDescent="0.35">
      <c r="A107" s="4" t="s">
        <v>32</v>
      </c>
      <c r="B107" t="s">
        <v>58</v>
      </c>
      <c r="C107" t="s">
        <v>42</v>
      </c>
      <c r="D107" t="s">
        <v>42</v>
      </c>
      <c r="E107" t="s">
        <v>5</v>
      </c>
    </row>
    <row r="108" spans="1:5" x14ac:dyDescent="0.35">
      <c r="A108" t="s">
        <v>56</v>
      </c>
      <c r="B108">
        <v>117.64705882352942</v>
      </c>
      <c r="C108">
        <v>18000</v>
      </c>
      <c r="D108">
        <f>B6/B108*C108</f>
        <v>10710</v>
      </c>
    </row>
    <row r="109" spans="1:5" x14ac:dyDescent="0.35">
      <c r="A109" t="s">
        <v>57</v>
      </c>
      <c r="B109">
        <v>117.64705882352942</v>
      </c>
      <c r="C109">
        <v>23500</v>
      </c>
      <c r="D109">
        <f>B7/B109*C109</f>
        <v>13982.5</v>
      </c>
    </row>
    <row r="110" spans="1:5" x14ac:dyDescent="0.35">
      <c r="A110" t="s">
        <v>18</v>
      </c>
      <c r="B110">
        <v>100</v>
      </c>
      <c r="C110">
        <v>2500</v>
      </c>
      <c r="D110">
        <f>B8/B110*C110</f>
        <v>1487.5</v>
      </c>
    </row>
    <row r="111" spans="1:5" x14ac:dyDescent="0.35">
      <c r="A111" s="1" t="s">
        <v>59</v>
      </c>
      <c r="B111" s="1"/>
      <c r="C111" s="1"/>
      <c r="D111" s="1">
        <f>SUM(D108:D110)</f>
        <v>26180</v>
      </c>
      <c r="E111" s="1">
        <f>D111/(3.28^2)</f>
        <v>2433.4473527662112</v>
      </c>
    </row>
  </sheetData>
  <hyperlinks>
    <hyperlink ref="H5" r:id="rId1"/>
  </hyperlinks>
  <pageMargins left="0.7" right="0.7" top="0.75" bottom="0.75" header="0.3" footer="0.3"/>
  <pageSetup orientation="portrait" horizontalDpi="4294967295" verticalDpi="4294967295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Mitch</dc:creator>
  <cp:lastModifiedBy>William Mitch</cp:lastModifiedBy>
  <cp:lastPrinted>2019-11-12T20:46:27Z</cp:lastPrinted>
  <dcterms:created xsi:type="dcterms:W3CDTF">2019-07-19T21:37:46Z</dcterms:created>
  <dcterms:modified xsi:type="dcterms:W3CDTF">2020-03-23T17:33:37Z</dcterms:modified>
</cp:coreProperties>
</file>