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505"/>
  <workbookPr/>
  <mc:AlternateContent xmlns:mc="http://schemas.openxmlformats.org/markup-compatibility/2006">
    <mc:Choice Requires="x15">
      <x15ac:absPath xmlns:x15ac="http://schemas.microsoft.com/office/spreadsheetml/2010/11/ac" url="/Users/thomasattard/Documents/"/>
    </mc:Choice>
  </mc:AlternateContent>
  <bookViews>
    <workbookView xWindow="0" yWindow="1320" windowWidth="25600" windowHeight="12520"/>
  </bookViews>
  <sheets>
    <sheet name="sawdust economics" sheetId="1" r:id="rId1"/>
    <sheet name="sensitivity " sheetId="3" r:id="rId2"/>
    <sheet name="Metrics" sheetId="4" r:id="rId3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1" l="1"/>
  <c r="D11" i="1"/>
  <c r="F12" i="1"/>
  <c r="D13" i="1"/>
  <c r="K13" i="1"/>
  <c r="J4" i="1"/>
  <c r="J6" i="1"/>
  <c r="J7" i="1"/>
  <c r="M4" i="1"/>
  <c r="M5" i="1"/>
  <c r="S6" i="1"/>
  <c r="S7" i="1"/>
  <c r="S9" i="1"/>
  <c r="S10" i="1"/>
  <c r="J22" i="1"/>
  <c r="J23" i="1"/>
  <c r="J13" i="1"/>
  <c r="L13" i="1"/>
  <c r="D7" i="1"/>
  <c r="G3" i="1"/>
  <c r="G4" i="1"/>
  <c r="G7" i="1"/>
  <c r="D16" i="1"/>
  <c r="P4" i="1"/>
  <c r="P7" i="1"/>
  <c r="P8" i="1"/>
  <c r="P9" i="1"/>
  <c r="D18" i="1"/>
  <c r="D15" i="1"/>
  <c r="D20" i="1"/>
  <c r="D21" i="1"/>
  <c r="D24" i="1"/>
  <c r="D8" i="1"/>
  <c r="F13" i="1"/>
  <c r="I12" i="1"/>
  <c r="C11" i="3"/>
  <c r="C10" i="3"/>
  <c r="C9" i="3"/>
  <c r="C8" i="3"/>
  <c r="C7" i="3"/>
  <c r="C6" i="3"/>
  <c r="C5" i="3"/>
  <c r="C4" i="3"/>
  <c r="C3" i="3"/>
  <c r="D23" i="1"/>
  <c r="D19" i="1"/>
  <c r="D17" i="1"/>
  <c r="S11" i="1"/>
  <c r="C5" i="4"/>
  <c r="J11" i="4"/>
  <c r="J12" i="4"/>
  <c r="J13" i="4"/>
  <c r="C4" i="4"/>
  <c r="C21" i="4"/>
  <c r="C19" i="4"/>
  <c r="C18" i="4"/>
  <c r="C20" i="4"/>
  <c r="C17" i="4"/>
  <c r="C16" i="4"/>
  <c r="B16" i="4"/>
  <c r="B21" i="4"/>
  <c r="B18" i="4"/>
  <c r="B19" i="4"/>
  <c r="B20" i="4"/>
  <c r="B17" i="4"/>
  <c r="B21" i="3"/>
  <c r="B20" i="3"/>
  <c r="B19" i="3"/>
  <c r="B18" i="3"/>
  <c r="B17" i="3"/>
  <c r="B16" i="3"/>
  <c r="B15" i="3"/>
  <c r="B14" i="3"/>
  <c r="M6" i="1"/>
  <c r="M13" i="1"/>
  <c r="J24" i="1"/>
  <c r="J25" i="1"/>
  <c r="I13" i="1"/>
  <c r="I17" i="1"/>
  <c r="I16" i="1"/>
  <c r="I15" i="1"/>
  <c r="I18" i="1"/>
  <c r="D25" i="1"/>
</calcChain>
</file>

<file path=xl/sharedStrings.xml><?xml version="1.0" encoding="utf-8"?>
<sst xmlns="http://schemas.openxmlformats.org/spreadsheetml/2006/main" count="165" uniqueCount="117">
  <si>
    <t>Costings</t>
  </si>
  <si>
    <t>name</t>
  </si>
  <si>
    <t>FCI</t>
  </si>
  <si>
    <t>value</t>
  </si>
  <si>
    <t>abbreviation</t>
  </si>
  <si>
    <t>fixed capital investment</t>
  </si>
  <si>
    <t>Operational labour costs</t>
  </si>
  <si>
    <r>
      <t>C</t>
    </r>
    <r>
      <rPr>
        <vertAlign val="subscript"/>
        <sz val="11"/>
        <color theme="1"/>
        <rFont val="Calibri"/>
        <family val="2"/>
        <scheme val="minor"/>
      </rPr>
      <t>OL</t>
    </r>
  </si>
  <si>
    <r>
      <t>C</t>
    </r>
    <r>
      <rPr>
        <vertAlign val="subscript"/>
        <sz val="11"/>
        <color theme="1"/>
        <rFont val="Calibri"/>
        <family val="2"/>
        <scheme val="minor"/>
      </rPr>
      <t>RM</t>
    </r>
  </si>
  <si>
    <t xml:space="preserve">Raw Material Costs </t>
  </si>
  <si>
    <t>unit</t>
  </si>
  <si>
    <t>hour</t>
  </si>
  <si>
    <t>tonne</t>
  </si>
  <si>
    <r>
      <t>C</t>
    </r>
    <r>
      <rPr>
        <vertAlign val="subscript"/>
        <sz val="11"/>
        <color theme="1"/>
        <rFont val="Calibri"/>
        <family val="2"/>
        <scheme val="minor"/>
      </rPr>
      <t>WT</t>
    </r>
  </si>
  <si>
    <t>Cost of waste</t>
  </si>
  <si>
    <r>
      <t>C</t>
    </r>
    <r>
      <rPr>
        <vertAlign val="subscript"/>
        <sz val="11"/>
        <color theme="1"/>
        <rFont val="Calibri"/>
        <family val="2"/>
        <scheme val="minor"/>
      </rPr>
      <t>UT</t>
    </r>
  </si>
  <si>
    <t xml:space="preserve">Cost of utilities </t>
  </si>
  <si>
    <r>
      <t>C</t>
    </r>
    <r>
      <rPr>
        <vertAlign val="subscript"/>
        <sz val="11"/>
        <color theme="1"/>
        <rFont val="Calibri"/>
        <family val="2"/>
        <scheme val="minor"/>
      </rPr>
      <t xml:space="preserve">UT </t>
    </r>
    <r>
      <rPr>
        <sz val="11"/>
        <color theme="1"/>
        <rFont val="Calibri"/>
        <family val="2"/>
        <scheme val="minor"/>
      </rPr>
      <t>CO</t>
    </r>
    <r>
      <rPr>
        <vertAlign val="sub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Pump</t>
    </r>
  </si>
  <si>
    <r>
      <t>C</t>
    </r>
    <r>
      <rPr>
        <vertAlign val="subscript"/>
        <sz val="11"/>
        <color theme="1"/>
        <rFont val="Calibri"/>
        <family val="2"/>
        <scheme val="minor"/>
      </rPr>
      <t xml:space="preserve">UT </t>
    </r>
    <r>
      <rPr>
        <sz val="11"/>
        <color theme="1"/>
        <rFont val="Calibri"/>
        <family val="2"/>
        <scheme val="minor"/>
      </rPr>
      <t>CO</t>
    </r>
    <r>
      <rPr>
        <vertAlign val="sub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Heater</t>
    </r>
  </si>
  <si>
    <r>
      <t>C</t>
    </r>
    <r>
      <rPr>
        <vertAlign val="subscript"/>
        <sz val="11"/>
        <color theme="1"/>
        <rFont val="Calibri"/>
        <family val="2"/>
        <scheme val="minor"/>
      </rPr>
      <t xml:space="preserve">UT </t>
    </r>
    <r>
      <rPr>
        <sz val="11"/>
        <color theme="1"/>
        <rFont val="Calibri"/>
        <family val="2"/>
        <scheme val="minor"/>
      </rPr>
      <t>CO</t>
    </r>
    <r>
      <rPr>
        <vertAlign val="sub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refridg</t>
    </r>
  </si>
  <si>
    <t>units per year</t>
  </si>
  <si>
    <t>lower</t>
  </si>
  <si>
    <t>upper</t>
  </si>
  <si>
    <t>Cost of manufacture</t>
  </si>
  <si>
    <t>COM</t>
  </si>
  <si>
    <t>year</t>
  </si>
  <si>
    <t>time per extract</t>
  </si>
  <si>
    <t>tonne year</t>
  </si>
  <si>
    <t>cost per year</t>
  </si>
  <si>
    <t>n/a</t>
  </si>
  <si>
    <t>euro</t>
  </si>
  <si>
    <t>wax year</t>
  </si>
  <si>
    <t>extract yield</t>
  </si>
  <si>
    <t>extraction pressure</t>
  </si>
  <si>
    <t>extraction temp</t>
  </si>
  <si>
    <t>enthalpy</t>
  </si>
  <si>
    <t>bar</t>
  </si>
  <si>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</si>
  <si>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r>
      <t>kj kg</t>
    </r>
    <r>
      <rPr>
        <vertAlign val="superscript"/>
        <sz val="11"/>
        <color theme="1"/>
        <rFont val="Calibri"/>
        <family val="2"/>
        <scheme val="minor"/>
      </rPr>
      <t>-1</t>
    </r>
  </si>
  <si>
    <t>loading</t>
  </si>
  <si>
    <t>flowrate</t>
  </si>
  <si>
    <r>
      <t>kg kg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h</t>
    </r>
    <r>
      <rPr>
        <vertAlign val="superscript"/>
        <sz val="11"/>
        <color theme="1"/>
        <rFont val="Calibri"/>
        <family val="2"/>
        <scheme val="minor"/>
      </rPr>
      <t>-1</t>
    </r>
  </si>
  <si>
    <t>cost electricity</t>
  </si>
  <si>
    <t>kj</t>
  </si>
  <si>
    <t>kw</t>
  </si>
  <si>
    <t>cost</t>
  </si>
  <si>
    <t>euro per kwh</t>
  </si>
  <si>
    <t>delta T</t>
  </si>
  <si>
    <r>
      <t>C</t>
    </r>
    <r>
      <rPr>
        <vertAlign val="subscript"/>
        <sz val="11"/>
        <color theme="1"/>
        <rFont val="Calibri"/>
        <family val="2"/>
        <scheme val="minor"/>
      </rPr>
      <t>p</t>
    </r>
  </si>
  <si>
    <r>
      <t>kj kg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 xml:space="preserve"> K</t>
    </r>
    <r>
      <rPr>
        <vertAlign val="superscript"/>
        <sz val="11"/>
        <color theme="1"/>
        <rFont val="Calibri"/>
        <family val="2"/>
        <scheme val="minor"/>
      </rPr>
      <t>-1</t>
    </r>
  </si>
  <si>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K</t>
    </r>
  </si>
  <si>
    <t>Mass</t>
  </si>
  <si>
    <r>
      <t>kg h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</si>
  <si>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kj h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</si>
  <si>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Mj h</t>
    </r>
    <r>
      <rPr>
        <vertAlign val="superscript"/>
        <sz val="11"/>
        <color theme="1"/>
        <rFont val="Calibri"/>
        <family val="2"/>
        <scheme val="minor"/>
      </rPr>
      <t>-1</t>
    </r>
  </si>
  <si>
    <t>heat capacity</t>
  </si>
  <si>
    <r>
      <t>Mj kg</t>
    </r>
    <r>
      <rPr>
        <vertAlign val="superscript"/>
        <sz val="11"/>
        <color theme="1"/>
        <rFont val="Calibri"/>
        <family val="2"/>
        <scheme val="minor"/>
      </rPr>
      <t>-1</t>
    </r>
  </si>
  <si>
    <t>COP 20</t>
  </si>
  <si>
    <t>COP 4</t>
  </si>
  <si>
    <t>Q</t>
  </si>
  <si>
    <t>Q 50 % effeciency</t>
  </si>
  <si>
    <t>power</t>
  </si>
  <si>
    <r>
      <t>kg run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</si>
  <si>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tonne run</t>
    </r>
    <r>
      <rPr>
        <vertAlign val="superscript"/>
        <sz val="11"/>
        <color theme="1"/>
        <rFont val="Calibri"/>
        <family val="2"/>
        <scheme val="minor"/>
      </rPr>
      <t>-1</t>
    </r>
  </si>
  <si>
    <r>
      <t xml:space="preserve">tonne year 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</si>
  <si>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tonne year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</si>
  <si>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euro tonne</t>
    </r>
    <r>
      <rPr>
        <vertAlign val="superscript"/>
        <sz val="11"/>
        <color theme="1"/>
        <rFont val="Calibri"/>
        <family val="2"/>
        <scheme val="minor"/>
      </rPr>
      <t>-1</t>
    </r>
  </si>
  <si>
    <t>kg year</t>
  </si>
  <si>
    <t>extracts a year</t>
  </si>
  <si>
    <t>units</t>
  </si>
  <si>
    <t>%/100</t>
  </si>
  <si>
    <r>
      <t>kg year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</si>
  <si>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euro kg</t>
    </r>
    <r>
      <rPr>
        <vertAlign val="superscript"/>
        <sz val="11"/>
        <color theme="1"/>
        <rFont val="Calibri"/>
        <family val="2"/>
        <scheme val="minor"/>
      </rPr>
      <t>-1</t>
    </r>
  </si>
  <si>
    <t>COM per tonne FRAs</t>
  </si>
  <si>
    <t>COM per kg FRAs</t>
  </si>
  <si>
    <t>COM per tonne sawdust</t>
  </si>
  <si>
    <t>FRA per run kg</t>
  </si>
  <si>
    <t>tonne hr sawdust</t>
  </si>
  <si>
    <t>difference</t>
  </si>
  <si>
    <t>Current COM</t>
  </si>
  <si>
    <t>10% increase FCI</t>
  </si>
  <si>
    <t>10% decrease FCI</t>
  </si>
  <si>
    <r>
      <t>10% increase C</t>
    </r>
    <r>
      <rPr>
        <vertAlign val="subscript"/>
        <sz val="11"/>
        <color theme="1"/>
        <rFont val="Calibri"/>
        <family val="2"/>
        <scheme val="minor"/>
      </rPr>
      <t xml:space="preserve">OL </t>
    </r>
    <r>
      <rPr>
        <sz val="11"/>
        <color theme="1"/>
        <rFont val="Calibri"/>
        <family val="2"/>
        <scheme val="minor"/>
      </rPr>
      <t>per hour</t>
    </r>
  </si>
  <si>
    <r>
      <t>10% decrease C</t>
    </r>
    <r>
      <rPr>
        <vertAlign val="subscript"/>
        <sz val="11"/>
        <color theme="1"/>
        <rFont val="Calibri"/>
        <family val="2"/>
        <scheme val="minor"/>
      </rPr>
      <t xml:space="preserve">OL </t>
    </r>
    <r>
      <rPr>
        <sz val="11"/>
        <color theme="1"/>
        <rFont val="Calibri"/>
        <family val="2"/>
        <scheme val="minor"/>
      </rPr>
      <t>per hour</t>
    </r>
  </si>
  <si>
    <r>
      <t>10% increase C</t>
    </r>
    <r>
      <rPr>
        <vertAlign val="subscript"/>
        <sz val="11"/>
        <color theme="1"/>
        <rFont val="Calibri"/>
        <family val="2"/>
        <scheme val="minor"/>
      </rPr>
      <t xml:space="preserve">RM </t>
    </r>
    <r>
      <rPr>
        <sz val="11"/>
        <color theme="1"/>
        <rFont val="Calibri"/>
        <family val="2"/>
        <scheme val="minor"/>
      </rPr>
      <t>per tonne</t>
    </r>
  </si>
  <si>
    <r>
      <t>10% decrease C</t>
    </r>
    <r>
      <rPr>
        <vertAlign val="subscript"/>
        <sz val="11"/>
        <color theme="1"/>
        <rFont val="Calibri"/>
        <family val="2"/>
        <scheme val="minor"/>
      </rPr>
      <t xml:space="preserve">RM </t>
    </r>
    <r>
      <rPr>
        <sz val="11"/>
        <color theme="1"/>
        <rFont val="Calibri"/>
        <family val="2"/>
        <scheme val="minor"/>
      </rPr>
      <t>per tonne</t>
    </r>
  </si>
  <si>
    <t>10% increase in electricty cost</t>
  </si>
  <si>
    <t>10% decrease in electrity cost</t>
  </si>
  <si>
    <t>Metrics</t>
  </si>
  <si>
    <t>E-factor</t>
  </si>
  <si>
    <t>Extraction Mass efficiency</t>
  </si>
  <si>
    <t>Mass of biomass post-extraction (g)</t>
  </si>
  <si>
    <t>FRAs generated (g)</t>
  </si>
  <si>
    <t xml:space="preserve"> Total (g)</t>
  </si>
  <si>
    <t>PMI</t>
  </si>
  <si>
    <t>Renewables intensity</t>
  </si>
  <si>
    <t xml:space="preserve">Renewables percentage </t>
  </si>
  <si>
    <t>Space time yield</t>
  </si>
  <si>
    <t>Mass of CO2 (recycled)</t>
  </si>
  <si>
    <t>Reactor volume (m3)</t>
  </si>
  <si>
    <t>Extraction time (hours)</t>
  </si>
  <si>
    <t>mass sawdust needed to heat</t>
  </si>
  <si>
    <t>tonne sawdust /year</t>
  </si>
  <si>
    <t>Semi-Pilot</t>
  </si>
  <si>
    <t>Pilot</t>
  </si>
  <si>
    <t>Yield (%)</t>
  </si>
  <si>
    <t>Heating the biomass</t>
  </si>
  <si>
    <r>
      <t>kj run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</si>
  <si>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Mj run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</si>
  <si>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kg  run</t>
    </r>
    <r>
      <rPr>
        <vertAlign val="superscript"/>
        <sz val="11"/>
        <color theme="1"/>
        <rFont val="Calibri"/>
        <family val="2"/>
        <scheme val="minor"/>
      </rPr>
      <t>-1</t>
    </r>
  </si>
  <si>
    <t>Mass of sawdust needed to heat</t>
  </si>
  <si>
    <r>
      <t>C</t>
    </r>
    <r>
      <rPr>
        <vertAlign val="subscript"/>
        <sz val="11"/>
        <color theme="1"/>
        <rFont val="Calibri"/>
        <family val="2"/>
        <scheme val="minor"/>
      </rPr>
      <t xml:space="preserve">UT </t>
    </r>
    <r>
      <rPr>
        <sz val="11"/>
        <color theme="1"/>
        <rFont val="Calibri"/>
        <family val="2"/>
        <scheme val="minor"/>
      </rPr>
      <t>biomass heater</t>
    </r>
  </si>
  <si>
    <r>
      <t>COM tonne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 xml:space="preserve"> sawdust</t>
    </r>
  </si>
  <si>
    <t>abbeviation</t>
  </si>
  <si>
    <t>product</t>
  </si>
  <si>
    <t>tonne sawdust produced per extract</t>
  </si>
  <si>
    <t>Wax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</si>
</sst>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9" tint="-0.249977111117893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0" applyNumberFormat="0" applyBorder="0" applyAlignment="0" applyProtection="0"/>
    <xf numFmtId="0" fontId="7" fillId="6" borderId="1" applyNumberFormat="0" applyAlignment="0" applyProtection="0"/>
  </cellStyleXfs>
  <cellXfs count="26">
    <xf numFmtId="0" fontId="0" fillId="0" borderId="0" xfId="0"/>
    <xf numFmtId="2" fontId="0" fillId="0" borderId="0" xfId="0" applyNumberFormat="1"/>
    <xf numFmtId="0" fontId="0" fillId="7" borderId="0" xfId="0" applyFill="1"/>
    <xf numFmtId="0" fontId="8" fillId="0" borderId="0" xfId="0" applyFont="1"/>
    <xf numFmtId="0" fontId="0" fillId="7" borderId="0" xfId="0" applyNumberFormat="1" applyFill="1"/>
    <xf numFmtId="2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7" fillId="6" borderId="1" xfId="5" applyAlignment="1">
      <alignment horizontal="center"/>
    </xf>
    <xf numFmtId="2" fontId="4" fillId="4" borderId="1" xfId="3" applyNumberFormat="1" applyAlignment="1">
      <alignment horizontal="center"/>
    </xf>
    <xf numFmtId="164" fontId="7" fillId="6" borderId="1" xfId="5" applyNumberFormat="1" applyAlignment="1">
      <alignment horizontal="center"/>
    </xf>
    <xf numFmtId="11" fontId="4" fillId="4" borderId="1" xfId="3" applyNumberFormat="1" applyAlignment="1">
      <alignment horizontal="center"/>
    </xf>
    <xf numFmtId="2" fontId="0" fillId="0" borderId="0" xfId="0" applyNumberFormat="1" applyAlignment="1">
      <alignment horizontal="center"/>
    </xf>
    <xf numFmtId="2" fontId="2" fillId="2" borderId="0" xfId="1" applyNumberFormat="1" applyAlignment="1">
      <alignment horizontal="center"/>
    </xf>
    <xf numFmtId="164" fontId="4" fillId="4" borderId="1" xfId="3" applyNumberFormat="1" applyAlignment="1">
      <alignment horizontal="center"/>
    </xf>
    <xf numFmtId="0" fontId="2" fillId="2" borderId="0" xfId="1" applyAlignment="1">
      <alignment horizontal="center"/>
    </xf>
    <xf numFmtId="0" fontId="3" fillId="3" borderId="0" xfId="2" applyAlignment="1">
      <alignment horizontal="center"/>
    </xf>
    <xf numFmtId="0" fontId="1" fillId="5" borderId="0" xfId="4" applyAlignment="1">
      <alignment horizontal="center"/>
    </xf>
    <xf numFmtId="2" fontId="1" fillId="5" borderId="0" xfId="4" applyNumberFormat="1" applyAlignment="1">
      <alignment horizontal="center"/>
    </xf>
    <xf numFmtId="2" fontId="3" fillId="3" borderId="0" xfId="2" applyNumberFormat="1" applyAlignment="1">
      <alignment horizontal="center"/>
    </xf>
    <xf numFmtId="165" fontId="4" fillId="4" borderId="1" xfId="3" applyNumberFormat="1" applyAlignment="1">
      <alignment horizontal="center"/>
    </xf>
    <xf numFmtId="0" fontId="0" fillId="0" borderId="0" xfId="0" applyAlignment="1">
      <alignment horizontal="center" wrapText="1"/>
    </xf>
    <xf numFmtId="2" fontId="4" fillId="0" borderId="0" xfId="3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3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6">
    <cellStyle name="40% - Accent1" xfId="4" builtinId="31"/>
    <cellStyle name="Calculation" xfId="3" builtinId="22"/>
    <cellStyle name="Good" xfId="1" builtinId="26"/>
    <cellStyle name="Input" xfId="5" builtinId="20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charset="0"/>
                <a:ea typeface="Times New Roman" charset="0"/>
                <a:cs typeface="Times New Roman" charset="0"/>
              </a:defRPr>
            </a:pPr>
            <a:r>
              <a:rPr lang="en-US">
                <a:latin typeface="Times New Roman" charset="0"/>
                <a:ea typeface="Times New Roman" charset="0"/>
                <a:cs typeface="Times New Roman" charset="0"/>
              </a:rPr>
              <a:t>COM per tonne</a:t>
            </a:r>
            <a:r>
              <a:rPr lang="en-US" baseline="0">
                <a:latin typeface="Times New Roman" charset="0"/>
                <a:ea typeface="Times New Roman" charset="0"/>
                <a:cs typeface="Times New Roman" charset="0"/>
              </a:rPr>
              <a:t> </a:t>
            </a:r>
            <a:r>
              <a:rPr lang="en-US">
                <a:latin typeface="Times New Roman" charset="0"/>
                <a:ea typeface="Times New Roman" charset="0"/>
                <a:cs typeface="Times New Roman" charset="0"/>
              </a:rPr>
              <a:t> of sawdust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99992653979477"/>
          <c:y val="0.185632839224629"/>
          <c:w val="0.541880581253874"/>
          <c:h val="0.7001064832688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'sensitivity '!$B$1</c:f>
              <c:strCache>
                <c:ptCount val="1"/>
                <c:pt idx="0">
                  <c:v>COM tonne-1 sawdust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6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</c:dPt>
          <c:cat>
            <c:strRef>
              <c:f>'sensitivity '!$A$2:$A$10</c:f>
              <c:strCache>
                <c:ptCount val="9"/>
                <c:pt idx="0">
                  <c:v>Current COM</c:v>
                </c:pt>
                <c:pt idx="1">
                  <c:v>10% increase FCI</c:v>
                </c:pt>
                <c:pt idx="2">
                  <c:v>10% decrease FCI</c:v>
                </c:pt>
                <c:pt idx="3">
                  <c:v>10% increase COL per hour</c:v>
                </c:pt>
                <c:pt idx="4">
                  <c:v>10% decrease COL per hour</c:v>
                </c:pt>
                <c:pt idx="5">
                  <c:v>10% increase CRM per tonne</c:v>
                </c:pt>
                <c:pt idx="6">
                  <c:v>10% decrease CRM per tonne</c:v>
                </c:pt>
                <c:pt idx="7">
                  <c:v>10% increase in electricty cost</c:v>
                </c:pt>
                <c:pt idx="8">
                  <c:v>10% decrease in electrity cost</c:v>
                </c:pt>
              </c:strCache>
            </c:strRef>
          </c:cat>
          <c:val>
            <c:numRef>
              <c:f>'sensitivity '!$B$2:$B$10</c:f>
              <c:numCache>
                <c:formatCode>General</c:formatCode>
                <c:ptCount val="9"/>
                <c:pt idx="0" formatCode="0.00">
                  <c:v>641.9</c:v>
                </c:pt>
                <c:pt idx="1">
                  <c:v>666.99</c:v>
                </c:pt>
                <c:pt idx="2">
                  <c:v>616.8099999999999</c:v>
                </c:pt>
                <c:pt idx="3">
                  <c:v>655.74</c:v>
                </c:pt>
                <c:pt idx="4">
                  <c:v>628.0599999999999</c:v>
                </c:pt>
                <c:pt idx="5">
                  <c:v>646.08</c:v>
                </c:pt>
                <c:pt idx="6">
                  <c:v>637.71</c:v>
                </c:pt>
                <c:pt idx="7">
                  <c:v>662.97</c:v>
                </c:pt>
                <c:pt idx="8">
                  <c:v>620.82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-2067317920"/>
        <c:axId val="-2095239360"/>
      </c:barChart>
      <c:valAx>
        <c:axId val="-2095239360"/>
        <c:scaling>
          <c:orientation val="minMax"/>
        </c:scaling>
        <c:delete val="0"/>
        <c:axPos val="b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-2067317920"/>
        <c:crosses val="autoZero"/>
        <c:crossBetween val="between"/>
      </c:valAx>
      <c:catAx>
        <c:axId val="-20673179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-209523936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'sensitivity '!$A$14</c:f>
              <c:strCache>
                <c:ptCount val="1"/>
                <c:pt idx="0">
                  <c:v>10% increase FCI</c:v>
                </c:pt>
              </c:strCache>
            </c:strRef>
          </c:tx>
          <c:spPr>
            <a:solidFill>
              <a:srgbClr val="FFC000"/>
            </a:solidFill>
            <a:ln w="28575">
              <a:noFill/>
            </a:ln>
          </c:spPr>
          <c:invertIfNegative val="0"/>
          <c:cat>
            <c:strRef>
              <c:f>'sensitivity '!$A$14:$A$21</c:f>
              <c:strCache>
                <c:ptCount val="8"/>
                <c:pt idx="0">
                  <c:v>10% increase FCI</c:v>
                </c:pt>
                <c:pt idx="1">
                  <c:v>10% decrease FCI</c:v>
                </c:pt>
                <c:pt idx="2">
                  <c:v>10% increase COL per hour</c:v>
                </c:pt>
                <c:pt idx="3">
                  <c:v>10% decrease COL per hour</c:v>
                </c:pt>
                <c:pt idx="4">
                  <c:v>10% increase CRM per tonne</c:v>
                </c:pt>
                <c:pt idx="5">
                  <c:v>10% decrease CRM per tonne</c:v>
                </c:pt>
                <c:pt idx="6">
                  <c:v>10% increase in electricty cost</c:v>
                </c:pt>
                <c:pt idx="7">
                  <c:v>10% decrease in electrity cost</c:v>
                </c:pt>
              </c:strCache>
            </c:strRef>
          </c:cat>
          <c:val>
            <c:numRef>
              <c:f>'sensitivity '!$B$14</c:f>
              <c:numCache>
                <c:formatCode>General</c:formatCode>
                <c:ptCount val="1"/>
                <c:pt idx="0">
                  <c:v>25.09000000000003</c:v>
                </c:pt>
              </c:numCache>
            </c:numRef>
          </c:val>
        </c:ser>
        <c:ser>
          <c:idx val="1"/>
          <c:order val="1"/>
          <c:tx>
            <c:strRef>
              <c:f>'sensitivity '!$A$15</c:f>
              <c:strCache>
                <c:ptCount val="1"/>
                <c:pt idx="0">
                  <c:v>10% decrease FCI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'sensitivity '!$B$15</c:f>
              <c:numCache>
                <c:formatCode>General</c:formatCode>
                <c:ptCount val="1"/>
                <c:pt idx="0">
                  <c:v>-25.09000000000003</c:v>
                </c:pt>
              </c:numCache>
            </c:numRef>
          </c:val>
        </c:ser>
        <c:ser>
          <c:idx val="2"/>
          <c:order val="2"/>
          <c:tx>
            <c:strRef>
              <c:f>'sensitivity '!$A$16</c:f>
              <c:strCache>
                <c:ptCount val="1"/>
                <c:pt idx="0">
                  <c:v>10% increase COL per hour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val>
            <c:numRef>
              <c:f>'sensitivity '!$B$16</c:f>
              <c:numCache>
                <c:formatCode>General</c:formatCode>
                <c:ptCount val="1"/>
                <c:pt idx="0">
                  <c:v>13.84000000000003</c:v>
                </c:pt>
              </c:numCache>
            </c:numRef>
          </c:val>
        </c:ser>
        <c:ser>
          <c:idx val="3"/>
          <c:order val="3"/>
          <c:tx>
            <c:strRef>
              <c:f>'sensitivity '!$A$17</c:f>
              <c:strCache>
                <c:ptCount val="1"/>
                <c:pt idx="0">
                  <c:v>10% decrease COL per hour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val>
            <c:numRef>
              <c:f>'sensitivity '!$B$17</c:f>
              <c:numCache>
                <c:formatCode>General</c:formatCode>
                <c:ptCount val="1"/>
                <c:pt idx="0">
                  <c:v>-13.84000000000003</c:v>
                </c:pt>
              </c:numCache>
            </c:numRef>
          </c:val>
        </c:ser>
        <c:ser>
          <c:idx val="4"/>
          <c:order val="4"/>
          <c:tx>
            <c:strRef>
              <c:f>'sensitivity '!$A$18</c:f>
              <c:strCache>
                <c:ptCount val="1"/>
                <c:pt idx="0">
                  <c:v>10% increase CRM per tonne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val>
            <c:numRef>
              <c:f>'sensitivity '!$B$18</c:f>
              <c:numCache>
                <c:formatCode>General</c:formatCode>
                <c:ptCount val="1"/>
                <c:pt idx="0">
                  <c:v>4.180000000000064</c:v>
                </c:pt>
              </c:numCache>
            </c:numRef>
          </c:val>
        </c:ser>
        <c:ser>
          <c:idx val="5"/>
          <c:order val="5"/>
          <c:tx>
            <c:strRef>
              <c:f>'sensitivity '!$A$19</c:f>
              <c:strCache>
                <c:ptCount val="1"/>
                <c:pt idx="0">
                  <c:v>10% decrease CRM per tonne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val>
            <c:numRef>
              <c:f>'sensitivity '!$B$19</c:f>
              <c:numCache>
                <c:formatCode>General</c:formatCode>
                <c:ptCount val="1"/>
                <c:pt idx="0">
                  <c:v>-4.189999999999941</c:v>
                </c:pt>
              </c:numCache>
            </c:numRef>
          </c:val>
        </c:ser>
        <c:ser>
          <c:idx val="6"/>
          <c:order val="6"/>
          <c:tx>
            <c:strRef>
              <c:f>'sensitivity '!$A$20</c:f>
              <c:strCache>
                <c:ptCount val="1"/>
                <c:pt idx="0">
                  <c:v>10% increase in electricty cost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val>
            <c:numRef>
              <c:f>'sensitivity '!$B$20</c:f>
              <c:numCache>
                <c:formatCode>General</c:formatCode>
                <c:ptCount val="1"/>
                <c:pt idx="0">
                  <c:v>21.07000000000005</c:v>
                </c:pt>
              </c:numCache>
            </c:numRef>
          </c:val>
        </c:ser>
        <c:ser>
          <c:idx val="7"/>
          <c:order val="7"/>
          <c:tx>
            <c:strRef>
              <c:f>'sensitivity '!$A$21</c:f>
              <c:strCache>
                <c:ptCount val="1"/>
                <c:pt idx="0">
                  <c:v>10% decrease in electrity cost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val>
            <c:numRef>
              <c:f>'sensitivity '!$B$21</c:f>
              <c:numCache>
                <c:formatCode>General</c:formatCode>
                <c:ptCount val="1"/>
                <c:pt idx="0">
                  <c:v>-21.07999999999993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4855904"/>
        <c:axId val="-2096675232"/>
      </c:barChart>
      <c:catAx>
        <c:axId val="2054855904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-2096675232"/>
        <c:crosses val="autoZero"/>
        <c:auto val="1"/>
        <c:lblAlgn val="ctr"/>
        <c:lblOffset val="100"/>
        <c:noMultiLvlLbl val="0"/>
      </c:catAx>
      <c:valAx>
        <c:axId val="-20966752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054855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1666732283464"/>
          <c:y val="0.0790814869071598"/>
          <c:w val="0.328333267716535"/>
          <c:h val="0.897650979674052"/>
        </c:manualLayout>
      </c:layout>
      <c:overlay val="0"/>
      <c:spPr>
        <a:ln>
          <a:noFill/>
        </a:ln>
      </c:spPr>
      <c:txPr>
        <a:bodyPr/>
        <a:lstStyle/>
        <a:p>
          <a:pPr>
            <a:defRPr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0</xdr:row>
      <xdr:rowOff>0</xdr:rowOff>
    </xdr:from>
    <xdr:to>
      <xdr:col>9</xdr:col>
      <xdr:colOff>1377398</xdr:colOff>
      <xdr:row>1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0"/>
          <a:ext cx="1234523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577850</xdr:colOff>
      <xdr:row>0</xdr:row>
      <xdr:rowOff>20637</xdr:rowOff>
    </xdr:from>
    <xdr:to>
      <xdr:col>11</xdr:col>
      <xdr:colOff>209550</xdr:colOff>
      <xdr:row>14</xdr:row>
      <xdr:rowOff>33337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542925</xdr:colOff>
      <xdr:row>15</xdr:row>
      <xdr:rowOff>65087</xdr:rowOff>
    </xdr:from>
    <xdr:to>
      <xdr:col>11</xdr:col>
      <xdr:colOff>238125</xdr:colOff>
      <xdr:row>29</xdr:row>
      <xdr:rowOff>26987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topLeftCell="A5" workbookViewId="0">
      <selection activeCell="D5" sqref="D5"/>
    </sheetView>
  </sheetViews>
  <sheetFormatPr baseColWidth="10" defaultColWidth="8.83203125" defaultRowHeight="15" x14ac:dyDescent="0.2"/>
  <cols>
    <col min="1" max="1" width="24.5" style="6" customWidth="1"/>
    <col min="2" max="2" width="12.5" style="6" customWidth="1"/>
    <col min="3" max="3" width="23.33203125" style="6" customWidth="1"/>
    <col min="4" max="4" width="10.5" style="6" bestFit="1" customWidth="1"/>
    <col min="5" max="5" width="19.6640625" style="6" customWidth="1"/>
    <col min="6" max="6" width="13.33203125" style="6" customWidth="1"/>
    <col min="7" max="7" width="21.83203125" style="6" customWidth="1"/>
    <col min="8" max="8" width="8.83203125" style="6"/>
    <col min="9" max="9" width="23.33203125" style="6" customWidth="1"/>
    <col min="10" max="10" width="20.5" style="6" customWidth="1"/>
    <col min="11" max="11" width="17.5" style="6" customWidth="1"/>
    <col min="12" max="12" width="29.5" style="6" customWidth="1"/>
    <col min="13" max="13" width="14.5" style="6" customWidth="1"/>
    <col min="14" max="14" width="18.1640625" style="6" customWidth="1"/>
    <col min="15" max="15" width="14" style="6" customWidth="1"/>
    <col min="16" max="17" width="8.83203125" style="6"/>
    <col min="18" max="18" width="32.5" style="6" customWidth="1"/>
    <col min="19" max="16384" width="8.83203125" style="6"/>
  </cols>
  <sheetData>
    <row r="1" spans="1:20" ht="18" x14ac:dyDescent="0.25">
      <c r="A1" s="6" t="s">
        <v>0</v>
      </c>
      <c r="C1" s="6" t="s">
        <v>17</v>
      </c>
      <c r="I1" s="6" t="s">
        <v>18</v>
      </c>
      <c r="L1" s="6" t="s">
        <v>55</v>
      </c>
      <c r="M1" s="6">
        <v>20.190000000000001</v>
      </c>
      <c r="N1" s="6" t="s">
        <v>56</v>
      </c>
      <c r="O1" s="6" t="s">
        <v>19</v>
      </c>
      <c r="R1" s="6" t="s">
        <v>106</v>
      </c>
    </row>
    <row r="2" spans="1:20" ht="17" x14ac:dyDescent="0.2">
      <c r="C2" s="6" t="s">
        <v>33</v>
      </c>
      <c r="D2" s="7">
        <v>350</v>
      </c>
      <c r="E2" s="6" t="s">
        <v>36</v>
      </c>
      <c r="I2" s="6" t="s">
        <v>47</v>
      </c>
      <c r="J2" s="8">
        <v>51</v>
      </c>
      <c r="K2" s="6" t="s">
        <v>50</v>
      </c>
      <c r="O2" s="6" t="s">
        <v>47</v>
      </c>
      <c r="P2" s="8">
        <v>16</v>
      </c>
      <c r="Q2" s="6" t="s">
        <v>50</v>
      </c>
      <c r="R2" s="6" t="s">
        <v>47</v>
      </c>
      <c r="S2" s="8">
        <v>35</v>
      </c>
      <c r="T2" s="6" t="s">
        <v>50</v>
      </c>
    </row>
    <row r="3" spans="1:20" ht="18" x14ac:dyDescent="0.25">
      <c r="A3" s="6" t="s">
        <v>1</v>
      </c>
      <c r="B3" s="6" t="s">
        <v>113</v>
      </c>
      <c r="C3" s="6" t="s">
        <v>34</v>
      </c>
      <c r="D3" s="7">
        <v>55</v>
      </c>
      <c r="E3" s="6" t="s">
        <v>37</v>
      </c>
      <c r="F3" s="6" t="s">
        <v>43</v>
      </c>
      <c r="G3" s="9">
        <f>D4*D5*D6</f>
        <v>1001057.4090774</v>
      </c>
      <c r="I3" s="6" t="s">
        <v>48</v>
      </c>
      <c r="J3" s="8">
        <v>0.874</v>
      </c>
      <c r="K3" s="6" t="s">
        <v>49</v>
      </c>
      <c r="O3" s="6" t="s">
        <v>48</v>
      </c>
      <c r="P3" s="8">
        <v>0.84599999999999997</v>
      </c>
      <c r="Q3" s="6" t="s">
        <v>49</v>
      </c>
      <c r="R3" s="6" t="s">
        <v>48</v>
      </c>
      <c r="S3" s="8">
        <v>0.9</v>
      </c>
      <c r="T3" s="6" t="s">
        <v>49</v>
      </c>
    </row>
    <row r="4" spans="1:20" ht="17" x14ac:dyDescent="0.2">
      <c r="A4" s="6" t="s">
        <v>5</v>
      </c>
      <c r="B4" s="6" t="s">
        <v>2</v>
      </c>
      <c r="C4" s="6" t="s">
        <v>35</v>
      </c>
      <c r="D4" s="10">
        <v>297.2</v>
      </c>
      <c r="E4" s="6" t="s">
        <v>38</v>
      </c>
      <c r="F4" s="6" t="s">
        <v>44</v>
      </c>
      <c r="G4" s="9">
        <f>G3/3600</f>
        <v>278.07150252150001</v>
      </c>
      <c r="I4" s="6" t="s">
        <v>51</v>
      </c>
      <c r="J4" s="9">
        <f>D6*D5</f>
        <v>3368.2954544999998</v>
      </c>
      <c r="K4" s="6" t="s">
        <v>52</v>
      </c>
      <c r="L4" s="6" t="s">
        <v>101</v>
      </c>
      <c r="M4" s="9">
        <f>J7/M1</f>
        <v>14.87255092509985</v>
      </c>
      <c r="N4" s="6" t="s">
        <v>62</v>
      </c>
      <c r="O4" s="6" t="s">
        <v>51</v>
      </c>
      <c r="P4" s="9">
        <f>D6*D5</f>
        <v>3368.2954544999998</v>
      </c>
      <c r="Q4" s="6" t="s">
        <v>52</v>
      </c>
      <c r="R4" s="6" t="s">
        <v>51</v>
      </c>
      <c r="S4" s="9">
        <v>150</v>
      </c>
      <c r="T4" s="6" t="s">
        <v>109</v>
      </c>
    </row>
    <row r="5" spans="1:20" ht="18" x14ac:dyDescent="0.25">
      <c r="A5" s="6" t="s">
        <v>6</v>
      </c>
      <c r="B5" s="6" t="s">
        <v>7</v>
      </c>
      <c r="C5" s="6" t="s">
        <v>39</v>
      </c>
      <c r="D5" s="10">
        <v>150</v>
      </c>
      <c r="E5" s="6" t="s">
        <v>62</v>
      </c>
      <c r="M5" s="11">
        <f>M4/1000</f>
        <v>1.4872550925099849E-2</v>
      </c>
      <c r="N5" s="6" t="s">
        <v>63</v>
      </c>
      <c r="O5" s="6" t="s">
        <v>57</v>
      </c>
      <c r="P5" s="8">
        <v>0.08</v>
      </c>
    </row>
    <row r="6" spans="1:20" ht="18" x14ac:dyDescent="0.25">
      <c r="A6" s="6" t="s">
        <v>9</v>
      </c>
      <c r="B6" s="6" t="s">
        <v>8</v>
      </c>
      <c r="C6" s="6" t="s">
        <v>40</v>
      </c>
      <c r="D6" s="10">
        <v>22.45530303</v>
      </c>
      <c r="E6" s="6" t="s">
        <v>41</v>
      </c>
      <c r="I6" s="6" t="s">
        <v>60</v>
      </c>
      <c r="J6" s="9">
        <f>(J2*J3*J4)*2</f>
        <v>300276.80317776598</v>
      </c>
      <c r="K6" s="6" t="s">
        <v>53</v>
      </c>
      <c r="M6" s="12">
        <f>M5*(F15/K13)</f>
        <v>176.6859049901862</v>
      </c>
      <c r="N6" s="6" t="s">
        <v>64</v>
      </c>
      <c r="O6" s="6" t="s">
        <v>58</v>
      </c>
      <c r="P6" s="8">
        <v>0.15</v>
      </c>
      <c r="R6" s="6" t="s">
        <v>60</v>
      </c>
      <c r="S6" s="9">
        <f>(S2*S3*S4)*2</f>
        <v>9450</v>
      </c>
      <c r="T6" s="6" t="s">
        <v>107</v>
      </c>
    </row>
    <row r="7" spans="1:20" ht="18" x14ac:dyDescent="0.25">
      <c r="A7" s="6" t="s">
        <v>14</v>
      </c>
      <c r="B7" s="6" t="s">
        <v>13</v>
      </c>
      <c r="C7" s="6" t="s">
        <v>42</v>
      </c>
      <c r="D7" s="10">
        <f>0.112</f>
        <v>0.112</v>
      </c>
      <c r="E7" s="6" t="s">
        <v>46</v>
      </c>
      <c r="F7" s="6" t="s">
        <v>45</v>
      </c>
      <c r="G7" s="13">
        <f>D7*G4</f>
        <v>31.144008282408002</v>
      </c>
      <c r="J7" s="9">
        <f>J6/1000</f>
        <v>300.276803177766</v>
      </c>
      <c r="K7" s="6" t="s">
        <v>54</v>
      </c>
      <c r="O7" s="6" t="s">
        <v>59</v>
      </c>
      <c r="P7" s="9">
        <f>P2*P3*P4*(P6/P5)</f>
        <v>85487.338635209991</v>
      </c>
      <c r="Q7" s="6" t="s">
        <v>53</v>
      </c>
      <c r="S7" s="9">
        <f>S6/1000</f>
        <v>9.4499999999999993</v>
      </c>
      <c r="T7" s="6" t="s">
        <v>108</v>
      </c>
    </row>
    <row r="8" spans="1:20" ht="18" x14ac:dyDescent="0.25">
      <c r="A8" s="6" t="s">
        <v>16</v>
      </c>
      <c r="B8" s="6" t="s">
        <v>15</v>
      </c>
      <c r="C8" s="6" t="s">
        <v>114</v>
      </c>
      <c r="D8" s="14">
        <f>D5-J23-M4-S9</f>
        <v>131.50939558307249</v>
      </c>
      <c r="E8" s="6" t="s">
        <v>62</v>
      </c>
      <c r="O8" s="6" t="s">
        <v>61</v>
      </c>
      <c r="P8" s="9">
        <f>P7/3600</f>
        <v>23.746482954224998</v>
      </c>
    </row>
    <row r="9" spans="1:20" ht="17" x14ac:dyDescent="0.2">
      <c r="C9" s="15" t="s">
        <v>30</v>
      </c>
      <c r="D9" s="16" t="s">
        <v>12</v>
      </c>
      <c r="E9" s="17" t="s">
        <v>11</v>
      </c>
      <c r="O9" s="6" t="s">
        <v>45</v>
      </c>
      <c r="P9" s="9">
        <f>P8*D7</f>
        <v>2.6596060908731998</v>
      </c>
      <c r="R9" s="6" t="s">
        <v>110</v>
      </c>
      <c r="S9" s="9">
        <f>S7/M1</f>
        <v>0.46805349182763739</v>
      </c>
      <c r="T9" s="6" t="s">
        <v>62</v>
      </c>
    </row>
    <row r="10" spans="1:20" ht="17" x14ac:dyDescent="0.2">
      <c r="C10" s="6" t="s">
        <v>4</v>
      </c>
      <c r="D10" s="6" t="s">
        <v>3</v>
      </c>
      <c r="E10" s="6" t="s">
        <v>10</v>
      </c>
      <c r="F10" s="6" t="s">
        <v>20</v>
      </c>
      <c r="G10" s="6" t="s">
        <v>21</v>
      </c>
      <c r="H10" s="6" t="s">
        <v>22</v>
      </c>
      <c r="I10" s="6" t="s">
        <v>28</v>
      </c>
      <c r="S10" s="11">
        <f>S9/1000</f>
        <v>4.6805349182763739E-4</v>
      </c>
      <c r="T10" s="6" t="s">
        <v>63</v>
      </c>
    </row>
    <row r="11" spans="1:20" ht="17" x14ac:dyDescent="0.2">
      <c r="C11" s="6" t="s">
        <v>2</v>
      </c>
      <c r="D11" s="8">
        <f>1400000</f>
        <v>1400000</v>
      </c>
      <c r="E11" s="6">
        <v>1</v>
      </c>
      <c r="F11" s="6" t="s">
        <v>29</v>
      </c>
      <c r="I11" s="6" t="s">
        <v>29</v>
      </c>
      <c r="S11" s="12">
        <f>S10*(F15/K13)</f>
        <v>5.5604754829123317</v>
      </c>
      <c r="T11" s="6" t="s">
        <v>64</v>
      </c>
    </row>
    <row r="12" spans="1:20" ht="30" customHeight="1" x14ac:dyDescent="0.25">
      <c r="C12" s="6" t="s">
        <v>7</v>
      </c>
      <c r="D12" s="8">
        <f>5</f>
        <v>5</v>
      </c>
      <c r="E12" s="6" t="s">
        <v>11</v>
      </c>
      <c r="F12" s="18">
        <f>7920*2</f>
        <v>15840</v>
      </c>
      <c r="G12" s="12"/>
      <c r="H12" s="12"/>
      <c r="I12" s="13">
        <f>F12*D12</f>
        <v>79200</v>
      </c>
      <c r="J12" s="5" t="s">
        <v>115</v>
      </c>
      <c r="K12" s="12" t="s">
        <v>26</v>
      </c>
      <c r="L12" s="12" t="s">
        <v>102</v>
      </c>
      <c r="M12" s="12" t="s">
        <v>68</v>
      </c>
      <c r="N12" s="12"/>
    </row>
    <row r="13" spans="1:20" ht="17" x14ac:dyDescent="0.25">
      <c r="A13" s="6" t="s">
        <v>23</v>
      </c>
      <c r="C13" s="6" t="s">
        <v>8</v>
      </c>
      <c r="D13" s="8">
        <f>34</f>
        <v>34</v>
      </c>
      <c r="E13" s="6" t="s">
        <v>12</v>
      </c>
      <c r="F13" s="19">
        <f>L13</f>
        <v>1562.3316195269015</v>
      </c>
      <c r="G13" s="13">
        <v>29.47</v>
      </c>
      <c r="H13" s="13">
        <v>78.760000000000005</v>
      </c>
      <c r="I13" s="13">
        <f>D13*F13</f>
        <v>53119.275063914647</v>
      </c>
      <c r="J13" s="19">
        <f>(D5/1000)-M5-S10-(J23/1000)</f>
        <v>0.13150939558307251</v>
      </c>
      <c r="K13" s="18">
        <f>40/60</f>
        <v>0.66666666666666663</v>
      </c>
      <c r="L13" s="19">
        <f>(F15/K13)*J13</f>
        <v>1562.3316195269015</v>
      </c>
      <c r="M13" s="6">
        <f>F15/K13</f>
        <v>11880</v>
      </c>
    </row>
    <row r="14" spans="1:20" ht="17" x14ac:dyDescent="0.25">
      <c r="C14" s="6" t="s">
        <v>13</v>
      </c>
      <c r="D14" s="6">
        <v>0</v>
      </c>
      <c r="F14" s="12"/>
      <c r="G14" s="12"/>
      <c r="H14" s="12"/>
      <c r="I14" s="12">
        <v>0</v>
      </c>
      <c r="J14" s="12"/>
      <c r="K14" s="12"/>
      <c r="L14" s="12"/>
    </row>
    <row r="15" spans="1:20" ht="30.75" customHeight="1" x14ac:dyDescent="0.25">
      <c r="C15" s="6" t="s">
        <v>15</v>
      </c>
      <c r="D15" s="9">
        <f>D16+D18</f>
        <v>33.803614373281199</v>
      </c>
      <c r="E15" s="6" t="s">
        <v>11</v>
      </c>
      <c r="F15" s="18">
        <v>7920</v>
      </c>
      <c r="G15" s="12"/>
      <c r="H15" s="12"/>
      <c r="I15" s="13">
        <f>D15*F15</f>
        <v>267724.6258363871</v>
      </c>
      <c r="J15" s="12"/>
      <c r="K15" s="12"/>
      <c r="L15" s="12"/>
    </row>
    <row r="16" spans="1:20" ht="29.25" customHeight="1" x14ac:dyDescent="0.25">
      <c r="C16" s="6" t="s">
        <v>17</v>
      </c>
      <c r="D16" s="9">
        <f>G7</f>
        <v>31.144008282408002</v>
      </c>
      <c r="E16" s="6" t="s">
        <v>11</v>
      </c>
      <c r="F16" s="18">
        <v>7920</v>
      </c>
      <c r="G16" s="12"/>
      <c r="H16" s="12"/>
      <c r="I16" s="13">
        <f t="shared" ref="I16:I18" si="0">D16*F16</f>
        <v>246660.54559667138</v>
      </c>
      <c r="J16" s="12"/>
      <c r="K16" s="12"/>
      <c r="L16" s="12"/>
    </row>
    <row r="17" spans="3:12" ht="17" x14ac:dyDescent="0.25">
      <c r="C17" s="6" t="s">
        <v>18</v>
      </c>
      <c r="D17" s="9">
        <f>M5*1.5</f>
        <v>2.2308826387649774E-2</v>
      </c>
      <c r="E17" s="6" t="s">
        <v>77</v>
      </c>
      <c r="F17" s="18">
        <v>7920</v>
      </c>
      <c r="G17" s="12"/>
      <c r="H17" s="12"/>
      <c r="I17" s="19">
        <f t="shared" si="0"/>
        <v>176.6859049901862</v>
      </c>
      <c r="J17" s="12"/>
      <c r="K17" s="12"/>
      <c r="L17" s="12"/>
    </row>
    <row r="18" spans="3:12" ht="17" x14ac:dyDescent="0.25">
      <c r="C18" s="6" t="s">
        <v>19</v>
      </c>
      <c r="D18" s="9">
        <f>P9</f>
        <v>2.6596060908731998</v>
      </c>
      <c r="E18" s="6" t="s">
        <v>11</v>
      </c>
      <c r="F18" s="18">
        <v>7920</v>
      </c>
      <c r="G18" s="12"/>
      <c r="H18" s="12"/>
      <c r="I18" s="13">
        <f t="shared" si="0"/>
        <v>21064.080239715742</v>
      </c>
      <c r="J18" s="12"/>
      <c r="K18" s="12"/>
      <c r="L18" s="12"/>
    </row>
    <row r="19" spans="3:12" ht="17" x14ac:dyDescent="0.25">
      <c r="C19" s="6" t="s">
        <v>111</v>
      </c>
      <c r="D19" s="20">
        <f>S10*1.5</f>
        <v>7.0208023774145608E-4</v>
      </c>
      <c r="E19" s="6" t="s">
        <v>77</v>
      </c>
      <c r="F19" s="12">
        <v>1</v>
      </c>
      <c r="G19" s="12"/>
      <c r="H19" s="12"/>
      <c r="I19" s="12"/>
      <c r="J19" s="12"/>
      <c r="K19" s="12"/>
      <c r="L19" s="12"/>
    </row>
    <row r="20" spans="3:12" x14ac:dyDescent="0.2">
      <c r="C20" s="6" t="s">
        <v>24</v>
      </c>
      <c r="D20" s="9">
        <f>(0.28*D11)+(2.73*D12*F12)+1.23*((D13*L13)+0+(D15*F15))</f>
        <v>1002853.9981073712</v>
      </c>
      <c r="E20" s="6" t="s">
        <v>25</v>
      </c>
      <c r="F20" s="12"/>
      <c r="G20" s="12"/>
      <c r="H20" s="12"/>
      <c r="I20" s="12"/>
      <c r="J20" s="12"/>
      <c r="K20" s="12"/>
      <c r="L20" s="12"/>
    </row>
    <row r="21" spans="3:12" x14ac:dyDescent="0.2">
      <c r="C21" s="6" t="s">
        <v>31</v>
      </c>
      <c r="D21" s="9">
        <f>L13*J22</f>
        <v>32.808964010064933</v>
      </c>
      <c r="I21" s="6" t="s">
        <v>116</v>
      </c>
      <c r="K21" s="6" t="s">
        <v>69</v>
      </c>
    </row>
    <row r="22" spans="3:12" x14ac:dyDescent="0.2">
      <c r="D22" s="12"/>
      <c r="I22" s="6" t="s">
        <v>32</v>
      </c>
      <c r="J22" s="8">
        <f>0.021</f>
        <v>2.1000000000000001E-2</v>
      </c>
      <c r="K22" s="6" t="s">
        <v>70</v>
      </c>
    </row>
    <row r="23" spans="3:12" ht="17" x14ac:dyDescent="0.2">
      <c r="C23" s="21" t="s">
        <v>75</v>
      </c>
      <c r="D23" s="9">
        <f>D20/L13</f>
        <v>641.89573172118935</v>
      </c>
      <c r="E23" s="6" t="s">
        <v>66</v>
      </c>
      <c r="I23" s="6" t="s">
        <v>76</v>
      </c>
      <c r="J23" s="9">
        <f>D5*J22</f>
        <v>3.1500000000000004</v>
      </c>
      <c r="K23" s="6" t="s">
        <v>62</v>
      </c>
    </row>
    <row r="24" spans="3:12" ht="17" x14ac:dyDescent="0.2">
      <c r="C24" s="21" t="s">
        <v>73</v>
      </c>
      <c r="D24" s="9">
        <f>D20/D21</f>
        <v>30566.463415294726</v>
      </c>
      <c r="E24" s="6" t="s">
        <v>66</v>
      </c>
      <c r="I24" s="6" t="s">
        <v>67</v>
      </c>
      <c r="J24" s="9">
        <f>J23*M13</f>
        <v>37422.000000000007</v>
      </c>
      <c r="K24" s="6" t="s">
        <v>71</v>
      </c>
    </row>
    <row r="25" spans="3:12" ht="17" x14ac:dyDescent="0.2">
      <c r="C25" s="6" t="s">
        <v>74</v>
      </c>
      <c r="D25" s="9">
        <f>D24/1000</f>
        <v>30.566463415294727</v>
      </c>
      <c r="E25" s="6" t="s">
        <v>72</v>
      </c>
      <c r="I25" s="6" t="s">
        <v>27</v>
      </c>
      <c r="J25" s="9">
        <f>J24/1000</f>
        <v>37.422000000000004</v>
      </c>
      <c r="K25" s="6" t="s">
        <v>65</v>
      </c>
    </row>
    <row r="27" spans="3:12" x14ac:dyDescent="0.2">
      <c r="D27" s="22"/>
      <c r="E27" s="23"/>
      <c r="F27" s="23"/>
      <c r="G27" s="23"/>
      <c r="H27" s="23"/>
      <c r="I27" s="23"/>
      <c r="J27" s="22"/>
    </row>
    <row r="28" spans="3:12" x14ac:dyDescent="0.2">
      <c r="D28" s="24"/>
      <c r="E28" s="23"/>
      <c r="F28" s="23"/>
      <c r="G28" s="23"/>
      <c r="H28" s="23"/>
      <c r="I28" s="23"/>
      <c r="J28" s="24"/>
    </row>
    <row r="29" spans="3:12" x14ac:dyDescent="0.2">
      <c r="D29" s="24"/>
      <c r="E29" s="23"/>
      <c r="F29" s="23"/>
      <c r="G29" s="23"/>
      <c r="H29" s="23"/>
      <c r="I29" s="23"/>
      <c r="J29" s="24"/>
    </row>
    <row r="30" spans="3:12" x14ac:dyDescent="0.2">
      <c r="D30" s="24"/>
      <c r="E30" s="23"/>
      <c r="F30" s="23"/>
      <c r="G30" s="23"/>
      <c r="H30" s="23"/>
      <c r="I30" s="23"/>
      <c r="J30" s="24"/>
    </row>
    <row r="31" spans="3:12" x14ac:dyDescent="0.2">
      <c r="D31" s="24"/>
      <c r="E31" s="23"/>
      <c r="F31" s="23"/>
      <c r="G31" s="23"/>
      <c r="H31" s="23"/>
      <c r="I31" s="23"/>
      <c r="J31" s="24"/>
    </row>
    <row r="32" spans="3:12" x14ac:dyDescent="0.2">
      <c r="D32" s="22"/>
      <c r="E32" s="23"/>
      <c r="F32" s="23"/>
      <c r="G32" s="23"/>
      <c r="H32" s="23"/>
      <c r="I32" s="23"/>
      <c r="J32" s="22"/>
    </row>
    <row r="33" spans="4:10" x14ac:dyDescent="0.2">
      <c r="D33" s="22"/>
      <c r="E33" s="23"/>
      <c r="F33" s="23"/>
      <c r="G33" s="23"/>
      <c r="H33" s="23"/>
      <c r="I33" s="23"/>
      <c r="J33" s="22"/>
    </row>
    <row r="34" spans="4:10" x14ac:dyDescent="0.2">
      <c r="D34" s="22"/>
      <c r="E34" s="23"/>
      <c r="F34" s="23"/>
      <c r="G34" s="23"/>
      <c r="H34" s="23"/>
      <c r="I34" s="23"/>
      <c r="J34" s="22"/>
    </row>
    <row r="35" spans="4:10" x14ac:dyDescent="0.2">
      <c r="D35" s="22"/>
      <c r="E35" s="23"/>
      <c r="F35" s="23"/>
      <c r="G35" s="23"/>
      <c r="H35" s="23"/>
      <c r="I35" s="23"/>
      <c r="J35" s="22"/>
    </row>
    <row r="36" spans="4:10" x14ac:dyDescent="0.2">
      <c r="D36" s="22"/>
      <c r="E36" s="23"/>
      <c r="F36" s="23"/>
      <c r="G36" s="23"/>
      <c r="H36" s="23"/>
      <c r="I36" s="23"/>
      <c r="J36" s="22"/>
    </row>
    <row r="37" spans="4:10" x14ac:dyDescent="0.2">
      <c r="D37" s="22"/>
      <c r="E37" s="25"/>
      <c r="F37" s="25"/>
      <c r="G37" s="25"/>
      <c r="H37" s="25"/>
      <c r="I37" s="25"/>
      <c r="J37" s="2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L10" sqref="L10"/>
    </sheetView>
  </sheetViews>
  <sheetFormatPr baseColWidth="10" defaultColWidth="8.83203125" defaultRowHeight="15" x14ac:dyDescent="0.2"/>
  <cols>
    <col min="1" max="1" width="27.83203125" bestFit="1" customWidth="1"/>
    <col min="2" max="2" width="21.33203125" customWidth="1"/>
  </cols>
  <sheetData>
    <row r="1" spans="1:3" ht="17" x14ac:dyDescent="0.2">
      <c r="B1" t="s">
        <v>112</v>
      </c>
      <c r="C1" t="s">
        <v>78</v>
      </c>
    </row>
    <row r="2" spans="1:3" x14ac:dyDescent="0.2">
      <c r="A2" t="s">
        <v>79</v>
      </c>
      <c r="B2" s="1">
        <v>641.9</v>
      </c>
      <c r="C2">
        <v>0</v>
      </c>
    </row>
    <row r="3" spans="1:3" x14ac:dyDescent="0.2">
      <c r="A3" t="s">
        <v>80</v>
      </c>
      <c r="B3">
        <v>666.99</v>
      </c>
      <c r="C3" s="1">
        <f>B3-$B$2</f>
        <v>25.090000000000032</v>
      </c>
    </row>
    <row r="4" spans="1:3" x14ac:dyDescent="0.2">
      <c r="A4" t="s">
        <v>81</v>
      </c>
      <c r="B4">
        <v>616.80999999999995</v>
      </c>
      <c r="C4" s="1">
        <f t="shared" ref="C4:C11" si="0">B4-$B$2</f>
        <v>-25.090000000000032</v>
      </c>
    </row>
    <row r="5" spans="1:3" ht="17" x14ac:dyDescent="0.25">
      <c r="A5" t="s">
        <v>82</v>
      </c>
      <c r="B5">
        <v>655.74</v>
      </c>
      <c r="C5" s="1">
        <f t="shared" si="0"/>
        <v>13.840000000000032</v>
      </c>
    </row>
    <row r="6" spans="1:3" ht="17" x14ac:dyDescent="0.25">
      <c r="A6" t="s">
        <v>83</v>
      </c>
      <c r="B6">
        <v>628.05999999999995</v>
      </c>
      <c r="C6" s="1">
        <f t="shared" si="0"/>
        <v>-13.840000000000032</v>
      </c>
    </row>
    <row r="7" spans="1:3" ht="17" x14ac:dyDescent="0.25">
      <c r="A7" t="s">
        <v>84</v>
      </c>
      <c r="B7">
        <v>646.08000000000004</v>
      </c>
      <c r="C7" s="1">
        <f t="shared" si="0"/>
        <v>4.1800000000000637</v>
      </c>
    </row>
    <row r="8" spans="1:3" ht="17" x14ac:dyDescent="0.25">
      <c r="A8" t="s">
        <v>85</v>
      </c>
      <c r="B8">
        <v>637.71</v>
      </c>
      <c r="C8" s="1">
        <f t="shared" si="0"/>
        <v>-4.1899999999999409</v>
      </c>
    </row>
    <row r="9" spans="1:3" x14ac:dyDescent="0.2">
      <c r="A9" t="s">
        <v>86</v>
      </c>
      <c r="B9">
        <v>662.97</v>
      </c>
      <c r="C9" s="1">
        <f t="shared" si="0"/>
        <v>21.07000000000005</v>
      </c>
    </row>
    <row r="10" spans="1:3" x14ac:dyDescent="0.2">
      <c r="A10" t="s">
        <v>87</v>
      </c>
      <c r="B10">
        <v>620.82000000000005</v>
      </c>
      <c r="C10" s="1">
        <f t="shared" si="0"/>
        <v>-21.079999999999927</v>
      </c>
    </row>
    <row r="11" spans="1:3" x14ac:dyDescent="0.2">
      <c r="A11" t="s">
        <v>79</v>
      </c>
      <c r="B11">
        <v>641.9</v>
      </c>
      <c r="C11" s="1">
        <f t="shared" si="0"/>
        <v>0</v>
      </c>
    </row>
    <row r="14" spans="1:3" x14ac:dyDescent="0.2">
      <c r="A14" t="s">
        <v>80</v>
      </c>
      <c r="B14">
        <f>C3</f>
        <v>25.090000000000032</v>
      </c>
    </row>
    <row r="15" spans="1:3" x14ac:dyDescent="0.2">
      <c r="A15" t="s">
        <v>81</v>
      </c>
      <c r="B15">
        <f t="shared" ref="B15:B21" si="1">C4</f>
        <v>-25.090000000000032</v>
      </c>
    </row>
    <row r="16" spans="1:3" ht="17" x14ac:dyDescent="0.25">
      <c r="A16" t="s">
        <v>82</v>
      </c>
      <c r="B16">
        <f t="shared" si="1"/>
        <v>13.840000000000032</v>
      </c>
    </row>
    <row r="17" spans="1:2" ht="17" x14ac:dyDescent="0.25">
      <c r="A17" t="s">
        <v>83</v>
      </c>
      <c r="B17">
        <f t="shared" si="1"/>
        <v>-13.840000000000032</v>
      </c>
    </row>
    <row r="18" spans="1:2" ht="17" x14ac:dyDescent="0.25">
      <c r="A18" t="s">
        <v>84</v>
      </c>
      <c r="B18">
        <f t="shared" si="1"/>
        <v>4.1800000000000637</v>
      </c>
    </row>
    <row r="19" spans="1:2" ht="17" x14ac:dyDescent="0.25">
      <c r="A19" t="s">
        <v>85</v>
      </c>
      <c r="B19">
        <f t="shared" si="1"/>
        <v>-4.1899999999999409</v>
      </c>
    </row>
    <row r="20" spans="1:2" x14ac:dyDescent="0.2">
      <c r="A20" t="s">
        <v>86</v>
      </c>
      <c r="B20">
        <f t="shared" si="1"/>
        <v>21.07000000000005</v>
      </c>
    </row>
    <row r="21" spans="1:2" x14ac:dyDescent="0.2">
      <c r="A21" t="s">
        <v>87</v>
      </c>
      <c r="B21">
        <f t="shared" si="1"/>
        <v>-21.079999999999927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E16" sqref="E16"/>
    </sheetView>
  </sheetViews>
  <sheetFormatPr baseColWidth="10" defaultColWidth="11.5" defaultRowHeight="15" x14ac:dyDescent="0.2"/>
  <cols>
    <col min="1" max="1" width="27.6640625" bestFit="1" customWidth="1"/>
    <col min="2" max="2" width="12.1640625" bestFit="1" customWidth="1"/>
  </cols>
  <sheetData>
    <row r="1" spans="1:10" x14ac:dyDescent="0.2">
      <c r="A1" t="s">
        <v>88</v>
      </c>
    </row>
    <row r="2" spans="1:10" x14ac:dyDescent="0.2">
      <c r="B2" t="s">
        <v>103</v>
      </c>
      <c r="C2" t="s">
        <v>104</v>
      </c>
    </row>
    <row r="3" spans="1:10" x14ac:dyDescent="0.2">
      <c r="A3" t="s">
        <v>105</v>
      </c>
      <c r="B3" s="4">
        <v>2.6</v>
      </c>
      <c r="C3" s="4">
        <v>2.1</v>
      </c>
    </row>
    <row r="4" spans="1:10" x14ac:dyDescent="0.2">
      <c r="A4" t="s">
        <v>91</v>
      </c>
      <c r="B4" s="2">
        <v>1753.2</v>
      </c>
      <c r="C4" s="2">
        <f>(C6-C5)</f>
        <v>146850</v>
      </c>
    </row>
    <row r="5" spans="1:10" x14ac:dyDescent="0.2">
      <c r="A5" t="s">
        <v>92</v>
      </c>
      <c r="B5" s="2">
        <v>46.8</v>
      </c>
      <c r="C5" s="2">
        <f>(C3/100)*C6</f>
        <v>3150</v>
      </c>
    </row>
    <row r="6" spans="1:10" x14ac:dyDescent="0.2">
      <c r="A6" t="s">
        <v>93</v>
      </c>
      <c r="B6" s="2">
        <v>1800</v>
      </c>
      <c r="C6" s="2">
        <v>150000</v>
      </c>
    </row>
    <row r="7" spans="1:10" x14ac:dyDescent="0.2">
      <c r="A7" t="s">
        <v>98</v>
      </c>
      <c r="B7" s="2">
        <v>887</v>
      </c>
      <c r="C7" s="2">
        <v>70960</v>
      </c>
    </row>
    <row r="8" spans="1:10" x14ac:dyDescent="0.2">
      <c r="A8" t="s">
        <v>99</v>
      </c>
      <c r="B8" s="2">
        <v>5.0000000000000001E-3</v>
      </c>
      <c r="C8" s="2">
        <v>0.4</v>
      </c>
    </row>
    <row r="9" spans="1:10" x14ac:dyDescent="0.2">
      <c r="A9" t="s">
        <v>100</v>
      </c>
      <c r="B9" s="2">
        <v>6</v>
      </c>
      <c r="C9" s="2">
        <v>0.67</v>
      </c>
    </row>
    <row r="11" spans="1:10" x14ac:dyDescent="0.2">
      <c r="J11">
        <f>0.887*1000</f>
        <v>887</v>
      </c>
    </row>
    <row r="12" spans="1:10" x14ac:dyDescent="0.2">
      <c r="J12">
        <f>177.4*0.005</f>
        <v>0.88700000000000001</v>
      </c>
    </row>
    <row r="13" spans="1:10" x14ac:dyDescent="0.2">
      <c r="J13">
        <f>40/60</f>
        <v>0.66666666666666663</v>
      </c>
    </row>
    <row r="15" spans="1:10" x14ac:dyDescent="0.2">
      <c r="A15" t="s">
        <v>88</v>
      </c>
      <c r="B15" t="s">
        <v>103</v>
      </c>
      <c r="C15" t="s">
        <v>104</v>
      </c>
    </row>
    <row r="16" spans="1:10" x14ac:dyDescent="0.2">
      <c r="A16" t="s">
        <v>89</v>
      </c>
      <c r="B16" s="3">
        <f>((B5+B7)/B4)</f>
        <v>0.53262605521332418</v>
      </c>
      <c r="C16" s="3">
        <f>((C5+C7)/C4)</f>
        <v>0.50466462376574739</v>
      </c>
    </row>
    <row r="17" spans="1:3" x14ac:dyDescent="0.2">
      <c r="A17" t="s">
        <v>90</v>
      </c>
      <c r="B17" s="3">
        <f>(B4/B6)*100</f>
        <v>97.399999999999991</v>
      </c>
      <c r="C17" s="3">
        <f>(C4/C6)*100</f>
        <v>97.899999999999991</v>
      </c>
    </row>
    <row r="18" spans="1:3" x14ac:dyDescent="0.2">
      <c r="A18" t="s">
        <v>94</v>
      </c>
      <c r="B18" s="3">
        <f>(B7+B6)/B4</f>
        <v>1.5326260552133242</v>
      </c>
      <c r="C18" s="3">
        <f>(C7+C6)/C4</f>
        <v>1.5046646237657473</v>
      </c>
    </row>
    <row r="19" spans="1:3" x14ac:dyDescent="0.2">
      <c r="A19" t="s">
        <v>95</v>
      </c>
      <c r="B19" s="3">
        <f>((B7+B6)/B4)</f>
        <v>1.5326260552133242</v>
      </c>
      <c r="C19" s="3">
        <f>((C7+C6)/C4)</f>
        <v>1.5046646237657473</v>
      </c>
    </row>
    <row r="20" spans="1:3" x14ac:dyDescent="0.2">
      <c r="A20" t="s">
        <v>96</v>
      </c>
      <c r="B20" s="3">
        <f>(B19/B18)*100</f>
        <v>100</v>
      </c>
      <c r="C20" s="3">
        <f>(C19/C18)*100</f>
        <v>100</v>
      </c>
    </row>
    <row r="21" spans="1:3" x14ac:dyDescent="0.2">
      <c r="A21" t="s">
        <v>97</v>
      </c>
      <c r="B21" s="3">
        <f>(1.7532/(B8*B9))</f>
        <v>58.440000000000005</v>
      </c>
      <c r="C21" s="3">
        <f>(1.7532/(C8*C9))</f>
        <v>6.5417910447761196</v>
      </c>
    </row>
    <row r="22" spans="1:3" x14ac:dyDescent="0.2">
      <c r="B22" s="3"/>
      <c r="C22" s="3"/>
    </row>
    <row r="23" spans="1:3" x14ac:dyDescent="0.2">
      <c r="B23" s="3"/>
      <c r="C23" s="3"/>
    </row>
    <row r="24" spans="1:3" x14ac:dyDescent="0.2">
      <c r="B24" s="3"/>
      <c r="C2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sawdust economics</vt:lpstr>
      <vt:lpstr>sensitivity </vt:lpstr>
      <vt:lpstr>Metrics</vt:lpstr>
    </vt:vector>
  </TitlesOfParts>
  <Company>The University of York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McElroy</dc:creator>
  <cp:lastModifiedBy>Microsoft Office User</cp:lastModifiedBy>
  <dcterms:created xsi:type="dcterms:W3CDTF">2015-07-08T10:15:05Z</dcterms:created>
  <dcterms:modified xsi:type="dcterms:W3CDTF">2016-01-07T14:13:44Z</dcterms:modified>
</cp:coreProperties>
</file>