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autoCompressPictures="0"/>
  <bookViews>
    <workbookView xWindow="25120" yWindow="560" windowWidth="26600" windowHeight="27600" tabRatio="500"/>
  </bookViews>
  <sheets>
    <sheet name="Feuil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0" i="1" l="1"/>
  <c r="C119" i="1"/>
  <c r="C115" i="1"/>
  <c r="I233" i="1"/>
  <c r="J233" i="1"/>
  <c r="I234" i="1"/>
  <c r="J234" i="1"/>
  <c r="I235" i="1"/>
  <c r="J235" i="1"/>
  <c r="I236" i="1"/>
  <c r="J236" i="1"/>
  <c r="I237" i="1"/>
  <c r="J237" i="1"/>
  <c r="I238" i="1"/>
  <c r="J238" i="1"/>
  <c r="I239" i="1"/>
  <c r="J239" i="1"/>
  <c r="I240" i="1"/>
  <c r="J240" i="1"/>
  <c r="I241" i="1"/>
  <c r="J241" i="1"/>
  <c r="I242" i="1"/>
  <c r="J242" i="1"/>
  <c r="J249" i="1"/>
  <c r="C229" i="1"/>
  <c r="D229" i="1"/>
  <c r="C230" i="1"/>
  <c r="D230" i="1"/>
  <c r="C231" i="1"/>
  <c r="D231" i="1"/>
  <c r="C232" i="1"/>
  <c r="D232" i="1"/>
  <c r="C233" i="1"/>
  <c r="D233" i="1"/>
  <c r="C234" i="1"/>
  <c r="D234" i="1"/>
  <c r="C235" i="1"/>
  <c r="D235" i="1"/>
  <c r="C236" i="1"/>
  <c r="D236" i="1"/>
  <c r="C237" i="1"/>
  <c r="D237" i="1"/>
  <c r="C238" i="1"/>
  <c r="D238" i="1"/>
  <c r="C239" i="1"/>
  <c r="D239" i="1"/>
  <c r="C240" i="1"/>
  <c r="D240" i="1"/>
  <c r="C241" i="1"/>
  <c r="D241" i="1"/>
  <c r="C242" i="1"/>
  <c r="D242" i="1"/>
  <c r="C243" i="1"/>
  <c r="D243" i="1"/>
  <c r="C244" i="1"/>
  <c r="D244" i="1"/>
  <c r="C245" i="1"/>
  <c r="D245" i="1"/>
  <c r="C246" i="1"/>
  <c r="D246" i="1"/>
  <c r="C247" i="1"/>
  <c r="D247" i="1"/>
  <c r="C248" i="1"/>
  <c r="D248" i="1"/>
  <c r="D249" i="1"/>
  <c r="C249" i="1"/>
  <c r="I200" i="1"/>
  <c r="J200" i="1"/>
  <c r="I201" i="1"/>
  <c r="J201" i="1"/>
  <c r="I202" i="1"/>
  <c r="J202" i="1"/>
  <c r="I203" i="1"/>
  <c r="J203" i="1"/>
  <c r="I204" i="1"/>
  <c r="J204" i="1"/>
  <c r="I205" i="1"/>
  <c r="J205" i="1"/>
  <c r="I206" i="1"/>
  <c r="J206" i="1"/>
  <c r="I207" i="1"/>
  <c r="J207" i="1"/>
  <c r="J216" i="1"/>
  <c r="C196" i="1"/>
  <c r="D196" i="1"/>
  <c r="C197" i="1"/>
  <c r="D197" i="1"/>
  <c r="C198" i="1"/>
  <c r="D198" i="1"/>
  <c r="C199" i="1"/>
  <c r="D199" i="1"/>
  <c r="C200" i="1"/>
  <c r="D200" i="1"/>
  <c r="C201" i="1"/>
  <c r="D201" i="1"/>
  <c r="C202" i="1"/>
  <c r="D202" i="1"/>
  <c r="C203" i="1"/>
  <c r="D203" i="1"/>
  <c r="C204" i="1"/>
  <c r="D204" i="1"/>
  <c r="C205" i="1"/>
  <c r="D205" i="1"/>
  <c r="C206" i="1"/>
  <c r="D206" i="1"/>
  <c r="C207" i="1"/>
  <c r="D207" i="1"/>
  <c r="C208" i="1"/>
  <c r="D208" i="1"/>
  <c r="C209" i="1"/>
  <c r="D209" i="1"/>
  <c r="C210" i="1"/>
  <c r="D210" i="1"/>
  <c r="C211" i="1"/>
  <c r="D211" i="1"/>
  <c r="C212" i="1"/>
  <c r="D212" i="1"/>
  <c r="C213" i="1"/>
  <c r="D213" i="1"/>
  <c r="C214" i="1"/>
  <c r="D214" i="1"/>
  <c r="C215" i="1"/>
  <c r="D215" i="1"/>
  <c r="D216" i="1"/>
  <c r="C216" i="1"/>
  <c r="I167" i="1"/>
  <c r="J167" i="1"/>
  <c r="I168" i="1"/>
  <c r="J168" i="1"/>
  <c r="I169" i="1"/>
  <c r="J169" i="1"/>
  <c r="I170" i="1"/>
  <c r="J170" i="1"/>
  <c r="I171" i="1"/>
  <c r="J171" i="1"/>
  <c r="I172" i="1"/>
  <c r="J172" i="1"/>
  <c r="I173" i="1"/>
  <c r="J173" i="1"/>
  <c r="I174" i="1"/>
  <c r="J174" i="1"/>
  <c r="I175" i="1"/>
  <c r="J175" i="1"/>
  <c r="I176" i="1"/>
  <c r="J176" i="1"/>
  <c r="I177" i="1"/>
  <c r="J177" i="1"/>
  <c r="J182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D174" i="1"/>
  <c r="C175" i="1"/>
  <c r="D175" i="1"/>
  <c r="C176" i="1"/>
  <c r="D176" i="1"/>
  <c r="C177" i="1"/>
  <c r="D177" i="1"/>
  <c r="C178" i="1"/>
  <c r="D178" i="1"/>
  <c r="C179" i="1"/>
  <c r="D179" i="1"/>
  <c r="C180" i="1"/>
  <c r="D180" i="1"/>
  <c r="C181" i="1"/>
  <c r="D181" i="1"/>
  <c r="D182" i="1"/>
  <c r="I136" i="1"/>
  <c r="J136" i="1"/>
  <c r="I137" i="1"/>
  <c r="J137" i="1"/>
  <c r="I138" i="1"/>
  <c r="J138" i="1"/>
  <c r="I139" i="1"/>
  <c r="J139" i="1"/>
  <c r="I140" i="1"/>
  <c r="J140" i="1"/>
  <c r="I141" i="1"/>
  <c r="J141" i="1"/>
  <c r="I142" i="1"/>
  <c r="J142" i="1"/>
  <c r="I143" i="1"/>
  <c r="J143" i="1"/>
  <c r="I144" i="1"/>
  <c r="J144" i="1"/>
  <c r="I145" i="1"/>
  <c r="J145" i="1"/>
  <c r="I146" i="1"/>
  <c r="J146" i="1"/>
  <c r="J151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D151" i="1"/>
  <c r="C151" i="1"/>
  <c r="B115" i="1"/>
  <c r="B116" i="1"/>
  <c r="B117" i="1"/>
  <c r="B118" i="1"/>
  <c r="B119" i="1"/>
  <c r="C118" i="1"/>
  <c r="C117" i="1"/>
  <c r="C116" i="1"/>
  <c r="F100" i="1"/>
  <c r="D100" i="1"/>
</calcChain>
</file>

<file path=xl/sharedStrings.xml><?xml version="1.0" encoding="utf-8"?>
<sst xmlns="http://schemas.openxmlformats.org/spreadsheetml/2006/main" count="276" uniqueCount="114">
  <si>
    <t>RAW BACKGROUND DATA</t>
  </si>
  <si>
    <t>Table 1. The raw background data for three isotopes from a randomly selected multi-elemental background acquisition obtained using an ELAN</t>
  </si>
  <si>
    <t>6100 DRC ICPMS operated in the laser ablation regime. Results of the Chi-square goodness-of-fit test for these data are presented in Tables 2-4.</t>
  </si>
  <si>
    <r>
      <rPr>
        <vertAlign val="superscript"/>
        <sz val="11"/>
        <rFont val="Times New Roman"/>
      </rPr>
      <t>93</t>
    </r>
    <r>
      <rPr>
        <sz val="11"/>
        <rFont val="Times New Roman"/>
      </rPr>
      <t>Nb (20 ms dwell time)</t>
    </r>
  </si>
  <si>
    <r>
      <rPr>
        <vertAlign val="superscript"/>
        <sz val="11"/>
        <rFont val="Times New Roman"/>
      </rPr>
      <t>23</t>
    </r>
    <r>
      <rPr>
        <sz val="11"/>
        <rFont val="Times New Roman"/>
      </rPr>
      <t>Na (10 ms dwell time)</t>
    </r>
  </si>
  <si>
    <r>
      <rPr>
        <vertAlign val="superscript"/>
        <sz val="11"/>
        <rFont val="Times New Roman"/>
      </rPr>
      <t>29</t>
    </r>
    <r>
      <rPr>
        <sz val="11"/>
        <rFont val="Times New Roman"/>
      </rPr>
      <t>Si (10 ms dwell time)</t>
    </r>
  </si>
  <si>
    <t>time (s)</t>
  </si>
  <si>
    <t>sweep number</t>
  </si>
  <si>
    <t>intensity, cps</t>
  </si>
  <si>
    <t>count number</t>
  </si>
  <si>
    <t>total number of counts</t>
  </si>
  <si>
    <t>CHI-SQUARE GOODNESS-OF-FIT TESTS</t>
  </si>
  <si>
    <r>
      <t>Table 2. Testing a very weak background (</t>
    </r>
    <r>
      <rPr>
        <vertAlign val="superscript"/>
        <sz val="11"/>
        <rFont val="Times New Roman"/>
      </rPr>
      <t>93</t>
    </r>
    <r>
      <rPr>
        <sz val="11"/>
        <rFont val="Times New Roman"/>
      </rPr>
      <t>Nb) for the Poisson distribution using the Chi-square test.</t>
    </r>
  </si>
  <si>
    <r>
      <t xml:space="preserve">Observed and expected frequencies for the different </t>
    </r>
    <r>
      <rPr>
        <vertAlign val="superscript"/>
        <sz val="11"/>
        <rFont val="Times New Roman"/>
      </rPr>
      <t>93</t>
    </r>
    <r>
      <rPr>
        <sz val="11"/>
        <rFont val="Times New Roman"/>
      </rPr>
      <t>Nb count number classes are computed and compared.</t>
    </r>
  </si>
  <si>
    <t>count number class,</t>
  </si>
  <si>
    <t>observed</t>
  </si>
  <si>
    <t>probability,</t>
  </si>
  <si>
    <t>expected</t>
  </si>
  <si>
    <t>E-O</t>
  </si>
  <si>
    <t>χ2=</t>
  </si>
  <si>
    <t>ions per sweep</t>
  </si>
  <si>
    <t>frequency (O)</t>
  </si>
  <si>
    <t>for each class</t>
  </si>
  <si>
    <t>frequency (E)</t>
  </si>
  <si>
    <r>
      <t>(E-O)</t>
    </r>
    <r>
      <rPr>
        <vertAlign val="superscript"/>
        <sz val="11"/>
        <rFont val="Times New Roman"/>
      </rPr>
      <t>2</t>
    </r>
    <r>
      <rPr>
        <sz val="11"/>
        <rFont val="Times New Roman"/>
      </rPr>
      <t>/E</t>
    </r>
  </si>
  <si>
    <t>Total</t>
  </si>
  <si>
    <t>Mean number of counts per sweep : 3/90=0.03333.</t>
  </si>
  <si>
    <r>
      <t xml:space="preserve">Null hypothesis: the observed distribution of </t>
    </r>
    <r>
      <rPr>
        <vertAlign val="superscript"/>
        <sz val="11"/>
        <rFont val="Times New Roman"/>
      </rPr>
      <t>93</t>
    </r>
    <r>
      <rPr>
        <sz val="11"/>
        <rFont val="Times New Roman"/>
      </rPr>
      <t>Nb counts follows a Poisson distribution with a mean of 0.03333.</t>
    </r>
  </si>
  <si>
    <r>
      <rPr>
        <sz val="11"/>
        <rFont val="Times New Roman"/>
      </rPr>
      <t>χ2=0, the observed and the model distributions are indistinguishable; the null hypothesis is accepted at any confidence level.</t>
    </r>
  </si>
  <si>
    <t>The actual distribution can be considered as an ordinary Poisson distribution at any confidence level.</t>
  </si>
  <si>
    <r>
      <t>Table 3a. Testing a background of moderate intensity (</t>
    </r>
    <r>
      <rPr>
        <vertAlign val="superscript"/>
        <sz val="11"/>
        <rFont val="Times New Roman"/>
      </rPr>
      <t>23</t>
    </r>
    <r>
      <rPr>
        <sz val="11"/>
        <rFont val="Times New Roman"/>
      </rPr>
      <t xml:space="preserve">Na) for the Poisson distribution using the Chi-square test. Observed and expected frequencies for the different </t>
    </r>
    <r>
      <rPr>
        <vertAlign val="superscript"/>
        <sz val="11"/>
        <rFont val="Times New Roman"/>
      </rPr>
      <t>23</t>
    </r>
    <r>
      <rPr>
        <sz val="11"/>
        <rFont val="Times New Roman"/>
      </rPr>
      <t>Na count</t>
    </r>
  </si>
  <si>
    <t>number classes are computed and compared (see also Fig. 1a,b).</t>
  </si>
  <si>
    <t>range of counts</t>
  </si>
  <si>
    <t>Poisson distribution</t>
  </si>
  <si>
    <t>count number class</t>
  </si>
  <si>
    <t>in each of the</t>
  </si>
  <si>
    <t>corrected</t>
  </si>
  <si>
    <t>frequency</t>
  </si>
  <si>
    <t>frequency,</t>
  </si>
  <si>
    <t>classes</t>
  </si>
  <si>
    <t>corrected (E)</t>
  </si>
  <si>
    <t>(O)</t>
  </si>
  <si>
    <t>≤ 24</t>
  </si>
  <si>
    <t>25-26</t>
  </si>
  <si>
    <t>27-28</t>
  </si>
  <si>
    <t>29-30</t>
  </si>
  <si>
    <t>≤ 30</t>
  </si>
  <si>
    <t>31-32</t>
  </si>
  <si>
    <t>33-34</t>
  </si>
  <si>
    <t>35-36</t>
  </si>
  <si>
    <t>37-38</t>
  </si>
  <si>
    <t>39-40</t>
  </si>
  <si>
    <t>41-42</t>
  </si>
  <si>
    <t>43-44</t>
  </si>
  <si>
    <t>45-46</t>
  </si>
  <si>
    <t>47-48</t>
  </si>
  <si>
    <t>49-50</t>
  </si>
  <si>
    <t>≥ 49</t>
  </si>
  <si>
    <t>51-52</t>
  </si>
  <si>
    <t>53-54</t>
  </si>
  <si>
    <t>55-56</t>
  </si>
  <si>
    <t>≥ 57</t>
  </si>
  <si>
    <t>Mean number of counts per sweep : 3373/90=37.4778.</t>
  </si>
  <si>
    <r>
      <t xml:space="preserve">Null hypothesis: the observed distribution of </t>
    </r>
    <r>
      <rPr>
        <vertAlign val="superscript"/>
        <sz val="11"/>
        <rFont val="Times New Roman"/>
      </rPr>
      <t>23</t>
    </r>
    <r>
      <rPr>
        <sz val="11"/>
        <rFont val="Times New Roman"/>
      </rPr>
      <t>Na counts follows a Poisson distribution with a mean of 37.4778.</t>
    </r>
  </si>
  <si>
    <t>Number of classes: 11; degrees of freedom: 11-2-1=8; critical χ2 value for a 90% level of confidence: 20.09; calculated χ2 value: 16.35; the null hypothesis is accepted.</t>
  </si>
  <si>
    <r>
      <t>Table 3b. Testing a background of moderate intensity (</t>
    </r>
    <r>
      <rPr>
        <vertAlign val="superscript"/>
        <sz val="11"/>
        <rFont val="Times New Roman"/>
      </rPr>
      <t>23</t>
    </r>
    <r>
      <rPr>
        <sz val="11"/>
        <rFont val="Times New Roman"/>
      </rPr>
      <t xml:space="preserve">Na) for the Gauss distribution using the Chi-square test. Observed and expected frequencies for the different </t>
    </r>
    <r>
      <rPr>
        <vertAlign val="superscript"/>
        <sz val="11"/>
        <rFont val="Times New Roman"/>
      </rPr>
      <t>23</t>
    </r>
    <r>
      <rPr>
        <sz val="11"/>
        <rFont val="Times New Roman"/>
      </rPr>
      <t>Na count</t>
    </r>
  </si>
  <si>
    <t>number classes are computed and compared (see also Fig. 1a,c).</t>
  </si>
  <si>
    <t>Gauss distribution</t>
  </si>
  <si>
    <t>Mean number of counts per sweep : 3373/90=37.4778, the (per-sweep) standard deviation: 6.1885.</t>
  </si>
  <si>
    <r>
      <t xml:space="preserve">Null hypothesis: the observed distribution of </t>
    </r>
    <r>
      <rPr>
        <vertAlign val="superscript"/>
        <sz val="11"/>
        <rFont val="Times New Roman"/>
      </rPr>
      <t>23</t>
    </r>
    <r>
      <rPr>
        <sz val="11"/>
        <rFont val="Times New Roman"/>
      </rPr>
      <t>Na counts follows a Gauss distribution with a mean of 37.4778 and a standard deviation of 6.1885.</t>
    </r>
  </si>
  <si>
    <t>Number of classes: 11; degrees of freedom: 11-2-1=8; critical χ2 value for a 90% level of confidence: 20.09; calculated χ2 value: 16.50; the null hypothesis is accepted.</t>
  </si>
  <si>
    <t>The distribution can be considered as (approximated by) a Gauss distribution at a 90% level of confidence.</t>
  </si>
  <si>
    <r>
      <t>Table 4a. Testing a strong background (</t>
    </r>
    <r>
      <rPr>
        <vertAlign val="superscript"/>
        <sz val="11"/>
        <rFont val="Times New Roman"/>
      </rPr>
      <t>29</t>
    </r>
    <r>
      <rPr>
        <sz val="11"/>
        <rFont val="Times New Roman"/>
      </rPr>
      <t xml:space="preserve">Si) for the Poisson distribution using the Chi-square test. Observed and expected frequencies for the different </t>
    </r>
    <r>
      <rPr>
        <vertAlign val="superscript"/>
        <sz val="11"/>
        <rFont val="Times New Roman"/>
      </rPr>
      <t>29</t>
    </r>
    <r>
      <rPr>
        <sz val="11"/>
        <rFont val="Times New Roman"/>
      </rPr>
      <t>Si count number classes</t>
    </r>
  </si>
  <si>
    <t>are computed and compared (see also Fig. 2a,b).</t>
  </si>
  <si>
    <t>≤ 1200</t>
  </si>
  <si>
    <t>1201-1220</t>
  </si>
  <si>
    <t>1221-1240</t>
  </si>
  <si>
    <t>1241-1260</t>
  </si>
  <si>
    <t>1261-1280</t>
  </si>
  <si>
    <t>≤ 1280</t>
  </si>
  <si>
    <t>1281-1300</t>
  </si>
  <si>
    <t>1301-1320</t>
  </si>
  <si>
    <t>1321-1340</t>
  </si>
  <si>
    <t>1341-1360</t>
  </si>
  <si>
    <t>1361-1380</t>
  </si>
  <si>
    <t>1381-1400</t>
  </si>
  <si>
    <t>1401-1420</t>
  </si>
  <si>
    <t>≥ 1401</t>
  </si>
  <si>
    <t>1421-1440</t>
  </si>
  <si>
    <t>1441-1460</t>
  </si>
  <si>
    <t>1461-1480</t>
  </si>
  <si>
    <t>1481-1500</t>
  </si>
  <si>
    <t>1501-1520</t>
  </si>
  <si>
    <t>1521-1540</t>
  </si>
  <si>
    <t>1541-1560</t>
  </si>
  <si>
    <t>≥ 1561</t>
  </si>
  <si>
    <t>Mean number of counts per sweep : 120273/90=1336.4</t>
  </si>
  <si>
    <r>
      <t xml:space="preserve">Null hypothesis: the observed distribution of </t>
    </r>
    <r>
      <rPr>
        <vertAlign val="superscript"/>
        <sz val="11"/>
        <rFont val="Times New Roman"/>
      </rPr>
      <t>29</t>
    </r>
    <r>
      <rPr>
        <sz val="11"/>
        <rFont val="Times New Roman"/>
      </rPr>
      <t>Si counts follows a Poisson distribution with a mean of 1336.4</t>
    </r>
  </si>
  <si>
    <t>Number of classes: 8; degrees of freedom: 8-2-1=5; critical χ2 value for a 90% level of confidence: 15.09; calculated χ2 value: 56.72; the null hypothesis is rejected.</t>
  </si>
  <si>
    <r>
      <t>The actual distribution cannot be considered as an ordinary Poisson distribution at a 90% level of confidence (and at any other practically applicable level of confidence)</t>
    </r>
    <r>
      <rPr>
        <sz val="11"/>
        <rFont val="Times New Roman"/>
      </rPr>
      <t>.</t>
    </r>
  </si>
  <si>
    <r>
      <t>Table 4b. Testing a strong background (</t>
    </r>
    <r>
      <rPr>
        <vertAlign val="superscript"/>
        <sz val="11"/>
        <rFont val="Times New Roman"/>
      </rPr>
      <t>29</t>
    </r>
    <r>
      <rPr>
        <sz val="11"/>
        <rFont val="Times New Roman"/>
      </rPr>
      <t xml:space="preserve">Si) for the Gauss distribution using the Chi-square test. Observed and expected frequencies for the different </t>
    </r>
    <r>
      <rPr>
        <vertAlign val="superscript"/>
        <sz val="11"/>
        <rFont val="Times New Roman"/>
      </rPr>
      <t>29</t>
    </r>
    <r>
      <rPr>
        <sz val="11"/>
        <rFont val="Times New Roman"/>
      </rPr>
      <t>Si count number classes</t>
    </r>
  </si>
  <si>
    <t>are computed and compared (see also Fig. 2a,c).</t>
  </si>
  <si>
    <t>≥ 1441</t>
  </si>
  <si>
    <t>Mean number of counts per sweep : 120273/90=1336.4, the (per-sweep) standard deviation: 59.84.</t>
  </si>
  <si>
    <r>
      <t xml:space="preserve">Null hypothesis: the observed distribution of </t>
    </r>
    <r>
      <rPr>
        <vertAlign val="superscript"/>
        <sz val="11"/>
        <rFont val="Times New Roman"/>
      </rPr>
      <t>29</t>
    </r>
    <r>
      <rPr>
        <sz val="11"/>
        <rFont val="Times New Roman"/>
      </rPr>
      <t>Si counts follows a Gauss distribution with a mean of 1336.4 and a standard deviation of 59.84.</t>
    </r>
  </si>
  <si>
    <t>Number of classes: 10; degrees of freedom: 10-2-1=7; critical χ2 value for a 90% level of confidence: 18.48; calculated χ2 value: 12.85; the null hypothesis is accepted.</t>
  </si>
  <si>
    <t>The actual distribution can be considered as (approximated by) an ordinary Poisson distribution at a 90% level of confidence.</t>
  </si>
  <si>
    <r>
      <t>The actual distribution can be considered as (approximated by) an ordinary Poisson distribution at a 90% level of confidence</t>
    </r>
    <r>
      <rPr>
        <sz val="11"/>
        <rFont val="Times New Roman"/>
      </rPr>
      <t>.</t>
    </r>
  </si>
  <si>
    <t>Goodness-of-fit tests, such as the Chi-square test, are used to estimate the extent of similarity between the actually observed distribution and a model distribution used for its</t>
  </si>
  <si>
    <t>deviation can be used to approximate the actual distribution.  If it is large, the model distribution cannot be used to describe the actual distribution.</t>
  </si>
  <si>
    <t>approximation. The actually observed distribution is divided in several classes, each of them being characterised by some frequency of appearance. For each of the classes, the</t>
  </si>
  <si>
    <t>expected frequency is computed using the probability function of the model distribution, and the actually observed frequency of appearance is compared to the expected</t>
  </si>
  <si>
    <t>frequency. If the difference between them is small, the actual and the model distributions are considered to be sufficiently similar and the model distribution with its standard</t>
  </si>
  <si>
    <r>
      <t>Appendix 1</t>
    </r>
    <r>
      <rPr>
        <sz val="12"/>
        <color rgb="FF000000"/>
        <rFont val="Times New Roman"/>
      </rPr>
      <t>. A set of LA-ICPMS background data tetsed for the approprite model distribution (ordinary Poisson, Gauss) using the Chi-square goodness-of-fit test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</si>
</sst>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000000"/>
  </numFmts>
  <fonts count="13" x14ac:knownFonts="1">
    <font>
      <sz val="12"/>
      <color theme="1"/>
      <name val="Calibri"/>
      <family val="2"/>
      <scheme val="minor"/>
    </font>
    <font>
      <b/>
      <sz val="11"/>
      <name val="Times New Roman"/>
    </font>
    <font>
      <sz val="11"/>
      <name val="Times New Roman"/>
    </font>
    <font>
      <vertAlign val="superscript"/>
      <sz val="11"/>
      <name val="Times New Roman"/>
    </font>
    <font>
      <sz val="10"/>
      <name val="Times New Roman"/>
      <family val="1"/>
    </font>
    <font>
      <sz val="9"/>
      <name val="Arial"/>
    </font>
    <font>
      <sz val="11"/>
      <name val="Arial"/>
    </font>
    <font>
      <sz val="11"/>
      <color rgb="FFDD0806"/>
      <name val="Times New Roman"/>
      <family val="1"/>
    </font>
    <font>
      <sz val="11"/>
      <color rgb="FFDD0806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Times New Roman"/>
    </font>
    <font>
      <b/>
      <sz val="12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D6FFFC"/>
        <bgColor indexed="64"/>
      </patternFill>
    </fill>
    <fill>
      <patternFill patternType="solid">
        <fgColor rgb="FFDBFFDB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19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94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11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164" fontId="2" fillId="2" borderId="0" xfId="0" applyNumberFormat="1" applyFont="1" applyFill="1" applyAlignment="1">
      <alignment horizontal="center"/>
    </xf>
    <xf numFmtId="1" fontId="2" fillId="2" borderId="0" xfId="0" applyNumberFormat="1" applyFont="1" applyFill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1" fontId="2" fillId="2" borderId="3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0" xfId="0" applyFont="1" applyFill="1" applyBorder="1"/>
    <xf numFmtId="0" fontId="2" fillId="2" borderId="0" xfId="0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0" fontId="1" fillId="2" borderId="4" xfId="0" applyFont="1" applyFill="1" applyBorder="1"/>
    <xf numFmtId="0" fontId="2" fillId="2" borderId="4" xfId="0" applyFont="1" applyFill="1" applyBorder="1" applyAlignment="1">
      <alignment horizontal="center"/>
    </xf>
    <xf numFmtId="2" fontId="2" fillId="2" borderId="4" xfId="0" applyNumberFormat="1" applyFont="1" applyFill="1" applyBorder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2" fillId="3" borderId="0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center"/>
    </xf>
    <xf numFmtId="1" fontId="4" fillId="3" borderId="0" xfId="0" applyNumberFormat="1" applyFont="1" applyFill="1" applyAlignment="1">
      <alignment horizontal="center"/>
    </xf>
    <xf numFmtId="0" fontId="5" fillId="3" borderId="0" xfId="0" applyFont="1" applyFill="1"/>
    <xf numFmtId="2" fontId="4" fillId="3" borderId="0" xfId="0" applyNumberFormat="1" applyFont="1" applyFill="1" applyAlignment="1">
      <alignment horizontal="center"/>
    </xf>
    <xf numFmtId="1" fontId="4" fillId="0" borderId="0" xfId="0" applyNumberFormat="1" applyFont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4" fillId="3" borderId="3" xfId="0" applyNumberFormat="1" applyFont="1" applyFill="1" applyBorder="1" applyAlignment="1">
      <alignment horizontal="center"/>
    </xf>
    <xf numFmtId="1" fontId="4" fillId="3" borderId="3" xfId="0" applyNumberFormat="1" applyFont="1" applyFill="1" applyBorder="1" applyAlignment="1">
      <alignment horizontal="center"/>
    </xf>
    <xf numFmtId="2" fontId="4" fillId="3" borderId="3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5" fillId="0" borderId="0" xfId="0" applyFont="1"/>
    <xf numFmtId="0" fontId="2" fillId="3" borderId="0" xfId="0" applyFont="1" applyFill="1"/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3" borderId="1" xfId="0" applyFont="1" applyFill="1" applyBorder="1"/>
    <xf numFmtId="0" fontId="6" fillId="0" borderId="0" xfId="0" applyFont="1"/>
    <xf numFmtId="0" fontId="4" fillId="3" borderId="3" xfId="0" applyFont="1" applyFill="1" applyBorder="1"/>
    <xf numFmtId="0" fontId="1" fillId="3" borderId="4" xfId="0" applyFont="1" applyFill="1" applyBorder="1"/>
    <xf numFmtId="0" fontId="2" fillId="3" borderId="4" xfId="0" applyFont="1" applyFill="1" applyBorder="1"/>
    <xf numFmtId="0" fontId="2" fillId="0" borderId="0" xfId="0" applyFont="1" applyBorder="1" applyAlignment="1">
      <alignment horizontal="center"/>
    </xf>
    <xf numFmtId="0" fontId="2" fillId="4" borderId="0" xfId="0" applyFont="1" applyFill="1" applyAlignment="1">
      <alignment horizontal="left"/>
    </xf>
    <xf numFmtId="0" fontId="6" fillId="0" borderId="0" xfId="0" applyFont="1" applyBorder="1"/>
    <xf numFmtId="0" fontId="2" fillId="4" borderId="1" xfId="0" applyFont="1" applyFill="1" applyBorder="1"/>
    <xf numFmtId="0" fontId="2" fillId="4" borderId="0" xfId="0" applyFont="1" applyFill="1" applyBorder="1" applyAlignment="1">
      <alignment horizontal="center"/>
    </xf>
    <xf numFmtId="164" fontId="2" fillId="4" borderId="0" xfId="0" applyNumberFormat="1" applyFont="1" applyFill="1" applyAlignment="1">
      <alignment horizontal="center"/>
    </xf>
    <xf numFmtId="1" fontId="2" fillId="4" borderId="0" xfId="0" applyNumberFormat="1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8" fillId="4" borderId="0" xfId="0" applyFont="1" applyFill="1"/>
    <xf numFmtId="2" fontId="7" fillId="4" borderId="0" xfId="0" applyNumberFormat="1" applyFont="1" applyFill="1" applyAlignment="1">
      <alignment horizontal="center"/>
    </xf>
    <xf numFmtId="2" fontId="2" fillId="4" borderId="0" xfId="0" applyNumberFormat="1" applyFont="1" applyFill="1" applyAlignment="1">
      <alignment horizontal="center"/>
    </xf>
    <xf numFmtId="0" fontId="6" fillId="4" borderId="3" xfId="0" applyFont="1" applyFill="1" applyBorder="1" applyAlignment="1">
      <alignment horizontal="center"/>
    </xf>
    <xf numFmtId="164" fontId="2" fillId="4" borderId="3" xfId="0" applyNumberFormat="1" applyFont="1" applyFill="1" applyBorder="1" applyAlignment="1">
      <alignment horizontal="center"/>
    </xf>
    <xf numFmtId="1" fontId="2" fillId="4" borderId="3" xfId="0" applyNumberFormat="1" applyFont="1" applyFill="1" applyBorder="1" applyAlignment="1">
      <alignment horizontal="center"/>
    </xf>
    <xf numFmtId="2" fontId="2" fillId="4" borderId="3" xfId="0" applyNumberFormat="1" applyFont="1" applyFill="1" applyBorder="1" applyAlignment="1">
      <alignment horizontal="center"/>
    </xf>
    <xf numFmtId="0" fontId="6" fillId="4" borderId="0" xfId="0" applyFont="1" applyFill="1"/>
    <xf numFmtId="0" fontId="6" fillId="4" borderId="0" xfId="0" applyFont="1" applyFill="1" applyAlignment="1">
      <alignment horizontal="center"/>
    </xf>
    <xf numFmtId="0" fontId="2" fillId="4" borderId="0" xfId="0" applyFont="1" applyFill="1"/>
    <xf numFmtId="164" fontId="6" fillId="4" borderId="0" xfId="0" applyNumberFormat="1" applyFont="1" applyFill="1" applyAlignment="1">
      <alignment horizontal="center"/>
    </xf>
    <xf numFmtId="0" fontId="1" fillId="4" borderId="1" xfId="0" applyFont="1" applyFill="1" applyBorder="1"/>
    <xf numFmtId="0" fontId="6" fillId="4" borderId="1" xfId="0" applyFont="1" applyFill="1" applyBorder="1"/>
    <xf numFmtId="0" fontId="2" fillId="0" borderId="0" xfId="0" applyFont="1" applyFill="1" applyAlignment="1">
      <alignment horizontal="center"/>
    </xf>
    <xf numFmtId="1" fontId="7" fillId="4" borderId="0" xfId="0" applyNumberFormat="1" applyFont="1" applyFill="1" applyAlignment="1">
      <alignment horizontal="center"/>
    </xf>
    <xf numFmtId="0" fontId="1" fillId="4" borderId="4" xfId="0" applyFont="1" applyFill="1" applyBorder="1"/>
    <xf numFmtId="0" fontId="2" fillId="4" borderId="4" xfId="0" applyFont="1" applyFill="1" applyBorder="1"/>
    <xf numFmtId="0" fontId="6" fillId="4" borderId="4" xfId="0" applyFont="1" applyFill="1" applyBorder="1"/>
    <xf numFmtId="0" fontId="2" fillId="0" borderId="0" xfId="0" applyFont="1" applyAlignment="1">
      <alignment horizontal="left"/>
    </xf>
    <xf numFmtId="0" fontId="2" fillId="3" borderId="3" xfId="0" applyFont="1" applyFill="1" applyBorder="1" applyAlignment="1">
      <alignment horizontal="center"/>
    </xf>
    <xf numFmtId="0" fontId="12" fillId="0" borderId="1" xfId="0" applyFont="1" applyBorder="1" applyAlignment="1">
      <alignment horizontal="right" indent="1"/>
    </xf>
    <xf numFmtId="165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1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FR" sz="1200" b="0" i="1"/>
              <a:t>observed frequency, actual distribution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observed frequency</c:v>
          </c:tx>
          <c:invertIfNegative val="0"/>
          <c:val>
            <c:numRef>
              <c:f>Feuil1!$G$133:$G$150</c:f>
              <c:numCache>
                <c:formatCode>General</c:formatCode>
                <c:ptCount val="18"/>
                <c:pt idx="0">
                  <c:v>0.0</c:v>
                </c:pt>
                <c:pt idx="1">
                  <c:v>0.0</c:v>
                </c:pt>
                <c:pt idx="2">
                  <c:v>2.0</c:v>
                </c:pt>
                <c:pt idx="3">
                  <c:v>4.0</c:v>
                </c:pt>
                <c:pt idx="4">
                  <c:v>7.0</c:v>
                </c:pt>
                <c:pt idx="5">
                  <c:v>7.0</c:v>
                </c:pt>
                <c:pt idx="6">
                  <c:v>9.0</c:v>
                </c:pt>
                <c:pt idx="7">
                  <c:v>9.0</c:v>
                </c:pt>
                <c:pt idx="8">
                  <c:v>16.0</c:v>
                </c:pt>
                <c:pt idx="9">
                  <c:v>12.0</c:v>
                </c:pt>
                <c:pt idx="10">
                  <c:v>7.0</c:v>
                </c:pt>
                <c:pt idx="11">
                  <c:v>5.0</c:v>
                </c:pt>
                <c:pt idx="12">
                  <c:v>4.0</c:v>
                </c:pt>
                <c:pt idx="13">
                  <c:v>4.0</c:v>
                </c:pt>
                <c:pt idx="14">
                  <c:v>2.0</c:v>
                </c:pt>
                <c:pt idx="15">
                  <c:v>0.0</c:v>
                </c:pt>
                <c:pt idx="16">
                  <c:v>2.0</c:v>
                </c:pt>
                <c:pt idx="17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1609944"/>
        <c:axId val="471618472"/>
      </c:barChart>
      <c:catAx>
        <c:axId val="471609944"/>
        <c:scaling>
          <c:orientation val="minMax"/>
        </c:scaling>
        <c:delete val="0"/>
        <c:axPos val="b"/>
        <c:majorTickMark val="out"/>
        <c:minorTickMark val="none"/>
        <c:tickLblPos val="nextTo"/>
        <c:crossAx val="471618472"/>
        <c:crosses val="autoZero"/>
        <c:auto val="1"/>
        <c:lblAlgn val="ctr"/>
        <c:lblOffset val="100"/>
        <c:noMultiLvlLbl val="0"/>
      </c:catAx>
      <c:valAx>
        <c:axId val="471618472"/>
        <c:scaling>
          <c:orientation val="minMax"/>
          <c:max val="16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16099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FR" sz="1200" b="0" i="1"/>
              <a:t>expected</a:t>
            </a:r>
            <a:r>
              <a:rPr lang="fr-FR" sz="1200" b="0" i="1" baseline="0"/>
              <a:t> </a:t>
            </a:r>
            <a:r>
              <a:rPr lang="fr-FR" sz="1200" b="0" i="1"/>
              <a:t>frequency, Poisson model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expected frequency, Poisson</c:v>
          </c:tx>
          <c:invertIfNegative val="0"/>
          <c:val>
            <c:numRef>
              <c:f>Feuil1!$D$133:$D$150</c:f>
              <c:numCache>
                <c:formatCode>0</c:formatCode>
                <c:ptCount val="18"/>
                <c:pt idx="0">
                  <c:v>1.143714252725999</c:v>
                </c:pt>
                <c:pt idx="1">
                  <c:v>1.65651680846282</c:v>
                </c:pt>
                <c:pt idx="2">
                  <c:v>3.174639695814157</c:v>
                </c:pt>
                <c:pt idx="3">
                  <c:v>5.281900356533077</c:v>
                </c:pt>
                <c:pt idx="4">
                  <c:v>7.700374616957749</c:v>
                </c:pt>
                <c:pt idx="5">
                  <c:v>9.917273585907564</c:v>
                </c:pt>
                <c:pt idx="6">
                  <c:v>11.36461938448479</c:v>
                </c:pt>
                <c:pt idx="7">
                  <c:v>11.66220957128521</c:v>
                </c:pt>
                <c:pt idx="8">
                  <c:v>10.77860282074828</c:v>
                </c:pt>
                <c:pt idx="9">
                  <c:v>9.018743949398552</c:v>
                </c:pt>
                <c:pt idx="10">
                  <c:v>6.863830662565029</c:v>
                </c:pt>
                <c:pt idx="11">
                  <c:v>4.771732556485193</c:v>
                </c:pt>
                <c:pt idx="12">
                  <c:v>3.042058200397106</c:v>
                </c:pt>
                <c:pt idx="13">
                  <c:v>1.784818789387478</c:v>
                </c:pt>
                <c:pt idx="14">
                  <c:v>0.966910403898032</c:v>
                </c:pt>
                <c:pt idx="15">
                  <c:v>0.485137891449059</c:v>
                </c:pt>
                <c:pt idx="16">
                  <c:v>0.226076504444961</c:v>
                </c:pt>
                <c:pt idx="17">
                  <c:v>0.160839949054938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8044584"/>
        <c:axId val="558275368"/>
      </c:barChart>
      <c:catAx>
        <c:axId val="558044584"/>
        <c:scaling>
          <c:orientation val="minMax"/>
        </c:scaling>
        <c:delete val="0"/>
        <c:axPos val="b"/>
        <c:majorTickMark val="out"/>
        <c:minorTickMark val="none"/>
        <c:tickLblPos val="nextTo"/>
        <c:crossAx val="558275368"/>
        <c:crosses val="autoZero"/>
        <c:auto val="1"/>
        <c:lblAlgn val="ctr"/>
        <c:lblOffset val="100"/>
        <c:noMultiLvlLbl val="0"/>
      </c:catAx>
      <c:valAx>
        <c:axId val="558275368"/>
        <c:scaling>
          <c:orientation val="minMax"/>
          <c:max val="16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5580445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FR" sz="1200" b="0" i="1"/>
              <a:t>expected</a:t>
            </a:r>
            <a:r>
              <a:rPr lang="fr-FR" sz="1200" b="0" i="1" baseline="0"/>
              <a:t> </a:t>
            </a:r>
            <a:r>
              <a:rPr lang="fr-FR" sz="1200" b="0" i="1"/>
              <a:t>frequency, Gauss model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expected frequency, Gauss</c:v>
          </c:tx>
          <c:invertIfNegative val="0"/>
          <c:val>
            <c:numRef>
              <c:f>Feuil1!$D$164:$D$181</c:f>
              <c:numCache>
                <c:formatCode>0</c:formatCode>
                <c:ptCount val="18"/>
                <c:pt idx="0">
                  <c:v>1.619379093222521</c:v>
                </c:pt>
                <c:pt idx="1">
                  <c:v>1.804183201342572</c:v>
                </c:pt>
                <c:pt idx="2">
                  <c:v>3.185001630869044</c:v>
                </c:pt>
                <c:pt idx="3">
                  <c:v>5.069519316104092</c:v>
                </c:pt>
                <c:pt idx="4">
                  <c:v>7.275349886552143</c:v>
                </c:pt>
                <c:pt idx="5">
                  <c:v>9.413961908584315</c:v>
                </c:pt>
                <c:pt idx="6">
                  <c:v>10.98306349740608</c:v>
                </c:pt>
                <c:pt idx="7">
                  <c:v>11.55334363099626</c:v>
                </c:pt>
                <c:pt idx="8">
                  <c:v>10.957847042535</c:v>
                </c:pt>
                <c:pt idx="9">
                  <c:v>9.37078354526819</c:v>
                </c:pt>
                <c:pt idx="10">
                  <c:v>7.225352922104551</c:v>
                </c:pt>
                <c:pt idx="11">
                  <c:v>5.023121070845002</c:v>
                </c:pt>
                <c:pt idx="12">
                  <c:v>3.148604911334533</c:v>
                </c:pt>
                <c:pt idx="13">
                  <c:v>1.779470299279524</c:v>
                </c:pt>
                <c:pt idx="14">
                  <c:v>0.906753171362388</c:v>
                </c:pt>
                <c:pt idx="15">
                  <c:v>0.416591602342692</c:v>
                </c:pt>
                <c:pt idx="16">
                  <c:v>0.172564706582463</c:v>
                </c:pt>
                <c:pt idx="17">
                  <c:v>0.0951085632686177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8065864"/>
        <c:axId val="558074328"/>
      </c:barChart>
      <c:catAx>
        <c:axId val="558065864"/>
        <c:scaling>
          <c:orientation val="minMax"/>
        </c:scaling>
        <c:delete val="0"/>
        <c:axPos val="b"/>
        <c:majorTickMark val="out"/>
        <c:minorTickMark val="none"/>
        <c:tickLblPos val="nextTo"/>
        <c:crossAx val="558074328"/>
        <c:crosses val="autoZero"/>
        <c:auto val="1"/>
        <c:lblAlgn val="ctr"/>
        <c:lblOffset val="100"/>
        <c:noMultiLvlLbl val="0"/>
      </c:catAx>
      <c:valAx>
        <c:axId val="558074328"/>
        <c:scaling>
          <c:orientation val="minMax"/>
          <c:max val="16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5580658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FR" sz="1200" b="0" i="1"/>
              <a:t>observed frequency, actual distribution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observed frequency</c:v>
          </c:tx>
          <c:invertIfNegative val="0"/>
          <c:val>
            <c:numRef>
              <c:f>Feuil1!$G$196:$G$215</c:f>
              <c:numCache>
                <c:formatCode>General</c:formatCode>
                <c:ptCount val="20"/>
                <c:pt idx="0">
                  <c:v>0.0</c:v>
                </c:pt>
                <c:pt idx="1">
                  <c:v>0.0</c:v>
                </c:pt>
                <c:pt idx="2">
                  <c:v>3.0</c:v>
                </c:pt>
                <c:pt idx="3">
                  <c:v>0.0</c:v>
                </c:pt>
                <c:pt idx="4">
                  <c:v>4.0</c:v>
                </c:pt>
                <c:pt idx="5">
                  <c:v>6.0</c:v>
                </c:pt>
                <c:pt idx="6">
                  <c:v>10.0</c:v>
                </c:pt>
                <c:pt idx="7">
                  <c:v>18.0</c:v>
                </c:pt>
                <c:pt idx="8">
                  <c:v>10.0</c:v>
                </c:pt>
                <c:pt idx="9">
                  <c:v>12.0</c:v>
                </c:pt>
                <c:pt idx="10">
                  <c:v>9.0</c:v>
                </c:pt>
                <c:pt idx="11">
                  <c:v>9.0</c:v>
                </c:pt>
                <c:pt idx="12">
                  <c:v>4.0</c:v>
                </c:pt>
                <c:pt idx="13">
                  <c:v>0.0</c:v>
                </c:pt>
                <c:pt idx="14">
                  <c:v>2.0</c:v>
                </c:pt>
                <c:pt idx="15">
                  <c:v>0.0</c:v>
                </c:pt>
                <c:pt idx="16">
                  <c:v>0.0</c:v>
                </c:pt>
                <c:pt idx="17">
                  <c:v>1.0</c:v>
                </c:pt>
                <c:pt idx="18">
                  <c:v>2.0</c:v>
                </c:pt>
                <c:pt idx="19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8136440"/>
        <c:axId val="558068936"/>
      </c:barChart>
      <c:catAx>
        <c:axId val="558136440"/>
        <c:scaling>
          <c:orientation val="minMax"/>
        </c:scaling>
        <c:delete val="0"/>
        <c:axPos val="b"/>
        <c:majorTickMark val="out"/>
        <c:minorTickMark val="none"/>
        <c:tickLblPos val="nextTo"/>
        <c:crossAx val="558068936"/>
        <c:crosses val="autoZero"/>
        <c:auto val="1"/>
        <c:lblAlgn val="ctr"/>
        <c:lblOffset val="100"/>
        <c:noMultiLvlLbl val="0"/>
      </c:catAx>
      <c:valAx>
        <c:axId val="558068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8136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FR" sz="1200" b="0" i="1"/>
              <a:t>expected</a:t>
            </a:r>
            <a:r>
              <a:rPr lang="fr-FR" sz="1200" b="0" i="1" baseline="0"/>
              <a:t> </a:t>
            </a:r>
            <a:r>
              <a:rPr lang="fr-FR" sz="1200" b="0" i="1"/>
              <a:t>frequency, Poisson model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expected frequency, Poisson</c:v>
          </c:tx>
          <c:invertIfNegative val="0"/>
          <c:val>
            <c:numRef>
              <c:f>Feuil1!$D$196:$D$215</c:f>
              <c:numCache>
                <c:formatCode>0</c:formatCode>
                <c:ptCount val="20"/>
                <c:pt idx="0">
                  <c:v>0.00709426829838563</c:v>
                </c:pt>
                <c:pt idx="1">
                  <c:v>0.0519448463848847</c:v>
                </c:pt>
                <c:pt idx="2">
                  <c:v>0.302048985718584</c:v>
                </c:pt>
                <c:pt idx="3">
                  <c:v>1.279650971300226</c:v>
                </c:pt>
                <c:pt idx="4">
                  <c:v>3.970272079977565</c:v>
                </c:pt>
                <c:pt idx="5">
                  <c:v>9.065702812675</c:v>
                </c:pt>
                <c:pt idx="6">
                  <c:v>15.3065858728387</c:v>
                </c:pt>
                <c:pt idx="7">
                  <c:v>19.19566404775894</c:v>
                </c:pt>
                <c:pt idx="8">
                  <c:v>17.95734768346881</c:v>
                </c:pt>
                <c:pt idx="9">
                  <c:v>12.58292064120023</c:v>
                </c:pt>
                <c:pt idx="10">
                  <c:v>6.630295960264264</c:v>
                </c:pt>
                <c:pt idx="11">
                  <c:v>2.637188579576504</c:v>
                </c:pt>
                <c:pt idx="12">
                  <c:v>0.794676225428918</c:v>
                </c:pt>
                <c:pt idx="13">
                  <c:v>0.182057982690322</c:v>
                </c:pt>
                <c:pt idx="14">
                  <c:v>0.031818606706604</c:v>
                </c:pt>
                <c:pt idx="15">
                  <c:v>0.00425640645435488</c:v>
                </c:pt>
                <c:pt idx="16">
                  <c:v>0.000437215863893225</c:v>
                </c:pt>
                <c:pt idx="17">
                  <c:v>3.45943974666696E-5</c:v>
                </c:pt>
                <c:pt idx="18">
                  <c:v>2.11498787483499E-6</c:v>
                </c:pt>
                <c:pt idx="19">
                  <c:v>1.04008471835115E-7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8093608"/>
        <c:axId val="558128168"/>
      </c:barChart>
      <c:catAx>
        <c:axId val="558093608"/>
        <c:scaling>
          <c:orientation val="minMax"/>
        </c:scaling>
        <c:delete val="0"/>
        <c:axPos val="b"/>
        <c:majorTickMark val="out"/>
        <c:minorTickMark val="none"/>
        <c:tickLblPos val="nextTo"/>
        <c:crossAx val="558128168"/>
        <c:crosses val="autoZero"/>
        <c:auto val="1"/>
        <c:lblAlgn val="ctr"/>
        <c:lblOffset val="100"/>
        <c:noMultiLvlLbl val="0"/>
      </c:catAx>
      <c:valAx>
        <c:axId val="558128168"/>
        <c:scaling>
          <c:orientation val="minMax"/>
          <c:max val="2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558093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FR" sz="1200" b="0" i="1"/>
              <a:t>expected</a:t>
            </a:r>
            <a:r>
              <a:rPr lang="fr-FR" sz="1200" b="0" i="1" baseline="0"/>
              <a:t> </a:t>
            </a:r>
            <a:r>
              <a:rPr lang="fr-FR" sz="1200" b="0" i="1"/>
              <a:t>frequency, Gauss model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expected frequency, Gauss</c:v>
          </c:tx>
          <c:invertIfNegative val="0"/>
          <c:val>
            <c:numRef>
              <c:f>Feuil1!$D$229:$D$248</c:f>
              <c:numCache>
                <c:formatCode>0</c:formatCode>
                <c:ptCount val="20"/>
                <c:pt idx="0">
                  <c:v>1.041461058019222</c:v>
                </c:pt>
                <c:pt idx="1">
                  <c:v>1.333006143606803</c:v>
                </c:pt>
                <c:pt idx="2">
                  <c:v>2.531498406830083</c:v>
                </c:pt>
                <c:pt idx="3">
                  <c:v>4.303799214097741</c:v>
                </c:pt>
                <c:pt idx="4">
                  <c:v>6.550248758901394</c:v>
                </c:pt>
                <c:pt idx="5">
                  <c:v>8.924771749718039</c:v>
                </c:pt>
                <c:pt idx="6">
                  <c:v>10.8860799692014</c:v>
                </c:pt>
                <c:pt idx="7">
                  <c:v>11.88726645892374</c:v>
                </c:pt>
                <c:pt idx="8">
                  <c:v>11.62061178571389</c:v>
                </c:pt>
                <c:pt idx="9">
                  <c:v>10.16979951075732</c:v>
                </c:pt>
                <c:pt idx="10">
                  <c:v>7.967673380940993</c:v>
                </c:pt>
                <c:pt idx="11">
                  <c:v>5.588370154905724</c:v>
                </c:pt>
                <c:pt idx="12">
                  <c:v>3.508904505917685</c:v>
                </c:pt>
                <c:pt idx="13">
                  <c:v>1.972369934688072</c:v>
                </c:pt>
                <c:pt idx="14">
                  <c:v>0.992505254643857</c:v>
                </c:pt>
                <c:pt idx="15">
                  <c:v>0.447096780352583</c:v>
                </c:pt>
                <c:pt idx="16">
                  <c:v>0.180297930124971</c:v>
                </c:pt>
                <c:pt idx="17">
                  <c:v>0.0650872808998037</c:v>
                </c:pt>
                <c:pt idx="18">
                  <c:v>0.0210335695670738</c:v>
                </c:pt>
                <c:pt idx="19">
                  <c:v>0.00811815218960454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8156424"/>
        <c:axId val="558154072"/>
      </c:barChart>
      <c:catAx>
        <c:axId val="558156424"/>
        <c:scaling>
          <c:orientation val="minMax"/>
        </c:scaling>
        <c:delete val="0"/>
        <c:axPos val="b"/>
        <c:majorTickMark val="out"/>
        <c:minorTickMark val="none"/>
        <c:tickLblPos val="nextTo"/>
        <c:crossAx val="558154072"/>
        <c:crosses val="autoZero"/>
        <c:auto val="1"/>
        <c:lblAlgn val="ctr"/>
        <c:lblOffset val="100"/>
        <c:noMultiLvlLbl val="0"/>
      </c:catAx>
      <c:valAx>
        <c:axId val="558154072"/>
        <c:scaling>
          <c:orientation val="minMax"/>
          <c:max val="20.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5581564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203200</xdr:colOff>
      <xdr:row>126</xdr:row>
      <xdr:rowOff>71120</xdr:rowOff>
    </xdr:from>
    <xdr:to>
      <xdr:col>15</xdr:col>
      <xdr:colOff>101600</xdr:colOff>
      <xdr:row>149</xdr:row>
      <xdr:rowOff>157480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172720</xdr:colOff>
      <xdr:row>126</xdr:row>
      <xdr:rowOff>71120</xdr:rowOff>
    </xdr:from>
    <xdr:to>
      <xdr:col>20</xdr:col>
      <xdr:colOff>375920</xdr:colOff>
      <xdr:row>149</xdr:row>
      <xdr:rowOff>157480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447040</xdr:colOff>
      <xdr:row>126</xdr:row>
      <xdr:rowOff>71120</xdr:rowOff>
    </xdr:from>
    <xdr:to>
      <xdr:col>25</xdr:col>
      <xdr:colOff>650240</xdr:colOff>
      <xdr:row>149</xdr:row>
      <xdr:rowOff>157480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203200</xdr:colOff>
      <xdr:row>189</xdr:row>
      <xdr:rowOff>71120</xdr:rowOff>
    </xdr:from>
    <xdr:to>
      <xdr:col>15</xdr:col>
      <xdr:colOff>101600</xdr:colOff>
      <xdr:row>212</xdr:row>
      <xdr:rowOff>157480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172720</xdr:colOff>
      <xdr:row>189</xdr:row>
      <xdr:rowOff>71120</xdr:rowOff>
    </xdr:from>
    <xdr:to>
      <xdr:col>20</xdr:col>
      <xdr:colOff>375920</xdr:colOff>
      <xdr:row>212</xdr:row>
      <xdr:rowOff>157480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447040</xdr:colOff>
      <xdr:row>189</xdr:row>
      <xdr:rowOff>71120</xdr:rowOff>
    </xdr:from>
    <xdr:to>
      <xdr:col>25</xdr:col>
      <xdr:colOff>650240</xdr:colOff>
      <xdr:row>212</xdr:row>
      <xdr:rowOff>157480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5"/>
  <sheetViews>
    <sheetView tabSelected="1" topLeftCell="A79" zoomScale="125" zoomScaleNormal="125" zoomScalePageLayoutView="125" workbookViewId="0">
      <selection activeCell="H101" sqref="H101"/>
    </sheetView>
  </sheetViews>
  <sheetFormatPr baseColWidth="10" defaultColWidth="11.5" defaultRowHeight="14" customHeight="1" x14ac:dyDescent="0"/>
  <cols>
    <col min="1" max="1" width="17.83203125" style="3" customWidth="1"/>
    <col min="2" max="13" width="12.83203125" style="3" customWidth="1"/>
    <col min="14" max="16384" width="11.5" style="3"/>
  </cols>
  <sheetData>
    <row r="1" spans="1:10" ht="14" customHeight="1">
      <c r="A1" s="2"/>
      <c r="B1" s="2"/>
      <c r="C1" s="2"/>
      <c r="D1" s="2"/>
      <c r="E1" s="2"/>
      <c r="F1" s="2"/>
      <c r="G1" s="2"/>
      <c r="H1" s="2"/>
      <c r="I1" s="2"/>
      <c r="J1" s="87" t="s">
        <v>113</v>
      </c>
    </row>
    <row r="3" spans="1:10" ht="13">
      <c r="A3" s="1" t="s">
        <v>0</v>
      </c>
      <c r="B3" s="2"/>
      <c r="C3" s="2"/>
      <c r="D3" s="2"/>
      <c r="E3" s="2"/>
      <c r="F3" s="2"/>
      <c r="G3" s="2"/>
      <c r="H3" s="2"/>
    </row>
    <row r="4" spans="1:10" ht="13">
      <c r="A4" s="4"/>
    </row>
    <row r="6" spans="1:10" ht="13">
      <c r="A6" s="5" t="s">
        <v>1</v>
      </c>
    </row>
    <row r="7" spans="1:10" ht="13">
      <c r="A7" s="6" t="s">
        <v>2</v>
      </c>
      <c r="B7" s="2"/>
      <c r="C7" s="2"/>
      <c r="D7" s="2"/>
      <c r="E7" s="2"/>
      <c r="F7" s="2"/>
      <c r="G7" s="2"/>
      <c r="H7" s="2"/>
    </row>
    <row r="8" spans="1:10">
      <c r="C8" s="92" t="s">
        <v>3</v>
      </c>
      <c r="D8" s="92"/>
      <c r="E8" s="92" t="s">
        <v>4</v>
      </c>
      <c r="F8" s="92"/>
      <c r="G8" s="92" t="s">
        <v>5</v>
      </c>
      <c r="H8" s="92"/>
    </row>
    <row r="9" spans="1:10" ht="13">
      <c r="A9" s="2" t="s">
        <v>6</v>
      </c>
      <c r="B9" s="2" t="s">
        <v>7</v>
      </c>
      <c r="C9" s="2" t="s">
        <v>8</v>
      </c>
      <c r="D9" s="2" t="s">
        <v>9</v>
      </c>
      <c r="E9" s="2" t="s">
        <v>8</v>
      </c>
      <c r="F9" s="2" t="s">
        <v>9</v>
      </c>
      <c r="G9" s="2" t="s">
        <v>8</v>
      </c>
      <c r="H9" s="2" t="s">
        <v>9</v>
      </c>
    </row>
    <row r="10" spans="1:10" ht="13">
      <c r="A10" s="3">
        <v>2.444</v>
      </c>
      <c r="B10" s="3">
        <v>1</v>
      </c>
      <c r="C10" s="7">
        <v>0</v>
      </c>
      <c r="D10" s="7">
        <v>0</v>
      </c>
      <c r="E10" s="8">
        <v>4201</v>
      </c>
      <c r="F10" s="8">
        <v>42</v>
      </c>
      <c r="G10" s="9">
        <v>139766</v>
      </c>
      <c r="H10" s="9">
        <v>1398</v>
      </c>
      <c r="I10" s="89"/>
      <c r="J10" s="89"/>
    </row>
    <row r="11" spans="1:10" ht="13">
      <c r="A11" s="3">
        <v>3.052</v>
      </c>
      <c r="B11" s="3">
        <v>2</v>
      </c>
      <c r="C11" s="7">
        <v>50</v>
      </c>
      <c r="D11" s="7">
        <v>1</v>
      </c>
      <c r="E11" s="8">
        <v>3300</v>
      </c>
      <c r="F11" s="8">
        <v>33</v>
      </c>
      <c r="G11" s="9">
        <v>131849</v>
      </c>
      <c r="H11" s="9">
        <v>1318</v>
      </c>
      <c r="I11" s="89"/>
      <c r="J11" s="89"/>
    </row>
    <row r="12" spans="1:10" ht="13">
      <c r="A12" s="3">
        <v>3.661</v>
      </c>
      <c r="B12" s="3">
        <v>3</v>
      </c>
      <c r="C12" s="7">
        <v>0</v>
      </c>
      <c r="D12" s="7">
        <v>0</v>
      </c>
      <c r="E12" s="8">
        <v>3601</v>
      </c>
      <c r="F12" s="8">
        <v>36</v>
      </c>
      <c r="G12" s="9">
        <v>135807</v>
      </c>
      <c r="H12" s="9">
        <v>1358</v>
      </c>
      <c r="I12" s="89"/>
      <c r="J12" s="89"/>
    </row>
    <row r="13" spans="1:10" ht="13">
      <c r="A13" s="3">
        <v>4.2699999999999996</v>
      </c>
      <c r="B13" s="3">
        <v>4</v>
      </c>
      <c r="C13" s="7">
        <v>0</v>
      </c>
      <c r="D13" s="7">
        <v>0</v>
      </c>
      <c r="E13" s="8">
        <v>4501</v>
      </c>
      <c r="F13" s="8">
        <v>45</v>
      </c>
      <c r="G13" s="9">
        <v>135096</v>
      </c>
      <c r="H13" s="9">
        <v>1351</v>
      </c>
      <c r="I13" s="89"/>
      <c r="J13" s="89"/>
    </row>
    <row r="14" spans="1:10" ht="13">
      <c r="A14" s="3">
        <v>4.8789999999999996</v>
      </c>
      <c r="B14" s="3">
        <v>5</v>
      </c>
      <c r="C14" s="7">
        <v>0</v>
      </c>
      <c r="D14" s="7">
        <v>0</v>
      </c>
      <c r="E14" s="8">
        <v>3901</v>
      </c>
      <c r="F14" s="8">
        <v>39</v>
      </c>
      <c r="G14" s="9">
        <v>132661</v>
      </c>
      <c r="H14" s="9">
        <v>1327</v>
      </c>
      <c r="I14" s="89"/>
      <c r="J14" s="89"/>
    </row>
    <row r="15" spans="1:10" ht="13">
      <c r="A15" s="3">
        <v>5.4880000000000004</v>
      </c>
      <c r="B15" s="3">
        <v>6</v>
      </c>
      <c r="C15" s="7">
        <v>0</v>
      </c>
      <c r="D15" s="7">
        <v>0</v>
      </c>
      <c r="E15" s="8">
        <v>4801</v>
      </c>
      <c r="F15" s="8">
        <v>48</v>
      </c>
      <c r="G15" s="9">
        <v>130835</v>
      </c>
      <c r="H15" s="9">
        <v>1308</v>
      </c>
      <c r="I15" s="89"/>
      <c r="J15" s="89"/>
    </row>
    <row r="16" spans="1:10" ht="13">
      <c r="A16" s="3">
        <v>6.0970000000000004</v>
      </c>
      <c r="B16" s="3">
        <v>7</v>
      </c>
      <c r="C16" s="7">
        <v>0</v>
      </c>
      <c r="D16" s="7">
        <v>0</v>
      </c>
      <c r="E16" s="8">
        <v>4401</v>
      </c>
      <c r="F16" s="8">
        <v>44</v>
      </c>
      <c r="G16" s="9">
        <v>137025</v>
      </c>
      <c r="H16" s="9">
        <v>1370</v>
      </c>
      <c r="I16" s="89"/>
      <c r="J16" s="89"/>
    </row>
    <row r="17" spans="1:10" ht="13">
      <c r="A17" s="3">
        <v>6.7060000000000004</v>
      </c>
      <c r="B17" s="3">
        <v>8</v>
      </c>
      <c r="C17" s="7">
        <v>0</v>
      </c>
      <c r="D17" s="7">
        <v>0</v>
      </c>
      <c r="E17" s="8">
        <v>3100</v>
      </c>
      <c r="F17" s="8">
        <v>31</v>
      </c>
      <c r="G17" s="9">
        <v>127893</v>
      </c>
      <c r="H17" s="9">
        <v>1279</v>
      </c>
      <c r="I17" s="89"/>
      <c r="J17" s="89"/>
    </row>
    <row r="18" spans="1:10" ht="13">
      <c r="A18" s="3">
        <v>7.3150000000000004</v>
      </c>
      <c r="B18" s="3">
        <v>9</v>
      </c>
      <c r="C18" s="7">
        <v>0</v>
      </c>
      <c r="D18" s="7">
        <v>0</v>
      </c>
      <c r="E18" s="8">
        <v>3601</v>
      </c>
      <c r="F18" s="8">
        <v>36</v>
      </c>
      <c r="G18" s="9">
        <v>138040</v>
      </c>
      <c r="H18" s="9">
        <v>1380</v>
      </c>
      <c r="I18" s="89"/>
      <c r="J18" s="89"/>
    </row>
    <row r="19" spans="1:10" ht="13">
      <c r="A19" s="3">
        <v>7.9240000000000004</v>
      </c>
      <c r="B19" s="3">
        <v>10</v>
      </c>
      <c r="C19" s="7">
        <v>0</v>
      </c>
      <c r="D19" s="7">
        <v>0</v>
      </c>
      <c r="E19" s="8">
        <v>3701</v>
      </c>
      <c r="F19" s="8">
        <v>37</v>
      </c>
      <c r="G19" s="9">
        <v>152468</v>
      </c>
      <c r="H19" s="9">
        <v>1525</v>
      </c>
      <c r="I19" s="89"/>
      <c r="J19" s="89"/>
    </row>
    <row r="20" spans="1:10" ht="13">
      <c r="A20" s="3">
        <v>8.5329999999999995</v>
      </c>
      <c r="B20" s="3">
        <v>11</v>
      </c>
      <c r="C20" s="7">
        <v>0</v>
      </c>
      <c r="D20" s="7">
        <v>0</v>
      </c>
      <c r="E20" s="8">
        <v>3401</v>
      </c>
      <c r="F20" s="8">
        <v>34</v>
      </c>
      <c r="G20" s="9">
        <v>138954</v>
      </c>
      <c r="H20" s="9">
        <v>1390</v>
      </c>
      <c r="I20" s="89"/>
      <c r="J20" s="89"/>
    </row>
    <row r="21" spans="1:10" ht="13">
      <c r="A21" s="3">
        <v>9.1419999999999995</v>
      </c>
      <c r="B21" s="3">
        <v>12</v>
      </c>
      <c r="C21" s="7">
        <v>0</v>
      </c>
      <c r="D21" s="7">
        <v>0</v>
      </c>
      <c r="E21" s="8">
        <v>4501</v>
      </c>
      <c r="F21" s="8">
        <v>45</v>
      </c>
      <c r="G21" s="9">
        <v>142000</v>
      </c>
      <c r="H21" s="9">
        <v>1420</v>
      </c>
      <c r="I21" s="89"/>
      <c r="J21" s="89"/>
    </row>
    <row r="22" spans="1:10" ht="13">
      <c r="A22" s="3">
        <v>9.7509999999999994</v>
      </c>
      <c r="B22" s="3">
        <v>13</v>
      </c>
      <c r="C22" s="7">
        <v>50</v>
      </c>
      <c r="D22" s="7">
        <v>1</v>
      </c>
      <c r="E22" s="8">
        <v>4001</v>
      </c>
      <c r="F22" s="8">
        <v>40</v>
      </c>
      <c r="G22" s="9">
        <v>152875</v>
      </c>
      <c r="H22" s="9">
        <v>1529</v>
      </c>
      <c r="I22" s="89"/>
      <c r="J22" s="89"/>
    </row>
    <row r="23" spans="1:10" ht="13">
      <c r="A23" s="3">
        <v>10.36</v>
      </c>
      <c r="B23" s="3">
        <v>14</v>
      </c>
      <c r="C23" s="7">
        <v>0</v>
      </c>
      <c r="D23" s="7">
        <v>0</v>
      </c>
      <c r="E23" s="8">
        <v>5001</v>
      </c>
      <c r="F23" s="8">
        <v>50</v>
      </c>
      <c r="G23" s="9">
        <v>128198</v>
      </c>
      <c r="H23" s="9">
        <v>1282</v>
      </c>
      <c r="I23" s="89"/>
      <c r="J23" s="89"/>
    </row>
    <row r="24" spans="1:10" ht="13">
      <c r="A24" s="3">
        <v>10.968999999999999</v>
      </c>
      <c r="B24" s="3">
        <v>15</v>
      </c>
      <c r="C24" s="7">
        <v>0</v>
      </c>
      <c r="D24" s="7">
        <v>0</v>
      </c>
      <c r="E24" s="8">
        <v>4101</v>
      </c>
      <c r="F24" s="8">
        <v>41</v>
      </c>
      <c r="G24" s="9">
        <v>135096</v>
      </c>
      <c r="H24" s="9">
        <v>1351</v>
      </c>
      <c r="I24" s="89"/>
      <c r="J24" s="89"/>
    </row>
    <row r="25" spans="1:10" ht="13">
      <c r="A25" s="3">
        <v>11.577999999999999</v>
      </c>
      <c r="B25" s="3">
        <v>16</v>
      </c>
      <c r="C25" s="7">
        <v>0</v>
      </c>
      <c r="D25" s="7">
        <v>0</v>
      </c>
      <c r="E25" s="8">
        <v>2600</v>
      </c>
      <c r="F25" s="8">
        <v>26</v>
      </c>
      <c r="G25" s="9">
        <v>129110</v>
      </c>
      <c r="H25" s="9">
        <v>1291</v>
      </c>
      <c r="I25" s="89"/>
      <c r="J25" s="89"/>
    </row>
    <row r="26" spans="1:10" ht="13">
      <c r="A26" s="3">
        <v>12.186999999999999</v>
      </c>
      <c r="B26" s="3">
        <v>17</v>
      </c>
      <c r="C26" s="7">
        <v>0</v>
      </c>
      <c r="D26" s="7">
        <v>0</v>
      </c>
      <c r="E26" s="8">
        <v>3501</v>
      </c>
      <c r="F26" s="8">
        <v>35</v>
      </c>
      <c r="G26" s="9">
        <v>140274</v>
      </c>
      <c r="H26" s="9">
        <v>1403</v>
      </c>
      <c r="I26" s="89"/>
      <c r="J26" s="89"/>
    </row>
    <row r="27" spans="1:10" ht="13">
      <c r="A27" s="3">
        <v>12.795999999999999</v>
      </c>
      <c r="B27" s="3">
        <v>18</v>
      </c>
      <c r="C27" s="7">
        <v>0</v>
      </c>
      <c r="D27" s="7">
        <v>0</v>
      </c>
      <c r="E27" s="8">
        <v>3701</v>
      </c>
      <c r="F27" s="8">
        <v>37</v>
      </c>
      <c r="G27" s="9">
        <v>133473</v>
      </c>
      <c r="H27" s="9">
        <v>1335</v>
      </c>
      <c r="I27" s="89"/>
      <c r="J27" s="89"/>
    </row>
    <row r="28" spans="1:10" ht="13">
      <c r="A28" s="3">
        <v>13.404999999999999</v>
      </c>
      <c r="B28" s="3">
        <v>19</v>
      </c>
      <c r="C28" s="7">
        <v>0</v>
      </c>
      <c r="D28" s="7">
        <v>0</v>
      </c>
      <c r="E28" s="8">
        <v>4801</v>
      </c>
      <c r="F28" s="8">
        <v>48</v>
      </c>
      <c r="G28" s="9">
        <v>137939</v>
      </c>
      <c r="H28" s="9">
        <v>1379</v>
      </c>
      <c r="I28" s="89"/>
      <c r="J28" s="89"/>
    </row>
    <row r="29" spans="1:10" ht="13">
      <c r="A29" s="3">
        <v>14.013999999999999</v>
      </c>
      <c r="B29" s="3">
        <v>20</v>
      </c>
      <c r="C29" s="7">
        <v>0</v>
      </c>
      <c r="D29" s="7">
        <v>0</v>
      </c>
      <c r="E29" s="8">
        <v>3701</v>
      </c>
      <c r="F29" s="8">
        <v>37</v>
      </c>
      <c r="G29" s="9">
        <v>124851</v>
      </c>
      <c r="H29" s="9">
        <v>1249</v>
      </c>
      <c r="I29" s="89"/>
      <c r="J29" s="89"/>
    </row>
    <row r="30" spans="1:10" ht="13">
      <c r="A30" s="3">
        <v>14.622999999999999</v>
      </c>
      <c r="B30" s="3">
        <v>21</v>
      </c>
      <c r="C30" s="7">
        <v>0</v>
      </c>
      <c r="D30" s="7">
        <v>0</v>
      </c>
      <c r="E30" s="8">
        <v>3801</v>
      </c>
      <c r="F30" s="8">
        <v>38</v>
      </c>
      <c r="G30" s="9">
        <v>134995</v>
      </c>
      <c r="H30" s="9">
        <v>1350</v>
      </c>
      <c r="I30" s="89"/>
      <c r="J30" s="89"/>
    </row>
    <row r="31" spans="1:10" ht="13">
      <c r="A31" s="3">
        <v>15.231999999999999</v>
      </c>
      <c r="B31" s="3">
        <v>22</v>
      </c>
      <c r="C31" s="7">
        <v>0</v>
      </c>
      <c r="D31" s="7">
        <v>0</v>
      </c>
      <c r="E31" s="8">
        <v>3601</v>
      </c>
      <c r="F31" s="8">
        <v>36</v>
      </c>
      <c r="G31" s="9">
        <v>140172</v>
      </c>
      <c r="H31" s="9">
        <v>1402</v>
      </c>
      <c r="I31" s="89"/>
      <c r="J31" s="89"/>
    </row>
    <row r="32" spans="1:10" ht="13">
      <c r="A32" s="3">
        <v>15.840999999999999</v>
      </c>
      <c r="B32" s="3">
        <v>23</v>
      </c>
      <c r="C32" s="7">
        <v>0</v>
      </c>
      <c r="D32" s="7">
        <v>0</v>
      </c>
      <c r="E32" s="8">
        <v>3701</v>
      </c>
      <c r="F32" s="8">
        <v>37</v>
      </c>
      <c r="G32" s="9">
        <v>133777</v>
      </c>
      <c r="H32" s="9">
        <v>1338</v>
      </c>
      <c r="I32" s="89"/>
      <c r="J32" s="89"/>
    </row>
    <row r="33" spans="1:10" ht="13">
      <c r="A33" s="3">
        <v>16.45</v>
      </c>
      <c r="B33" s="3">
        <v>24</v>
      </c>
      <c r="C33" s="7">
        <v>0</v>
      </c>
      <c r="D33" s="7">
        <v>0</v>
      </c>
      <c r="E33" s="8">
        <v>4101</v>
      </c>
      <c r="F33" s="8">
        <v>41</v>
      </c>
      <c r="G33" s="9">
        <v>138751</v>
      </c>
      <c r="H33" s="9">
        <v>1388</v>
      </c>
      <c r="I33" s="89"/>
      <c r="J33" s="89"/>
    </row>
    <row r="34" spans="1:10" ht="13">
      <c r="A34" s="3">
        <v>17.059000000000001</v>
      </c>
      <c r="B34" s="3">
        <v>25</v>
      </c>
      <c r="C34" s="7">
        <v>0</v>
      </c>
      <c r="D34" s="7">
        <v>0</v>
      </c>
      <c r="E34" s="8">
        <v>3901</v>
      </c>
      <c r="F34" s="8">
        <v>39</v>
      </c>
      <c r="G34" s="9">
        <v>136619</v>
      </c>
      <c r="H34" s="9">
        <v>1366</v>
      </c>
      <c r="I34" s="89"/>
      <c r="J34" s="89"/>
    </row>
    <row r="35" spans="1:10" ht="13">
      <c r="A35" s="3">
        <v>17.667999999999999</v>
      </c>
      <c r="B35" s="3">
        <v>26</v>
      </c>
      <c r="C35" s="7">
        <v>0</v>
      </c>
      <c r="D35" s="7">
        <v>0</v>
      </c>
      <c r="E35" s="8">
        <v>4201</v>
      </c>
      <c r="F35" s="8">
        <v>42</v>
      </c>
      <c r="G35" s="9">
        <v>133980</v>
      </c>
      <c r="H35" s="9">
        <v>1340</v>
      </c>
      <c r="I35" s="89"/>
      <c r="J35" s="89"/>
    </row>
    <row r="36" spans="1:10" ht="13">
      <c r="A36" s="3">
        <v>18.277000000000001</v>
      </c>
      <c r="B36" s="3">
        <v>27</v>
      </c>
      <c r="C36" s="7">
        <v>0</v>
      </c>
      <c r="D36" s="7">
        <v>0</v>
      </c>
      <c r="E36" s="8">
        <v>3100</v>
      </c>
      <c r="F36" s="8">
        <v>31</v>
      </c>
      <c r="G36" s="9">
        <v>132052</v>
      </c>
      <c r="H36" s="9">
        <v>1321</v>
      </c>
      <c r="I36" s="89"/>
      <c r="J36" s="89"/>
    </row>
    <row r="37" spans="1:10" ht="13">
      <c r="A37" s="3">
        <v>18.885999999999999</v>
      </c>
      <c r="B37" s="3">
        <v>28</v>
      </c>
      <c r="C37" s="7">
        <v>0</v>
      </c>
      <c r="D37" s="7">
        <v>0</v>
      </c>
      <c r="E37" s="8">
        <v>3801</v>
      </c>
      <c r="F37" s="8">
        <v>38</v>
      </c>
      <c r="G37" s="9">
        <v>139259</v>
      </c>
      <c r="H37" s="9">
        <v>1393</v>
      </c>
      <c r="I37" s="89"/>
      <c r="J37" s="89"/>
    </row>
    <row r="38" spans="1:10" ht="13">
      <c r="A38" s="3">
        <v>19.495000000000001</v>
      </c>
      <c r="B38" s="3">
        <v>29</v>
      </c>
      <c r="C38" s="7">
        <v>0</v>
      </c>
      <c r="D38" s="7">
        <v>0</v>
      </c>
      <c r="E38" s="8">
        <v>3401</v>
      </c>
      <c r="F38" s="8">
        <v>34</v>
      </c>
      <c r="G38" s="9">
        <v>131342</v>
      </c>
      <c r="H38" s="9">
        <v>1313</v>
      </c>
      <c r="I38" s="89"/>
      <c r="J38" s="89"/>
    </row>
    <row r="39" spans="1:10" ht="13">
      <c r="A39" s="3">
        <v>20.103999999999999</v>
      </c>
      <c r="B39" s="3">
        <v>30</v>
      </c>
      <c r="C39" s="7">
        <v>0</v>
      </c>
      <c r="D39" s="7">
        <v>0</v>
      </c>
      <c r="E39" s="8">
        <v>3801</v>
      </c>
      <c r="F39" s="8">
        <v>38</v>
      </c>
      <c r="G39" s="9">
        <v>144946</v>
      </c>
      <c r="H39" s="9">
        <v>1449</v>
      </c>
      <c r="I39" s="89"/>
      <c r="J39" s="89"/>
    </row>
    <row r="40" spans="1:10" ht="13">
      <c r="A40" s="3">
        <v>20.713000000000001</v>
      </c>
      <c r="B40" s="3">
        <v>31</v>
      </c>
      <c r="C40" s="7">
        <v>0</v>
      </c>
      <c r="D40" s="7">
        <v>0</v>
      </c>
      <c r="E40" s="8">
        <v>3501</v>
      </c>
      <c r="F40" s="8">
        <v>35</v>
      </c>
      <c r="G40" s="9">
        <v>128603</v>
      </c>
      <c r="H40" s="9">
        <v>1286</v>
      </c>
      <c r="I40" s="89"/>
      <c r="J40" s="89"/>
    </row>
    <row r="41" spans="1:10" ht="13">
      <c r="A41" s="3">
        <v>21.321999999999999</v>
      </c>
      <c r="B41" s="3">
        <v>32</v>
      </c>
      <c r="C41" s="7">
        <v>0</v>
      </c>
      <c r="D41" s="7">
        <v>0</v>
      </c>
      <c r="E41" s="8">
        <v>3801</v>
      </c>
      <c r="F41" s="8">
        <v>38</v>
      </c>
      <c r="G41" s="9">
        <v>131849</v>
      </c>
      <c r="H41" s="9">
        <v>1318</v>
      </c>
      <c r="I41" s="89"/>
      <c r="J41" s="89"/>
    </row>
    <row r="42" spans="1:10" ht="13">
      <c r="A42" s="3">
        <v>21.931000000000001</v>
      </c>
      <c r="B42" s="3">
        <v>33</v>
      </c>
      <c r="C42" s="7">
        <v>0</v>
      </c>
      <c r="D42" s="7">
        <v>0</v>
      </c>
      <c r="E42" s="8">
        <v>2800</v>
      </c>
      <c r="F42" s="8">
        <v>28</v>
      </c>
      <c r="G42" s="9">
        <v>125054</v>
      </c>
      <c r="H42" s="9">
        <v>1251</v>
      </c>
      <c r="I42" s="89"/>
      <c r="J42" s="89"/>
    </row>
    <row r="43" spans="1:10" ht="13">
      <c r="A43" s="3">
        <v>22.54</v>
      </c>
      <c r="B43" s="3">
        <v>34</v>
      </c>
      <c r="C43" s="7">
        <v>0</v>
      </c>
      <c r="D43" s="7">
        <v>0</v>
      </c>
      <c r="E43" s="8">
        <v>3601</v>
      </c>
      <c r="F43" s="8">
        <v>36</v>
      </c>
      <c r="G43" s="9">
        <v>135807</v>
      </c>
      <c r="H43" s="9">
        <v>1358</v>
      </c>
      <c r="I43" s="89"/>
      <c r="J43" s="89"/>
    </row>
    <row r="44" spans="1:10" ht="13">
      <c r="A44" s="3">
        <v>23.149000000000001</v>
      </c>
      <c r="B44" s="3">
        <v>35</v>
      </c>
      <c r="C44" s="7">
        <v>0</v>
      </c>
      <c r="D44" s="7">
        <v>0</v>
      </c>
      <c r="E44" s="8">
        <v>3901</v>
      </c>
      <c r="F44" s="8">
        <v>39</v>
      </c>
      <c r="G44" s="9">
        <v>131748</v>
      </c>
      <c r="H44" s="9">
        <v>1317</v>
      </c>
      <c r="I44" s="89"/>
      <c r="J44" s="89"/>
    </row>
    <row r="45" spans="1:10" ht="13">
      <c r="A45" s="3">
        <v>23.757999999999999</v>
      </c>
      <c r="B45" s="3">
        <v>36</v>
      </c>
      <c r="C45" s="7">
        <v>0</v>
      </c>
      <c r="D45" s="7">
        <v>0</v>
      </c>
      <c r="E45" s="8">
        <v>3701</v>
      </c>
      <c r="F45" s="8">
        <v>37</v>
      </c>
      <c r="G45" s="9">
        <v>131342</v>
      </c>
      <c r="H45" s="9">
        <v>1313</v>
      </c>
      <c r="I45" s="89"/>
      <c r="J45" s="89"/>
    </row>
    <row r="46" spans="1:10" ht="13">
      <c r="A46" s="3">
        <v>24.367000000000001</v>
      </c>
      <c r="B46" s="3">
        <v>37</v>
      </c>
      <c r="C46" s="7">
        <v>0</v>
      </c>
      <c r="D46" s="7">
        <v>0</v>
      </c>
      <c r="E46" s="8">
        <v>2800</v>
      </c>
      <c r="F46" s="8">
        <v>28</v>
      </c>
      <c r="G46" s="9">
        <v>130530</v>
      </c>
      <c r="H46" s="9">
        <v>1305</v>
      </c>
      <c r="I46" s="89"/>
      <c r="J46" s="89"/>
    </row>
    <row r="47" spans="1:10" ht="13">
      <c r="A47" s="3">
        <v>24.975999999999999</v>
      </c>
      <c r="B47" s="3">
        <v>38</v>
      </c>
      <c r="C47" s="7">
        <v>0</v>
      </c>
      <c r="D47" s="7">
        <v>0</v>
      </c>
      <c r="E47" s="8">
        <v>5301</v>
      </c>
      <c r="F47" s="8">
        <v>53</v>
      </c>
      <c r="G47" s="9">
        <v>129415</v>
      </c>
      <c r="H47" s="9">
        <v>1294</v>
      </c>
      <c r="I47" s="89"/>
      <c r="J47" s="89"/>
    </row>
    <row r="48" spans="1:10" ht="13">
      <c r="A48" s="3">
        <v>25.585000000000001</v>
      </c>
      <c r="B48" s="3">
        <v>39</v>
      </c>
      <c r="C48" s="7">
        <v>0</v>
      </c>
      <c r="D48" s="7">
        <v>0</v>
      </c>
      <c r="E48" s="8">
        <v>3401</v>
      </c>
      <c r="F48" s="8">
        <v>34</v>
      </c>
      <c r="G48" s="9">
        <v>137431</v>
      </c>
      <c r="H48" s="9">
        <v>1374</v>
      </c>
      <c r="I48" s="89"/>
      <c r="J48" s="89"/>
    </row>
    <row r="49" spans="1:10" ht="13">
      <c r="A49" s="3">
        <v>26.193999999999999</v>
      </c>
      <c r="B49" s="3">
        <v>40</v>
      </c>
      <c r="C49" s="7">
        <v>0</v>
      </c>
      <c r="D49" s="7">
        <v>0</v>
      </c>
      <c r="E49" s="8">
        <v>2900</v>
      </c>
      <c r="F49" s="8">
        <v>29</v>
      </c>
      <c r="G49" s="9">
        <v>126068</v>
      </c>
      <c r="H49" s="9">
        <v>1261</v>
      </c>
      <c r="I49" s="89"/>
      <c r="J49" s="89"/>
    </row>
    <row r="50" spans="1:10" ht="13">
      <c r="A50" s="3">
        <v>26.803000000000001</v>
      </c>
      <c r="B50" s="3">
        <v>41</v>
      </c>
      <c r="C50" s="7">
        <v>0</v>
      </c>
      <c r="D50" s="7">
        <v>0</v>
      </c>
      <c r="E50" s="8">
        <v>3901</v>
      </c>
      <c r="F50" s="8">
        <v>39</v>
      </c>
      <c r="G50" s="9">
        <v>139563</v>
      </c>
      <c r="H50" s="9">
        <v>1396</v>
      </c>
      <c r="I50" s="89"/>
      <c r="J50" s="89"/>
    </row>
    <row r="51" spans="1:10" ht="13">
      <c r="A51" s="3">
        <v>27.411999999999999</v>
      </c>
      <c r="B51" s="3">
        <v>42</v>
      </c>
      <c r="C51" s="7">
        <v>0</v>
      </c>
      <c r="D51" s="7">
        <v>0</v>
      </c>
      <c r="E51" s="8">
        <v>3401</v>
      </c>
      <c r="F51" s="8">
        <v>34</v>
      </c>
      <c r="G51" s="9">
        <v>134386</v>
      </c>
      <c r="H51" s="9">
        <v>1344</v>
      </c>
      <c r="I51" s="89"/>
      <c r="J51" s="89"/>
    </row>
    <row r="52" spans="1:10" ht="13">
      <c r="A52" s="3">
        <v>28.021000000000001</v>
      </c>
      <c r="B52" s="3">
        <v>43</v>
      </c>
      <c r="C52" s="7">
        <v>0</v>
      </c>
      <c r="D52" s="7">
        <v>0</v>
      </c>
      <c r="E52" s="8">
        <v>3200</v>
      </c>
      <c r="F52" s="8">
        <v>32</v>
      </c>
      <c r="G52" s="9">
        <v>131545</v>
      </c>
      <c r="H52" s="9">
        <v>1315</v>
      </c>
      <c r="I52" s="89"/>
      <c r="J52" s="89"/>
    </row>
    <row r="53" spans="1:10" ht="13">
      <c r="A53" s="3">
        <v>28.63</v>
      </c>
      <c r="B53" s="3">
        <v>44</v>
      </c>
      <c r="C53" s="7">
        <v>0</v>
      </c>
      <c r="D53" s="7">
        <v>0</v>
      </c>
      <c r="E53" s="8">
        <v>3300</v>
      </c>
      <c r="F53" s="8">
        <v>33</v>
      </c>
      <c r="G53" s="9">
        <v>131139</v>
      </c>
      <c r="H53" s="9">
        <v>1311</v>
      </c>
      <c r="I53" s="89"/>
      <c r="J53" s="89"/>
    </row>
    <row r="54" spans="1:10" ht="13">
      <c r="A54" s="3">
        <v>29.239000000000001</v>
      </c>
      <c r="B54" s="3">
        <v>45</v>
      </c>
      <c r="C54" s="7">
        <v>0</v>
      </c>
      <c r="D54" s="7">
        <v>0</v>
      </c>
      <c r="E54" s="8">
        <v>4001</v>
      </c>
      <c r="F54" s="8">
        <v>40</v>
      </c>
      <c r="G54" s="9">
        <v>124750</v>
      </c>
      <c r="H54" s="9">
        <v>1248</v>
      </c>
      <c r="I54" s="89"/>
      <c r="J54" s="89"/>
    </row>
    <row r="55" spans="1:10" ht="13">
      <c r="A55" s="3">
        <v>29.847999999999999</v>
      </c>
      <c r="B55" s="3">
        <v>46</v>
      </c>
      <c r="C55" s="7">
        <v>0</v>
      </c>
      <c r="D55" s="7">
        <v>0</v>
      </c>
      <c r="E55" s="8">
        <v>3300</v>
      </c>
      <c r="F55" s="8">
        <v>33</v>
      </c>
      <c r="G55" s="9">
        <v>129922</v>
      </c>
      <c r="H55" s="9">
        <v>1299</v>
      </c>
      <c r="I55" s="89"/>
      <c r="J55" s="89"/>
    </row>
    <row r="56" spans="1:10" ht="13">
      <c r="A56" s="3">
        <v>30.456</v>
      </c>
      <c r="B56" s="3">
        <v>47</v>
      </c>
      <c r="C56" s="7">
        <v>0</v>
      </c>
      <c r="D56" s="7">
        <v>0</v>
      </c>
      <c r="E56" s="8">
        <v>4801</v>
      </c>
      <c r="F56" s="8">
        <v>48</v>
      </c>
      <c r="G56" s="9">
        <v>127995</v>
      </c>
      <c r="H56" s="9">
        <v>1280</v>
      </c>
      <c r="I56" s="89"/>
      <c r="J56" s="89"/>
    </row>
    <row r="57" spans="1:10" ht="13">
      <c r="A57" s="3">
        <v>31.065999999999999</v>
      </c>
      <c r="B57" s="3">
        <v>48</v>
      </c>
      <c r="C57" s="7">
        <v>0</v>
      </c>
      <c r="D57" s="7">
        <v>0</v>
      </c>
      <c r="E57" s="8">
        <v>2800</v>
      </c>
      <c r="F57" s="8">
        <v>28</v>
      </c>
      <c r="G57" s="9">
        <v>139360</v>
      </c>
      <c r="H57" s="9">
        <v>1394</v>
      </c>
      <c r="I57" s="89"/>
      <c r="J57" s="89"/>
    </row>
    <row r="58" spans="1:10" ht="13">
      <c r="A58" s="3">
        <v>31.673999999999999</v>
      </c>
      <c r="B58" s="3">
        <v>49</v>
      </c>
      <c r="C58" s="7">
        <v>0</v>
      </c>
      <c r="D58" s="7">
        <v>0</v>
      </c>
      <c r="E58" s="8">
        <v>5001</v>
      </c>
      <c r="F58" s="8">
        <v>50</v>
      </c>
      <c r="G58" s="9">
        <v>134690</v>
      </c>
      <c r="H58" s="9">
        <v>1347</v>
      </c>
      <c r="I58" s="89"/>
      <c r="J58" s="89"/>
    </row>
    <row r="59" spans="1:10" ht="13">
      <c r="A59" s="3">
        <v>32.283999999999999</v>
      </c>
      <c r="B59" s="3">
        <v>50</v>
      </c>
      <c r="C59" s="7">
        <v>0</v>
      </c>
      <c r="D59" s="7">
        <v>0</v>
      </c>
      <c r="E59" s="8">
        <v>4001</v>
      </c>
      <c r="F59" s="8">
        <v>40</v>
      </c>
      <c r="G59" s="9">
        <v>131443</v>
      </c>
      <c r="H59" s="9">
        <v>1314</v>
      </c>
      <c r="I59" s="89"/>
      <c r="J59" s="89"/>
    </row>
    <row r="60" spans="1:10" ht="13">
      <c r="A60" s="3">
        <v>32.893000000000001</v>
      </c>
      <c r="B60" s="3">
        <v>51</v>
      </c>
      <c r="C60" s="7">
        <v>0</v>
      </c>
      <c r="D60" s="7">
        <v>0</v>
      </c>
      <c r="E60" s="8">
        <v>3901</v>
      </c>
      <c r="F60" s="8">
        <v>39</v>
      </c>
      <c r="G60" s="9">
        <v>132864</v>
      </c>
      <c r="H60" s="9">
        <v>1329</v>
      </c>
      <c r="I60" s="89"/>
      <c r="J60" s="89"/>
    </row>
    <row r="61" spans="1:10" ht="13">
      <c r="A61" s="3">
        <v>33.500999999999998</v>
      </c>
      <c r="B61" s="3">
        <v>52</v>
      </c>
      <c r="C61" s="7">
        <v>0</v>
      </c>
      <c r="D61" s="7">
        <v>0</v>
      </c>
      <c r="E61" s="8">
        <v>3401</v>
      </c>
      <c r="F61" s="8">
        <v>34</v>
      </c>
      <c r="G61" s="9">
        <v>133067</v>
      </c>
      <c r="H61" s="9">
        <v>1331</v>
      </c>
      <c r="I61" s="89"/>
      <c r="J61" s="89"/>
    </row>
    <row r="62" spans="1:10" ht="13">
      <c r="A62" s="3">
        <v>34.110999999999997</v>
      </c>
      <c r="B62" s="3">
        <v>53</v>
      </c>
      <c r="C62" s="7">
        <v>0</v>
      </c>
      <c r="D62" s="7">
        <v>0</v>
      </c>
      <c r="E62" s="8">
        <v>2900</v>
      </c>
      <c r="F62" s="8">
        <v>29</v>
      </c>
      <c r="G62" s="9">
        <v>132255</v>
      </c>
      <c r="H62" s="9">
        <v>1323</v>
      </c>
      <c r="I62" s="89"/>
      <c r="J62" s="89"/>
    </row>
    <row r="63" spans="1:10" ht="13">
      <c r="A63" s="3">
        <v>34.719000000000001</v>
      </c>
      <c r="B63" s="3">
        <v>54</v>
      </c>
      <c r="C63" s="7">
        <v>0</v>
      </c>
      <c r="D63" s="7">
        <v>0</v>
      </c>
      <c r="E63" s="8">
        <v>3200</v>
      </c>
      <c r="F63" s="8">
        <v>32</v>
      </c>
      <c r="G63" s="9">
        <v>127691</v>
      </c>
      <c r="H63" s="9">
        <v>1277</v>
      </c>
      <c r="I63" s="89"/>
      <c r="J63" s="89"/>
    </row>
    <row r="64" spans="1:10" ht="13">
      <c r="A64" s="3">
        <v>35.329000000000001</v>
      </c>
      <c r="B64" s="3">
        <v>55</v>
      </c>
      <c r="C64" s="7">
        <v>0</v>
      </c>
      <c r="D64" s="7">
        <v>0</v>
      </c>
      <c r="E64" s="8">
        <v>4001</v>
      </c>
      <c r="F64" s="8">
        <v>40</v>
      </c>
      <c r="G64" s="9">
        <v>128908</v>
      </c>
      <c r="H64" s="9">
        <v>1289</v>
      </c>
      <c r="I64" s="89"/>
      <c r="J64" s="89"/>
    </row>
    <row r="65" spans="1:10" ht="13">
      <c r="A65" s="3">
        <v>35.936999999999998</v>
      </c>
      <c r="B65" s="3">
        <v>56</v>
      </c>
      <c r="C65" s="7">
        <v>0</v>
      </c>
      <c r="D65" s="7">
        <v>0</v>
      </c>
      <c r="E65" s="8">
        <v>4001</v>
      </c>
      <c r="F65" s="8">
        <v>40</v>
      </c>
      <c r="G65" s="9">
        <v>128502</v>
      </c>
      <c r="H65" s="9">
        <v>1285</v>
      </c>
      <c r="I65" s="89"/>
      <c r="J65" s="89"/>
    </row>
    <row r="66" spans="1:10" ht="13">
      <c r="A66" s="3">
        <v>36.545999999999999</v>
      </c>
      <c r="B66" s="3">
        <v>57</v>
      </c>
      <c r="C66" s="7">
        <v>0</v>
      </c>
      <c r="D66" s="7">
        <v>0</v>
      </c>
      <c r="E66" s="8">
        <v>3701</v>
      </c>
      <c r="F66" s="8">
        <v>37</v>
      </c>
      <c r="G66" s="9">
        <v>134183</v>
      </c>
      <c r="H66" s="9">
        <v>1342</v>
      </c>
      <c r="I66" s="89"/>
      <c r="J66" s="89"/>
    </row>
    <row r="67" spans="1:10" ht="13">
      <c r="A67" s="3">
        <v>37.155000000000001</v>
      </c>
      <c r="B67" s="3">
        <v>58</v>
      </c>
      <c r="C67" s="7">
        <v>0</v>
      </c>
      <c r="D67" s="7">
        <v>0</v>
      </c>
      <c r="E67" s="8">
        <v>4201</v>
      </c>
      <c r="F67" s="8">
        <v>42</v>
      </c>
      <c r="G67" s="9">
        <v>131748</v>
      </c>
      <c r="H67" s="9">
        <v>1317</v>
      </c>
      <c r="I67" s="89"/>
      <c r="J67" s="89"/>
    </row>
    <row r="68" spans="1:10" ht="13">
      <c r="A68" s="3">
        <v>37.764000000000003</v>
      </c>
      <c r="B68" s="3">
        <v>59</v>
      </c>
      <c r="C68" s="7">
        <v>0</v>
      </c>
      <c r="D68" s="7">
        <v>0</v>
      </c>
      <c r="E68" s="8">
        <v>5401</v>
      </c>
      <c r="F68" s="8">
        <v>54</v>
      </c>
      <c r="G68" s="9">
        <v>139259</v>
      </c>
      <c r="H68" s="9">
        <v>1393</v>
      </c>
      <c r="I68" s="89"/>
      <c r="J68" s="89"/>
    </row>
    <row r="69" spans="1:10" ht="13">
      <c r="A69" s="3">
        <v>38.372999999999998</v>
      </c>
      <c r="B69" s="3">
        <v>60</v>
      </c>
      <c r="C69" s="7">
        <v>0</v>
      </c>
      <c r="D69" s="7">
        <v>0</v>
      </c>
      <c r="E69" s="8">
        <v>3501</v>
      </c>
      <c r="F69" s="8">
        <v>35</v>
      </c>
      <c r="G69" s="9">
        <v>128400</v>
      </c>
      <c r="H69" s="9">
        <v>1284</v>
      </c>
      <c r="I69" s="89"/>
      <c r="J69" s="89"/>
    </row>
    <row r="70" spans="1:10" ht="13">
      <c r="A70" s="3">
        <v>38.981999999999999</v>
      </c>
      <c r="B70" s="3">
        <v>61</v>
      </c>
      <c r="C70" s="7">
        <v>0</v>
      </c>
      <c r="D70" s="7">
        <v>0</v>
      </c>
      <c r="E70" s="8">
        <v>3601</v>
      </c>
      <c r="F70" s="8">
        <v>36</v>
      </c>
      <c r="G70" s="9">
        <v>138243</v>
      </c>
      <c r="H70" s="9">
        <v>1382</v>
      </c>
      <c r="I70" s="89"/>
      <c r="J70" s="89"/>
    </row>
    <row r="71" spans="1:10" ht="13">
      <c r="A71" s="3">
        <v>39.591000000000001</v>
      </c>
      <c r="B71" s="3">
        <v>62</v>
      </c>
      <c r="C71" s="7">
        <v>0</v>
      </c>
      <c r="D71" s="7">
        <v>0</v>
      </c>
      <c r="E71" s="8">
        <v>3100</v>
      </c>
      <c r="F71" s="8">
        <v>31</v>
      </c>
      <c r="G71" s="9">
        <v>135401</v>
      </c>
      <c r="H71" s="9">
        <v>1354</v>
      </c>
      <c r="I71" s="89"/>
      <c r="J71" s="89"/>
    </row>
    <row r="72" spans="1:10" ht="13">
      <c r="A72" s="3">
        <v>40.200000000000003</v>
      </c>
      <c r="B72" s="3">
        <v>63</v>
      </c>
      <c r="C72" s="7">
        <v>0</v>
      </c>
      <c r="D72" s="7">
        <v>0</v>
      </c>
      <c r="E72" s="8">
        <v>2900</v>
      </c>
      <c r="F72" s="8">
        <v>29</v>
      </c>
      <c r="G72" s="9">
        <v>133879</v>
      </c>
      <c r="H72" s="9">
        <v>1339</v>
      </c>
      <c r="I72" s="89"/>
      <c r="J72" s="89"/>
    </row>
    <row r="73" spans="1:10" ht="13">
      <c r="A73" s="3">
        <v>40.808999999999997</v>
      </c>
      <c r="B73" s="3">
        <v>64</v>
      </c>
      <c r="C73" s="7">
        <v>0</v>
      </c>
      <c r="D73" s="7">
        <v>0</v>
      </c>
      <c r="E73" s="8">
        <v>3701</v>
      </c>
      <c r="F73" s="8">
        <v>37</v>
      </c>
      <c r="G73" s="9">
        <v>131443</v>
      </c>
      <c r="H73" s="9">
        <v>1314</v>
      </c>
      <c r="I73" s="89"/>
      <c r="J73" s="89"/>
    </row>
    <row r="74" spans="1:10" ht="13">
      <c r="A74" s="3">
        <v>41.417999999999999</v>
      </c>
      <c r="B74" s="3">
        <v>65</v>
      </c>
      <c r="C74" s="7">
        <v>0</v>
      </c>
      <c r="D74" s="7">
        <v>0</v>
      </c>
      <c r="E74" s="8">
        <v>3901</v>
      </c>
      <c r="F74" s="8">
        <v>39</v>
      </c>
      <c r="G74" s="9">
        <v>131545</v>
      </c>
      <c r="H74" s="9">
        <v>1315</v>
      </c>
      <c r="I74" s="89"/>
      <c r="J74" s="89"/>
    </row>
    <row r="75" spans="1:10" ht="13">
      <c r="A75" s="3">
        <v>42.027000000000001</v>
      </c>
      <c r="B75" s="3">
        <v>66</v>
      </c>
      <c r="C75" s="7">
        <v>0</v>
      </c>
      <c r="D75" s="7">
        <v>0</v>
      </c>
      <c r="E75" s="8">
        <v>3000</v>
      </c>
      <c r="F75" s="8">
        <v>30</v>
      </c>
      <c r="G75" s="9">
        <v>127488</v>
      </c>
      <c r="H75" s="9">
        <v>1275</v>
      </c>
      <c r="I75" s="89"/>
      <c r="J75" s="89"/>
    </row>
    <row r="76" spans="1:10" ht="13">
      <c r="A76" s="3">
        <v>42.636000000000003</v>
      </c>
      <c r="B76" s="3">
        <v>67</v>
      </c>
      <c r="C76" s="7">
        <v>0</v>
      </c>
      <c r="D76" s="7">
        <v>0</v>
      </c>
      <c r="E76" s="8">
        <v>4301</v>
      </c>
      <c r="F76" s="8">
        <v>43</v>
      </c>
      <c r="G76" s="9">
        <v>131545</v>
      </c>
      <c r="H76" s="9">
        <v>1315</v>
      </c>
      <c r="I76" s="89"/>
      <c r="J76" s="89"/>
    </row>
    <row r="77" spans="1:10" ht="13">
      <c r="A77" s="3">
        <v>43.244999999999997</v>
      </c>
      <c r="B77" s="3">
        <v>68</v>
      </c>
      <c r="C77" s="7">
        <v>0</v>
      </c>
      <c r="D77" s="7">
        <v>0</v>
      </c>
      <c r="E77" s="8">
        <v>3000</v>
      </c>
      <c r="F77" s="8">
        <v>30</v>
      </c>
      <c r="G77" s="9">
        <v>131545</v>
      </c>
      <c r="H77" s="9">
        <v>1315</v>
      </c>
      <c r="I77" s="89"/>
      <c r="J77" s="89"/>
    </row>
    <row r="78" spans="1:10" ht="13">
      <c r="A78" s="3">
        <v>43.853999999999999</v>
      </c>
      <c r="B78" s="3">
        <v>69</v>
      </c>
      <c r="C78" s="7">
        <v>50</v>
      </c>
      <c r="D78" s="7">
        <v>1</v>
      </c>
      <c r="E78" s="8">
        <v>3801</v>
      </c>
      <c r="F78" s="8">
        <v>38</v>
      </c>
      <c r="G78" s="9">
        <v>132255</v>
      </c>
      <c r="H78" s="9">
        <v>1323</v>
      </c>
      <c r="I78" s="89"/>
      <c r="J78" s="89"/>
    </row>
    <row r="79" spans="1:10" ht="13">
      <c r="A79" s="3">
        <v>44.463000000000001</v>
      </c>
      <c r="B79" s="3">
        <v>70</v>
      </c>
      <c r="C79" s="7">
        <v>0</v>
      </c>
      <c r="D79" s="7">
        <v>0</v>
      </c>
      <c r="E79" s="8">
        <v>3701</v>
      </c>
      <c r="F79" s="8">
        <v>37</v>
      </c>
      <c r="G79" s="9">
        <v>136111</v>
      </c>
      <c r="H79" s="9">
        <v>1361</v>
      </c>
      <c r="I79" s="89"/>
      <c r="J79" s="89"/>
    </row>
    <row r="80" spans="1:10" ht="13">
      <c r="A80" s="3">
        <v>45.072000000000003</v>
      </c>
      <c r="B80" s="3">
        <v>71</v>
      </c>
      <c r="C80" s="7">
        <v>0</v>
      </c>
      <c r="D80" s="7">
        <v>0</v>
      </c>
      <c r="E80" s="8">
        <v>3701</v>
      </c>
      <c r="F80" s="8">
        <v>37</v>
      </c>
      <c r="G80" s="9">
        <v>144337</v>
      </c>
      <c r="H80" s="9">
        <v>1443</v>
      </c>
      <c r="I80" s="89"/>
      <c r="J80" s="89"/>
    </row>
    <row r="81" spans="1:10" ht="13">
      <c r="A81" s="3">
        <v>45.680999999999997</v>
      </c>
      <c r="B81" s="3">
        <v>72</v>
      </c>
      <c r="C81" s="7">
        <v>0</v>
      </c>
      <c r="D81" s="7">
        <v>0</v>
      </c>
      <c r="E81" s="8">
        <v>4401</v>
      </c>
      <c r="F81" s="8">
        <v>44</v>
      </c>
      <c r="G81" s="9">
        <v>135502</v>
      </c>
      <c r="H81" s="9">
        <v>1355</v>
      </c>
      <c r="I81" s="89"/>
      <c r="J81" s="89"/>
    </row>
    <row r="82" spans="1:10" ht="13">
      <c r="A82" s="3">
        <v>46.29</v>
      </c>
      <c r="B82" s="3">
        <v>73</v>
      </c>
      <c r="C82" s="7">
        <v>0</v>
      </c>
      <c r="D82" s="7">
        <v>0</v>
      </c>
      <c r="E82" s="8">
        <v>4201</v>
      </c>
      <c r="F82" s="8">
        <v>42</v>
      </c>
      <c r="G82" s="9">
        <v>136822</v>
      </c>
      <c r="H82" s="9">
        <v>1368</v>
      </c>
      <c r="I82" s="89"/>
      <c r="J82" s="89"/>
    </row>
    <row r="83" spans="1:10" ht="13">
      <c r="A83" s="3">
        <v>46.899000000000001</v>
      </c>
      <c r="B83" s="3">
        <v>74</v>
      </c>
      <c r="C83" s="7">
        <v>0</v>
      </c>
      <c r="D83" s="7">
        <v>0</v>
      </c>
      <c r="E83" s="8">
        <v>4401</v>
      </c>
      <c r="F83" s="8">
        <v>44</v>
      </c>
      <c r="G83" s="9">
        <v>130632</v>
      </c>
      <c r="H83" s="9">
        <v>1306</v>
      </c>
      <c r="I83" s="89"/>
      <c r="J83" s="89"/>
    </row>
    <row r="84" spans="1:10" ht="13">
      <c r="A84" s="3">
        <v>47.508000000000003</v>
      </c>
      <c r="B84" s="3">
        <v>75</v>
      </c>
      <c r="C84" s="7">
        <v>0</v>
      </c>
      <c r="D84" s="7">
        <v>0</v>
      </c>
      <c r="E84" s="8">
        <v>4301</v>
      </c>
      <c r="F84" s="8">
        <v>43</v>
      </c>
      <c r="G84" s="9">
        <v>134082</v>
      </c>
      <c r="H84" s="9">
        <v>1341</v>
      </c>
      <c r="I84" s="89"/>
      <c r="J84" s="89"/>
    </row>
    <row r="85" spans="1:10" ht="13">
      <c r="A85" s="3">
        <v>48.116999999999997</v>
      </c>
      <c r="B85" s="3">
        <v>76</v>
      </c>
      <c r="C85" s="7">
        <v>0</v>
      </c>
      <c r="D85" s="7">
        <v>0</v>
      </c>
      <c r="E85" s="8">
        <v>4101</v>
      </c>
      <c r="F85" s="8">
        <v>41</v>
      </c>
      <c r="G85" s="9">
        <v>121101</v>
      </c>
      <c r="H85" s="9">
        <v>1211</v>
      </c>
      <c r="I85" s="89"/>
      <c r="J85" s="89"/>
    </row>
    <row r="86" spans="1:10" ht="13">
      <c r="A86" s="3">
        <v>48.725999999999999</v>
      </c>
      <c r="B86" s="3">
        <v>77</v>
      </c>
      <c r="C86" s="7">
        <v>0</v>
      </c>
      <c r="D86" s="7">
        <v>0</v>
      </c>
      <c r="E86" s="8">
        <v>3200</v>
      </c>
      <c r="F86" s="8">
        <v>32</v>
      </c>
      <c r="G86" s="9">
        <v>141899</v>
      </c>
      <c r="H86" s="9">
        <v>1419</v>
      </c>
      <c r="I86" s="89"/>
      <c r="J86" s="89"/>
    </row>
    <row r="87" spans="1:10" ht="13">
      <c r="A87" s="3">
        <v>49.335000000000001</v>
      </c>
      <c r="B87" s="3">
        <v>78</v>
      </c>
      <c r="C87" s="7">
        <v>0</v>
      </c>
      <c r="D87" s="7">
        <v>0</v>
      </c>
      <c r="E87" s="8">
        <v>3100</v>
      </c>
      <c r="F87" s="8">
        <v>31</v>
      </c>
      <c r="G87" s="9">
        <v>127995</v>
      </c>
      <c r="H87" s="9">
        <v>1280</v>
      </c>
      <c r="I87" s="89"/>
      <c r="J87" s="89"/>
    </row>
    <row r="88" spans="1:10" ht="13">
      <c r="A88" s="3">
        <v>49.944000000000003</v>
      </c>
      <c r="B88" s="3">
        <v>79</v>
      </c>
      <c r="C88" s="7">
        <v>0</v>
      </c>
      <c r="D88" s="7">
        <v>0</v>
      </c>
      <c r="E88" s="8">
        <v>2900</v>
      </c>
      <c r="F88" s="8">
        <v>29</v>
      </c>
      <c r="G88" s="9">
        <v>137329</v>
      </c>
      <c r="H88" s="9">
        <v>1373</v>
      </c>
      <c r="I88" s="89"/>
      <c r="J88" s="89"/>
    </row>
    <row r="89" spans="1:10" ht="13">
      <c r="A89" s="3">
        <v>50.552999999999997</v>
      </c>
      <c r="B89" s="3">
        <v>80</v>
      </c>
      <c r="C89" s="7">
        <v>0</v>
      </c>
      <c r="D89" s="7">
        <v>0</v>
      </c>
      <c r="E89" s="8">
        <v>4001</v>
      </c>
      <c r="F89" s="8">
        <v>40</v>
      </c>
      <c r="G89" s="9">
        <v>125257</v>
      </c>
      <c r="H89" s="9">
        <v>1253</v>
      </c>
      <c r="I89" s="89"/>
      <c r="J89" s="89"/>
    </row>
    <row r="90" spans="1:10" ht="13">
      <c r="A90" s="3">
        <v>51.161999999999999</v>
      </c>
      <c r="B90" s="3">
        <v>81</v>
      </c>
      <c r="C90" s="7">
        <v>0</v>
      </c>
      <c r="D90" s="7">
        <v>0</v>
      </c>
      <c r="E90" s="8">
        <v>4501</v>
      </c>
      <c r="F90" s="8">
        <v>45</v>
      </c>
      <c r="G90" s="9">
        <v>137228</v>
      </c>
      <c r="H90" s="9">
        <v>1372</v>
      </c>
      <c r="I90" s="89"/>
      <c r="J90" s="89"/>
    </row>
    <row r="91" spans="1:10" ht="13">
      <c r="A91" s="3">
        <v>51.771000000000001</v>
      </c>
      <c r="B91" s="3">
        <v>82</v>
      </c>
      <c r="C91" s="7">
        <v>0</v>
      </c>
      <c r="D91" s="7">
        <v>0</v>
      </c>
      <c r="E91" s="8">
        <v>3300</v>
      </c>
      <c r="F91" s="8">
        <v>33</v>
      </c>
      <c r="G91" s="9">
        <v>131748</v>
      </c>
      <c r="H91" s="9">
        <v>1317</v>
      </c>
      <c r="I91" s="89"/>
      <c r="J91" s="89"/>
    </row>
    <row r="92" spans="1:10" ht="13">
      <c r="A92" s="3">
        <v>52.38</v>
      </c>
      <c r="B92" s="3">
        <v>83</v>
      </c>
      <c r="C92" s="7">
        <v>0</v>
      </c>
      <c r="D92" s="7">
        <v>0</v>
      </c>
      <c r="E92" s="8">
        <v>2700</v>
      </c>
      <c r="F92" s="8">
        <v>27</v>
      </c>
      <c r="G92" s="9">
        <v>128400</v>
      </c>
      <c r="H92" s="9">
        <v>1284</v>
      </c>
      <c r="I92" s="89"/>
      <c r="J92" s="89"/>
    </row>
    <row r="93" spans="1:10" ht="13">
      <c r="A93" s="3">
        <v>52.988999999999997</v>
      </c>
      <c r="B93" s="3">
        <v>84</v>
      </c>
      <c r="C93" s="7">
        <v>0</v>
      </c>
      <c r="D93" s="7">
        <v>0</v>
      </c>
      <c r="E93" s="8">
        <v>3801</v>
      </c>
      <c r="F93" s="8">
        <v>38</v>
      </c>
      <c r="G93" s="9">
        <v>121304</v>
      </c>
      <c r="H93" s="9">
        <v>1213</v>
      </c>
      <c r="I93" s="89"/>
      <c r="J93" s="89"/>
    </row>
    <row r="94" spans="1:10" ht="13">
      <c r="A94" s="3">
        <v>53.597999999999999</v>
      </c>
      <c r="B94" s="3">
        <v>85</v>
      </c>
      <c r="C94" s="7">
        <v>0</v>
      </c>
      <c r="D94" s="7">
        <v>0</v>
      </c>
      <c r="E94" s="8">
        <v>4801</v>
      </c>
      <c r="F94" s="8">
        <v>48</v>
      </c>
      <c r="G94" s="9">
        <v>121811</v>
      </c>
      <c r="H94" s="9">
        <v>1218</v>
      </c>
      <c r="I94" s="89"/>
      <c r="J94" s="89"/>
    </row>
    <row r="95" spans="1:10" ht="13">
      <c r="A95" s="3">
        <v>54.207000000000001</v>
      </c>
      <c r="B95" s="3">
        <v>86</v>
      </c>
      <c r="C95" s="7">
        <v>0</v>
      </c>
      <c r="D95" s="7">
        <v>0</v>
      </c>
      <c r="E95" s="8">
        <v>3801</v>
      </c>
      <c r="F95" s="8">
        <v>38</v>
      </c>
      <c r="G95" s="9">
        <v>138446</v>
      </c>
      <c r="H95" s="9">
        <v>1384</v>
      </c>
      <c r="I95" s="89"/>
      <c r="J95" s="89"/>
    </row>
    <row r="96" spans="1:10" ht="13">
      <c r="A96" s="3">
        <v>54.816000000000003</v>
      </c>
      <c r="B96" s="3">
        <v>87</v>
      </c>
      <c r="C96" s="7">
        <v>0</v>
      </c>
      <c r="D96" s="7">
        <v>0</v>
      </c>
      <c r="E96" s="8">
        <v>3000</v>
      </c>
      <c r="F96" s="8">
        <v>30</v>
      </c>
      <c r="G96" s="9">
        <v>130023</v>
      </c>
      <c r="H96" s="9">
        <v>1300</v>
      </c>
      <c r="I96" s="89"/>
      <c r="J96" s="89"/>
    </row>
    <row r="97" spans="1:11" ht="13">
      <c r="A97" s="3">
        <v>55.424999999999997</v>
      </c>
      <c r="B97" s="3">
        <v>88</v>
      </c>
      <c r="C97" s="7">
        <v>0</v>
      </c>
      <c r="D97" s="7">
        <v>0</v>
      </c>
      <c r="E97" s="8">
        <v>4601</v>
      </c>
      <c r="F97" s="8">
        <v>46</v>
      </c>
      <c r="G97" s="9">
        <v>130125</v>
      </c>
      <c r="H97" s="9">
        <v>1301</v>
      </c>
      <c r="I97" s="89"/>
      <c r="J97" s="89"/>
    </row>
    <row r="98" spans="1:11" ht="13">
      <c r="A98" s="3">
        <v>56.033999999999999</v>
      </c>
      <c r="B98" s="3">
        <v>89</v>
      </c>
      <c r="C98" s="7">
        <v>0</v>
      </c>
      <c r="D98" s="7">
        <v>0</v>
      </c>
      <c r="E98" s="8">
        <v>3501</v>
      </c>
      <c r="F98" s="8">
        <v>35</v>
      </c>
      <c r="G98" s="9">
        <v>134082</v>
      </c>
      <c r="H98" s="9">
        <v>1341</v>
      </c>
      <c r="I98" s="89"/>
      <c r="J98" s="89"/>
    </row>
    <row r="99" spans="1:11" ht="13">
      <c r="A99" s="2">
        <v>56.643000000000001</v>
      </c>
      <c r="B99" s="2">
        <v>90</v>
      </c>
      <c r="C99" s="10">
        <v>0</v>
      </c>
      <c r="D99" s="10">
        <v>0</v>
      </c>
      <c r="E99" s="11">
        <v>2600</v>
      </c>
      <c r="F99" s="11">
        <v>26</v>
      </c>
      <c r="G99" s="12">
        <v>150333</v>
      </c>
      <c r="H99" s="12">
        <v>1503</v>
      </c>
      <c r="I99" s="89"/>
      <c r="J99" s="89"/>
    </row>
    <row r="100" spans="1:11" ht="13">
      <c r="A100" s="13" t="s">
        <v>10</v>
      </c>
      <c r="B100" s="13"/>
      <c r="C100" s="14"/>
      <c r="D100" s="14">
        <f>SUM(D10:D99)</f>
        <v>3</v>
      </c>
      <c r="E100" s="15"/>
      <c r="F100" s="15">
        <f>SUM(F10:F99)</f>
        <v>3373</v>
      </c>
      <c r="G100" s="16"/>
      <c r="H100" s="72">
        <f>SUM(H10:H99)</f>
        <v>120273</v>
      </c>
      <c r="J100" s="88"/>
      <c r="K100" s="88"/>
    </row>
    <row r="101" spans="1:11" ht="14" customHeight="1">
      <c r="G101" s="90"/>
      <c r="H101" s="88"/>
      <c r="J101" s="89"/>
    </row>
    <row r="103" spans="1:11" ht="13">
      <c r="A103" s="1" t="s">
        <v>11</v>
      </c>
      <c r="B103" s="2"/>
      <c r="C103" s="2"/>
      <c r="D103" s="2"/>
      <c r="E103" s="2"/>
      <c r="F103" s="2"/>
      <c r="G103" s="2"/>
      <c r="H103" s="2"/>
      <c r="I103" s="2"/>
      <c r="J103" s="2"/>
    </row>
    <row r="104" spans="1:11" ht="13">
      <c r="A104" s="85" t="s">
        <v>108</v>
      </c>
    </row>
    <row r="105" spans="1:11" ht="14" customHeight="1">
      <c r="A105" s="85" t="s">
        <v>110</v>
      </c>
    </row>
    <row r="106" spans="1:11" ht="14" customHeight="1">
      <c r="A106" s="85" t="s">
        <v>111</v>
      </c>
    </row>
    <row r="107" spans="1:11" ht="14" customHeight="1">
      <c r="A107" s="85" t="s">
        <v>112</v>
      </c>
    </row>
    <row r="108" spans="1:11" ht="14" customHeight="1">
      <c r="A108" s="6" t="s">
        <v>109</v>
      </c>
      <c r="B108" s="2"/>
      <c r="C108" s="2"/>
      <c r="D108" s="2"/>
      <c r="E108" s="2"/>
      <c r="F108" s="2"/>
      <c r="G108" s="2"/>
      <c r="H108" s="2"/>
      <c r="I108" s="2"/>
      <c r="J108" s="2"/>
    </row>
    <row r="109" spans="1:11" ht="14" customHeight="1">
      <c r="A109" s="5"/>
      <c r="B109" s="59"/>
      <c r="C109" s="59"/>
      <c r="D109" s="59"/>
      <c r="E109" s="59"/>
      <c r="F109" s="59"/>
      <c r="G109" s="59"/>
      <c r="H109" s="59"/>
      <c r="I109" s="59"/>
      <c r="J109" s="59"/>
    </row>
    <row r="111" spans="1:11">
      <c r="A111" s="17" t="s">
        <v>12</v>
      </c>
      <c r="B111" s="17"/>
      <c r="C111" s="17"/>
      <c r="D111" s="17"/>
      <c r="E111" s="17"/>
      <c r="F111" s="17"/>
      <c r="G111" s="7"/>
      <c r="H111" s="7"/>
      <c r="I111" s="7"/>
      <c r="J111" s="7"/>
    </row>
    <row r="112" spans="1:11">
      <c r="A112" s="18" t="s">
        <v>13</v>
      </c>
      <c r="B112" s="18"/>
      <c r="C112" s="18"/>
      <c r="D112" s="18"/>
      <c r="E112" s="18"/>
      <c r="F112" s="18"/>
      <c r="G112" s="7"/>
      <c r="H112" s="7"/>
      <c r="I112" s="7"/>
      <c r="J112" s="7"/>
    </row>
    <row r="113" spans="1:10" ht="13">
      <c r="A113" s="7" t="s">
        <v>14</v>
      </c>
      <c r="B113" s="7" t="s">
        <v>16</v>
      </c>
      <c r="C113" s="7" t="s">
        <v>17</v>
      </c>
      <c r="D113" s="7" t="s">
        <v>15</v>
      </c>
      <c r="E113" s="7" t="s">
        <v>18</v>
      </c>
      <c r="F113" s="7" t="s">
        <v>19</v>
      </c>
      <c r="G113" s="7"/>
      <c r="H113" s="7"/>
      <c r="I113" s="7"/>
      <c r="J113" s="7"/>
    </row>
    <row r="114" spans="1:10">
      <c r="A114" s="10" t="s">
        <v>20</v>
      </c>
      <c r="B114" s="10" t="s">
        <v>22</v>
      </c>
      <c r="C114" s="19" t="s">
        <v>23</v>
      </c>
      <c r="D114" s="10" t="s">
        <v>21</v>
      </c>
      <c r="E114" s="20"/>
      <c r="F114" s="10" t="s">
        <v>24</v>
      </c>
      <c r="G114" s="7"/>
      <c r="H114" s="7"/>
      <c r="I114" s="7"/>
      <c r="J114" s="7"/>
    </row>
    <row r="115" spans="1:10" ht="13">
      <c r="A115" s="7">
        <v>0</v>
      </c>
      <c r="B115" s="21">
        <f>POISSON(A115,0.03333,FALSE)</f>
        <v>0.96721932454104764</v>
      </c>
      <c r="C115" s="22">
        <f>90*B115</f>
        <v>87.049739208694291</v>
      </c>
      <c r="D115" s="7">
        <v>87</v>
      </c>
      <c r="E115" s="7">
        <v>0</v>
      </c>
      <c r="F115" s="7">
        <v>0</v>
      </c>
      <c r="G115" s="7"/>
      <c r="H115" s="7"/>
      <c r="I115" s="7"/>
      <c r="J115" s="7"/>
    </row>
    <row r="116" spans="1:10" ht="13">
      <c r="A116" s="7">
        <v>1</v>
      </c>
      <c r="B116" s="21">
        <f>POISSON(A116,0.03333,FALSE)</f>
        <v>3.2237420086953114E-2</v>
      </c>
      <c r="C116" s="22">
        <f>90*B116</f>
        <v>2.9013678078257801</v>
      </c>
      <c r="D116" s="7">
        <v>3</v>
      </c>
      <c r="E116" s="7">
        <v>0</v>
      </c>
      <c r="F116" s="7">
        <v>0</v>
      </c>
      <c r="G116" s="7"/>
      <c r="H116" s="7"/>
      <c r="I116" s="7"/>
      <c r="J116" s="7"/>
    </row>
    <row r="117" spans="1:10" ht="13">
      <c r="A117" s="7">
        <v>2</v>
      </c>
      <c r="B117" s="21">
        <f>POISSON(A117,0.03333,FALSE)</f>
        <v>5.3723660574907359E-4</v>
      </c>
      <c r="C117" s="22">
        <f>90*B117</f>
        <v>4.8351294517416619E-2</v>
      </c>
      <c r="D117" s="7">
        <v>0</v>
      </c>
      <c r="E117" s="7"/>
      <c r="F117" s="7"/>
      <c r="G117" s="7"/>
      <c r="H117" s="7"/>
      <c r="I117" s="7"/>
      <c r="J117" s="7"/>
    </row>
    <row r="118" spans="1:10" ht="13">
      <c r="A118" s="7">
        <v>3</v>
      </c>
      <c r="B118" s="21">
        <f>POISSON(A118,0.03333,FALSE)</f>
        <v>5.9686986898722067E-6</v>
      </c>
      <c r="C118" s="22">
        <f>90*B118</f>
        <v>5.3718288208849858E-4</v>
      </c>
      <c r="D118" s="7">
        <v>0</v>
      </c>
      <c r="E118" s="7"/>
      <c r="F118" s="7"/>
      <c r="G118" s="7"/>
      <c r="H118" s="7"/>
      <c r="I118" s="7"/>
      <c r="J118" s="7"/>
    </row>
    <row r="119" spans="1:10" ht="13">
      <c r="A119" s="14" t="s">
        <v>25</v>
      </c>
      <c r="B119" s="23">
        <f>SUM(B115:B118)</f>
        <v>0.99999994993243968</v>
      </c>
      <c r="C119" s="24">
        <f>SUM(C115:C118)</f>
        <v>89.99999549391957</v>
      </c>
      <c r="D119" s="14">
        <v>90</v>
      </c>
      <c r="E119" s="24"/>
      <c r="F119" s="14">
        <v>0</v>
      </c>
      <c r="G119" s="7"/>
      <c r="H119" s="7"/>
      <c r="I119" s="7"/>
      <c r="J119" s="7"/>
    </row>
    <row r="120" spans="1:10" ht="13">
      <c r="A120" s="17" t="s">
        <v>26</v>
      </c>
      <c r="B120" s="17"/>
      <c r="C120" s="17"/>
      <c r="D120" s="17"/>
      <c r="E120" s="22"/>
      <c r="F120" s="7"/>
      <c r="G120" s="7"/>
      <c r="H120" s="7"/>
      <c r="I120" s="7"/>
      <c r="J120" s="7"/>
    </row>
    <row r="121" spans="1:10" ht="13">
      <c r="A121" s="25"/>
      <c r="B121" s="25"/>
      <c r="C121" s="25"/>
      <c r="D121" s="25"/>
      <c r="E121" s="25"/>
      <c r="F121" s="25"/>
      <c r="G121" s="7"/>
      <c r="H121" s="7"/>
      <c r="I121" s="7"/>
      <c r="J121" s="7"/>
    </row>
    <row r="122" spans="1:10">
      <c r="A122" s="25" t="s">
        <v>27</v>
      </c>
      <c r="B122" s="25"/>
      <c r="C122" s="25"/>
      <c r="D122" s="25"/>
      <c r="E122" s="25"/>
      <c r="F122" s="25"/>
      <c r="G122" s="7"/>
      <c r="H122" s="7"/>
      <c r="I122" s="7"/>
      <c r="J122" s="7"/>
    </row>
    <row r="123" spans="1:10" ht="13">
      <c r="A123" s="26" t="s">
        <v>28</v>
      </c>
      <c r="B123" s="27"/>
      <c r="C123" s="27"/>
      <c r="D123" s="27"/>
      <c r="E123" s="28"/>
      <c r="F123" s="27"/>
      <c r="G123" s="27"/>
      <c r="H123" s="27"/>
      <c r="I123" s="27"/>
      <c r="J123" s="27"/>
    </row>
    <row r="124" spans="1:10" thickBot="1">
      <c r="A124" s="29" t="s">
        <v>29</v>
      </c>
      <c r="B124" s="30"/>
      <c r="C124" s="30"/>
      <c r="D124" s="30"/>
      <c r="E124" s="31"/>
      <c r="F124" s="30"/>
      <c r="G124" s="30"/>
      <c r="H124" s="30"/>
      <c r="I124" s="30"/>
      <c r="J124" s="30"/>
    </row>
    <row r="125" spans="1:10" thickTop="1">
      <c r="B125" s="32"/>
      <c r="C125" s="32"/>
      <c r="D125" s="32"/>
      <c r="E125" s="32"/>
      <c r="F125" s="32"/>
    </row>
    <row r="127" spans="1:10">
      <c r="A127" s="33" t="s">
        <v>30</v>
      </c>
      <c r="B127" s="33"/>
      <c r="C127" s="33"/>
      <c r="D127" s="33"/>
      <c r="E127" s="33"/>
      <c r="F127" s="33"/>
      <c r="G127" s="33"/>
      <c r="H127" s="33"/>
      <c r="I127" s="33"/>
      <c r="J127" s="33"/>
    </row>
    <row r="128" spans="1:10" ht="13">
      <c r="A128" s="34" t="s">
        <v>31</v>
      </c>
      <c r="B128" s="35"/>
      <c r="C128" s="35"/>
      <c r="D128" s="35"/>
      <c r="E128" s="35"/>
      <c r="F128" s="35"/>
      <c r="G128" s="35"/>
      <c r="H128" s="35"/>
      <c r="I128" s="35"/>
      <c r="J128" s="35"/>
    </row>
    <row r="129" spans="1:10" ht="13">
      <c r="A129" s="8"/>
      <c r="B129" s="8" t="s">
        <v>32</v>
      </c>
      <c r="C129" s="11"/>
      <c r="D129" s="93" t="s">
        <v>33</v>
      </c>
      <c r="E129" s="93"/>
      <c r="F129" s="11"/>
      <c r="G129" s="8" t="s">
        <v>15</v>
      </c>
      <c r="H129" s="8" t="s">
        <v>15</v>
      </c>
      <c r="I129" s="8"/>
      <c r="J129" s="8" t="s">
        <v>19</v>
      </c>
    </row>
    <row r="130" spans="1:10">
      <c r="A130" s="8" t="s">
        <v>34</v>
      </c>
      <c r="B130" s="8" t="s">
        <v>35</v>
      </c>
      <c r="C130" s="8" t="s">
        <v>16</v>
      </c>
      <c r="D130" s="8" t="s">
        <v>17</v>
      </c>
      <c r="E130" s="8" t="s">
        <v>36</v>
      </c>
      <c r="F130" s="8" t="s">
        <v>17</v>
      </c>
      <c r="G130" s="8" t="s">
        <v>37</v>
      </c>
      <c r="H130" s="8" t="s">
        <v>38</v>
      </c>
      <c r="I130" s="8" t="s">
        <v>18</v>
      </c>
      <c r="J130" s="8" t="s">
        <v>24</v>
      </c>
    </row>
    <row r="131" spans="1:10" ht="13">
      <c r="A131" s="36"/>
      <c r="B131" s="8" t="s">
        <v>39</v>
      </c>
      <c r="C131" s="36" t="s">
        <v>22</v>
      </c>
      <c r="D131" s="8" t="s">
        <v>37</v>
      </c>
      <c r="E131" s="8" t="s">
        <v>39</v>
      </c>
      <c r="F131" s="8" t="s">
        <v>38</v>
      </c>
      <c r="G131" s="8"/>
      <c r="H131" s="8" t="s">
        <v>36</v>
      </c>
      <c r="I131" s="8"/>
      <c r="J131" s="8"/>
    </row>
    <row r="132" spans="1:10" ht="13">
      <c r="A132" s="11"/>
      <c r="B132" s="11"/>
      <c r="C132" s="11"/>
      <c r="D132" s="11"/>
      <c r="E132" s="11"/>
      <c r="F132" s="11" t="s">
        <v>40</v>
      </c>
      <c r="G132" s="11"/>
      <c r="H132" s="11" t="s">
        <v>41</v>
      </c>
      <c r="I132" s="11"/>
      <c r="J132" s="11"/>
    </row>
    <row r="133" spans="1:10" ht="13">
      <c r="A133" s="37">
        <v>1</v>
      </c>
      <c r="B133" s="37" t="s">
        <v>42</v>
      </c>
      <c r="C133" s="38">
        <f>POISSON(24,37.4778,TRUE)</f>
        <v>1.270793614139999E-2</v>
      </c>
      <c r="D133" s="39">
        <f>90*C133</f>
        <v>1.1437142527259991</v>
      </c>
      <c r="E133" s="37"/>
      <c r="F133" s="37"/>
      <c r="G133" s="37">
        <v>0</v>
      </c>
      <c r="H133" s="37"/>
      <c r="I133" s="37"/>
      <c r="J133" s="37"/>
    </row>
    <row r="134" spans="1:10" ht="13">
      <c r="A134" s="37">
        <v>2</v>
      </c>
      <c r="B134" s="37" t="s">
        <v>43</v>
      </c>
      <c r="C134" s="38">
        <f>POISSON(26,37.4778,TRUE)-POISSON(24,37.4778,TRUE)</f>
        <v>1.8405742316253561E-2</v>
      </c>
      <c r="D134" s="39">
        <f t="shared" ref="D134:D150" si="0">90*C134</f>
        <v>1.6565168084628206</v>
      </c>
      <c r="E134" s="37"/>
      <c r="F134" s="37"/>
      <c r="G134" s="37">
        <v>0</v>
      </c>
      <c r="H134" s="37"/>
      <c r="I134" s="37"/>
      <c r="J134" s="37"/>
    </row>
    <row r="135" spans="1:10" ht="13">
      <c r="A135" s="37">
        <v>3</v>
      </c>
      <c r="B135" s="37" t="s">
        <v>44</v>
      </c>
      <c r="C135" s="38">
        <f>POISSON(28,37.4778,TRUE)-POISSON(26,37.4778,TRUE)</f>
        <v>3.5273774397935082E-2</v>
      </c>
      <c r="D135" s="39">
        <f t="shared" si="0"/>
        <v>3.1746396958141574</v>
      </c>
      <c r="E135" s="40"/>
      <c r="F135" s="37"/>
      <c r="G135" s="37">
        <v>2</v>
      </c>
      <c r="H135" s="37"/>
      <c r="I135" s="37"/>
      <c r="J135" s="37"/>
    </row>
    <row r="136" spans="1:10" ht="13">
      <c r="A136" s="37">
        <v>4</v>
      </c>
      <c r="B136" s="37" t="s">
        <v>45</v>
      </c>
      <c r="C136" s="38">
        <f>POISSON(30,37.4778,TRUE)-POISSON(28,37.4778,TRUE)</f>
        <v>5.8687781739256414E-2</v>
      </c>
      <c r="D136" s="39">
        <f t="shared" si="0"/>
        <v>5.2819003565330771</v>
      </c>
      <c r="E136" s="37" t="s">
        <v>46</v>
      </c>
      <c r="F136" s="37">
        <v>11</v>
      </c>
      <c r="G136" s="37">
        <v>4</v>
      </c>
      <c r="H136" s="37">
        <v>6</v>
      </c>
      <c r="I136" s="37">
        <f>F136-H136</f>
        <v>5</v>
      </c>
      <c r="J136" s="41">
        <f>I136^2/F136</f>
        <v>2.2727272727272729</v>
      </c>
    </row>
    <row r="137" spans="1:10" ht="13">
      <c r="A137" s="37">
        <v>5</v>
      </c>
      <c r="B137" s="37" t="s">
        <v>47</v>
      </c>
      <c r="C137" s="38">
        <f>POISSON(32,37.4778,TRUE)-POISSON(30,37.4778,TRUE)</f>
        <v>8.5559717966197213E-2</v>
      </c>
      <c r="D137" s="39">
        <f t="shared" si="0"/>
        <v>7.7003746169577489</v>
      </c>
      <c r="E137" s="37" t="s">
        <v>47</v>
      </c>
      <c r="F137" s="37">
        <v>8</v>
      </c>
      <c r="G137" s="37">
        <v>7</v>
      </c>
      <c r="H137" s="37">
        <v>7</v>
      </c>
      <c r="I137" s="37">
        <f t="shared" ref="I137:I146" si="1">F137-H137</f>
        <v>1</v>
      </c>
      <c r="J137" s="41">
        <f t="shared" ref="J137:J146" si="2">I137^2/F137</f>
        <v>0.125</v>
      </c>
    </row>
    <row r="138" spans="1:10" ht="13">
      <c r="A138" s="37">
        <v>6</v>
      </c>
      <c r="B138" s="37" t="s">
        <v>48</v>
      </c>
      <c r="C138" s="38">
        <f>POISSON(34,37.4778,TRUE)-POISSON(32,37.4778,TRUE)</f>
        <v>0.11019192873230627</v>
      </c>
      <c r="D138" s="39">
        <f t="shared" si="0"/>
        <v>9.917273585907564</v>
      </c>
      <c r="E138" s="37" t="s">
        <v>48</v>
      </c>
      <c r="F138" s="37">
        <v>10</v>
      </c>
      <c r="G138" s="37">
        <v>7</v>
      </c>
      <c r="H138" s="37">
        <v>7</v>
      </c>
      <c r="I138" s="37">
        <f t="shared" si="1"/>
        <v>3</v>
      </c>
      <c r="J138" s="41">
        <f>I138^2/F138</f>
        <v>0.9</v>
      </c>
    </row>
    <row r="139" spans="1:10" ht="13">
      <c r="A139" s="37">
        <v>7</v>
      </c>
      <c r="B139" s="37" t="s">
        <v>49</v>
      </c>
      <c r="C139" s="38">
        <f>POISSON(36,37.4778,TRUE)-POISSON(34,37.4778,TRUE)</f>
        <v>0.12627354871649771</v>
      </c>
      <c r="D139" s="39">
        <f t="shared" si="0"/>
        <v>11.364619384484794</v>
      </c>
      <c r="E139" s="37" t="s">
        <v>49</v>
      </c>
      <c r="F139" s="37">
        <v>11</v>
      </c>
      <c r="G139" s="37">
        <v>9</v>
      </c>
      <c r="H139" s="37">
        <v>9</v>
      </c>
      <c r="I139" s="37">
        <f t="shared" si="1"/>
        <v>2</v>
      </c>
      <c r="J139" s="41">
        <f t="shared" si="2"/>
        <v>0.36363636363636365</v>
      </c>
    </row>
    <row r="140" spans="1:10" ht="13">
      <c r="A140" s="37">
        <v>8</v>
      </c>
      <c r="B140" s="37" t="s">
        <v>50</v>
      </c>
      <c r="C140" s="38">
        <f>POISSON(38,37.4778,TRUE)-POISSON(36,37.4778,TRUE)</f>
        <v>0.12958010634761341</v>
      </c>
      <c r="D140" s="39">
        <f t="shared" si="0"/>
        <v>11.662209571285207</v>
      </c>
      <c r="E140" s="37" t="s">
        <v>50</v>
      </c>
      <c r="F140" s="37">
        <v>12</v>
      </c>
      <c r="G140" s="37">
        <v>9</v>
      </c>
      <c r="H140" s="37">
        <v>9</v>
      </c>
      <c r="I140" s="37">
        <f t="shared" si="1"/>
        <v>3</v>
      </c>
      <c r="J140" s="41">
        <f t="shared" si="2"/>
        <v>0.75</v>
      </c>
    </row>
    <row r="141" spans="1:10" ht="13">
      <c r="A141" s="37">
        <v>9</v>
      </c>
      <c r="B141" s="37" t="s">
        <v>51</v>
      </c>
      <c r="C141" s="38">
        <f>POISSON(40,37.4778,TRUE)-POISSON(38,37.4778,TRUE)</f>
        <v>0.11976225356386982</v>
      </c>
      <c r="D141" s="39">
        <f t="shared" si="0"/>
        <v>10.778602820748285</v>
      </c>
      <c r="E141" s="37" t="s">
        <v>51</v>
      </c>
      <c r="F141" s="37">
        <v>11</v>
      </c>
      <c r="G141" s="37">
        <v>16</v>
      </c>
      <c r="H141" s="37">
        <v>16</v>
      </c>
      <c r="I141" s="37">
        <f t="shared" si="1"/>
        <v>-5</v>
      </c>
      <c r="J141" s="41">
        <f t="shared" si="2"/>
        <v>2.2727272727272729</v>
      </c>
    </row>
    <row r="142" spans="1:10" ht="13">
      <c r="A142" s="37">
        <v>10</v>
      </c>
      <c r="B142" s="37" t="s">
        <v>52</v>
      </c>
      <c r="C142" s="38">
        <f>POISSON(42,37.4778,TRUE)-POISSON(40,37.4778,TRUE)</f>
        <v>0.10020826610442835</v>
      </c>
      <c r="D142" s="39">
        <f t="shared" si="0"/>
        <v>9.0187439493985515</v>
      </c>
      <c r="E142" s="37" t="s">
        <v>52</v>
      </c>
      <c r="F142" s="37">
        <v>9</v>
      </c>
      <c r="G142" s="37">
        <v>12</v>
      </c>
      <c r="H142" s="37">
        <v>12</v>
      </c>
      <c r="I142" s="37">
        <f t="shared" si="1"/>
        <v>-3</v>
      </c>
      <c r="J142" s="41">
        <f t="shared" si="2"/>
        <v>1</v>
      </c>
    </row>
    <row r="143" spans="1:10" ht="13">
      <c r="A143" s="37">
        <v>11</v>
      </c>
      <c r="B143" s="37" t="s">
        <v>53</v>
      </c>
      <c r="C143" s="38">
        <f>POISSON(44,37.4778,TRUE)-POISSON(42,37.4778,TRUE)</f>
        <v>7.6264785139611435E-2</v>
      </c>
      <c r="D143" s="39">
        <f t="shared" si="0"/>
        <v>6.8638306625650287</v>
      </c>
      <c r="E143" s="37" t="s">
        <v>53</v>
      </c>
      <c r="F143" s="37">
        <v>7</v>
      </c>
      <c r="G143" s="37">
        <v>7</v>
      </c>
      <c r="H143" s="37">
        <v>7</v>
      </c>
      <c r="I143" s="37">
        <f t="shared" si="1"/>
        <v>0</v>
      </c>
      <c r="J143" s="41">
        <f t="shared" si="2"/>
        <v>0</v>
      </c>
    </row>
    <row r="144" spans="1:10" ht="13">
      <c r="A144" s="37">
        <v>12</v>
      </c>
      <c r="B144" s="37" t="s">
        <v>54</v>
      </c>
      <c r="C144" s="38">
        <f>POISSON(46,37.4778,TRUE)-POISSON(44,37.4778,TRUE)</f>
        <v>5.3019250627613257E-2</v>
      </c>
      <c r="D144" s="39">
        <f t="shared" si="0"/>
        <v>4.7717325564851931</v>
      </c>
      <c r="E144" s="37" t="s">
        <v>54</v>
      </c>
      <c r="F144" s="37">
        <v>5</v>
      </c>
      <c r="G144" s="37">
        <v>5</v>
      </c>
      <c r="H144" s="37">
        <v>5</v>
      </c>
      <c r="I144" s="37">
        <f t="shared" si="1"/>
        <v>0</v>
      </c>
      <c r="J144" s="41">
        <f t="shared" si="2"/>
        <v>0</v>
      </c>
    </row>
    <row r="145" spans="1:11" ht="13">
      <c r="A145" s="37">
        <v>13</v>
      </c>
      <c r="B145" s="37" t="s">
        <v>55</v>
      </c>
      <c r="C145" s="38">
        <f>POISSON(48,37.4778,TRUE)-POISSON(46,37.4778,TRUE)</f>
        <v>3.380064667107896E-2</v>
      </c>
      <c r="D145" s="39">
        <f t="shared" si="0"/>
        <v>3.0420582003971064</v>
      </c>
      <c r="E145" s="37" t="s">
        <v>55</v>
      </c>
      <c r="F145" s="37">
        <v>3</v>
      </c>
      <c r="G145" s="37">
        <v>4</v>
      </c>
      <c r="H145" s="37">
        <v>4</v>
      </c>
      <c r="I145" s="37">
        <f t="shared" si="1"/>
        <v>-1</v>
      </c>
      <c r="J145" s="41">
        <f t="shared" si="2"/>
        <v>0.33333333333333331</v>
      </c>
    </row>
    <row r="146" spans="1:11" ht="13">
      <c r="A146" s="37">
        <v>14</v>
      </c>
      <c r="B146" s="37" t="s">
        <v>56</v>
      </c>
      <c r="C146" s="38">
        <f>POISSON(50,37.4778,TRUE)-POISSON(48,37.4778,TRUE)</f>
        <v>1.9831319882083087E-2</v>
      </c>
      <c r="D146" s="39">
        <f t="shared" si="0"/>
        <v>1.7848187893874778</v>
      </c>
      <c r="E146" s="37" t="s">
        <v>57</v>
      </c>
      <c r="F146" s="37">
        <v>3</v>
      </c>
      <c r="G146" s="37">
        <v>4</v>
      </c>
      <c r="H146" s="37">
        <v>8</v>
      </c>
      <c r="I146" s="37">
        <f t="shared" si="1"/>
        <v>-5</v>
      </c>
      <c r="J146" s="41">
        <f t="shared" si="2"/>
        <v>8.3333333333333339</v>
      </c>
    </row>
    <row r="147" spans="1:11" ht="13">
      <c r="A147" s="37">
        <v>15</v>
      </c>
      <c r="B147" s="37" t="s">
        <v>58</v>
      </c>
      <c r="C147" s="38">
        <f>POISSON(52,37.4778,TRUE)-POISSON(50,37.4778,TRUE)</f>
        <v>1.0743448932200361E-2</v>
      </c>
      <c r="D147" s="39">
        <f t="shared" si="0"/>
        <v>0.96691040389803251</v>
      </c>
      <c r="E147" s="37"/>
      <c r="F147" s="37"/>
      <c r="G147" s="37">
        <v>2</v>
      </c>
      <c r="H147" s="37"/>
      <c r="I147" s="39"/>
      <c r="J147" s="41"/>
    </row>
    <row r="148" spans="1:11" ht="13">
      <c r="A148" s="37">
        <v>16</v>
      </c>
      <c r="B148" s="37" t="s">
        <v>59</v>
      </c>
      <c r="C148" s="38">
        <f>POISSON(54,37.4778,TRUE)-POISSON(52,37.4778,TRUE)</f>
        <v>5.3904210161006549E-3</v>
      </c>
      <c r="D148" s="39">
        <f t="shared" si="0"/>
        <v>0.48513789144905894</v>
      </c>
      <c r="E148" s="37"/>
      <c r="F148" s="37"/>
      <c r="G148" s="37">
        <v>0</v>
      </c>
      <c r="H148" s="37"/>
      <c r="I148" s="39"/>
      <c r="J148" s="41"/>
    </row>
    <row r="149" spans="1:11" ht="13">
      <c r="A149" s="37">
        <v>17</v>
      </c>
      <c r="B149" s="37" t="s">
        <v>60</v>
      </c>
      <c r="C149" s="38">
        <f>POISSON(56,37.4778,TRUE)-POISSON(54,37.4778,TRUE)</f>
        <v>2.5119611604995651E-3</v>
      </c>
      <c r="D149" s="39">
        <f t="shared" si="0"/>
        <v>0.22607650444496086</v>
      </c>
      <c r="E149" s="37"/>
      <c r="F149" s="37"/>
      <c r="G149" s="37">
        <v>2</v>
      </c>
      <c r="H149" s="37"/>
      <c r="I149" s="39"/>
      <c r="J149" s="41"/>
    </row>
    <row r="150" spans="1:11" ht="13">
      <c r="A150" s="37">
        <v>18</v>
      </c>
      <c r="B150" s="37" t="s">
        <v>61</v>
      </c>
      <c r="C150" s="38">
        <f>1-POISSON(56,37.4778,TRUE)</f>
        <v>1.7871105450548708E-3</v>
      </c>
      <c r="D150" s="39">
        <f t="shared" si="0"/>
        <v>0.16083994905493837</v>
      </c>
      <c r="E150" s="37"/>
      <c r="F150" s="37"/>
      <c r="G150" s="37">
        <v>0</v>
      </c>
      <c r="H150" s="37"/>
      <c r="I150" s="37"/>
      <c r="J150" s="41"/>
      <c r="K150" s="42"/>
    </row>
    <row r="151" spans="1:11" ht="13">
      <c r="A151" s="86" t="s">
        <v>25</v>
      </c>
      <c r="B151" s="43"/>
      <c r="C151" s="44">
        <f>SUM(C133:C150)</f>
        <v>1</v>
      </c>
      <c r="D151" s="45">
        <f>SUM(D133:D150)</f>
        <v>89.999999999999972</v>
      </c>
      <c r="E151" s="45"/>
      <c r="F151" s="45">
        <v>90</v>
      </c>
      <c r="G151" s="15">
        <v>90</v>
      </c>
      <c r="H151" s="15">
        <v>90</v>
      </c>
      <c r="I151" s="15"/>
      <c r="J151" s="46">
        <f>SUM(J133:J150)</f>
        <v>16.350757575757576</v>
      </c>
    </row>
    <row r="152" spans="1:11" ht="15">
      <c r="A152" s="33" t="s">
        <v>62</v>
      </c>
      <c r="B152" s="33"/>
      <c r="C152" s="33"/>
      <c r="D152" s="33"/>
      <c r="E152" s="33"/>
      <c r="F152" s="40"/>
      <c r="G152" s="40"/>
      <c r="H152" s="47"/>
      <c r="I152" s="40"/>
      <c r="J152" s="40"/>
      <c r="K152" s="48"/>
    </row>
    <row r="153" spans="1:11" ht="13">
      <c r="A153" s="49"/>
      <c r="B153" s="50"/>
      <c r="C153" s="50"/>
      <c r="D153" s="51"/>
      <c r="E153" s="50"/>
      <c r="F153" s="50"/>
      <c r="G153" s="50"/>
      <c r="H153" s="50"/>
      <c r="I153" s="50"/>
      <c r="J153" s="50"/>
      <c r="K153" s="52"/>
    </row>
    <row r="154" spans="1:11">
      <c r="A154" s="49" t="s">
        <v>63</v>
      </c>
      <c r="B154" s="49"/>
      <c r="C154" s="49"/>
      <c r="D154" s="49"/>
      <c r="E154" s="49"/>
      <c r="F154" s="49"/>
      <c r="G154" s="49"/>
      <c r="H154" s="49"/>
      <c r="I154" s="49"/>
      <c r="J154" s="49"/>
      <c r="K154" s="53"/>
    </row>
    <row r="155" spans="1:11" ht="13">
      <c r="A155" s="49" t="s">
        <v>64</v>
      </c>
      <c r="B155" s="40"/>
      <c r="C155" s="40"/>
      <c r="D155" s="40"/>
      <c r="E155" s="40"/>
      <c r="F155" s="40"/>
      <c r="G155" s="40"/>
      <c r="H155" s="40"/>
      <c r="I155" s="40"/>
      <c r="J155" s="40"/>
      <c r="K155" s="48"/>
    </row>
    <row r="156" spans="1:11" ht="13">
      <c r="A156" s="54" t="s">
        <v>107</v>
      </c>
      <c r="B156" s="35"/>
      <c r="C156" s="35"/>
      <c r="D156" s="35"/>
      <c r="E156" s="35"/>
      <c r="F156" s="35"/>
      <c r="G156" s="35"/>
      <c r="H156" s="35"/>
      <c r="I156" s="35"/>
      <c r="J156" s="35"/>
      <c r="K156" s="48"/>
    </row>
    <row r="157" spans="1:11" ht="13">
      <c r="A157" s="8"/>
      <c r="B157" s="49"/>
      <c r="C157" s="49"/>
      <c r="D157" s="49"/>
      <c r="E157" s="49"/>
      <c r="F157" s="49"/>
      <c r="G157" s="49"/>
      <c r="H157" s="49"/>
      <c r="I157" s="49"/>
      <c r="J157" s="40"/>
      <c r="K157" s="48"/>
    </row>
    <row r="158" spans="1:11">
      <c r="A158" s="33" t="s">
        <v>65</v>
      </c>
      <c r="B158" s="33"/>
      <c r="C158" s="33"/>
      <c r="D158" s="33"/>
      <c r="E158" s="33"/>
      <c r="F158" s="33"/>
      <c r="G158" s="33"/>
      <c r="H158" s="33"/>
      <c r="I158" s="33"/>
      <c r="J158" s="33"/>
      <c r="K158" s="55"/>
    </row>
    <row r="159" spans="1:11" ht="13">
      <c r="A159" s="34" t="s">
        <v>66</v>
      </c>
      <c r="B159" s="35"/>
      <c r="C159" s="35"/>
      <c r="D159" s="35"/>
      <c r="E159" s="35"/>
      <c r="F159" s="35"/>
      <c r="G159" s="35"/>
      <c r="H159" s="35"/>
      <c r="I159" s="35"/>
      <c r="J159" s="35"/>
    </row>
    <row r="160" spans="1:11" ht="13">
      <c r="A160" s="8"/>
      <c r="B160" s="8" t="s">
        <v>32</v>
      </c>
      <c r="C160" s="11"/>
      <c r="D160" s="93" t="s">
        <v>67</v>
      </c>
      <c r="E160" s="93"/>
      <c r="F160" s="11"/>
      <c r="G160" s="36" t="s">
        <v>15</v>
      </c>
      <c r="H160" s="8" t="s">
        <v>15</v>
      </c>
      <c r="I160" s="8"/>
      <c r="J160" s="8" t="s">
        <v>19</v>
      </c>
    </row>
    <row r="161" spans="1:10">
      <c r="A161" s="8" t="s">
        <v>34</v>
      </c>
      <c r="B161" s="8" t="s">
        <v>35</v>
      </c>
      <c r="C161" s="8" t="s">
        <v>16</v>
      </c>
      <c r="D161" s="8" t="s">
        <v>17</v>
      </c>
      <c r="E161" s="8" t="s">
        <v>36</v>
      </c>
      <c r="F161" s="8" t="s">
        <v>17</v>
      </c>
      <c r="G161" s="36" t="s">
        <v>37</v>
      </c>
      <c r="H161" s="8" t="s">
        <v>38</v>
      </c>
      <c r="I161" s="8" t="s">
        <v>18</v>
      </c>
      <c r="J161" s="8" t="s">
        <v>24</v>
      </c>
    </row>
    <row r="162" spans="1:10" ht="13">
      <c r="A162" s="36"/>
      <c r="B162" s="8" t="s">
        <v>39</v>
      </c>
      <c r="C162" s="36" t="s">
        <v>22</v>
      </c>
      <c r="D162" s="8" t="s">
        <v>37</v>
      </c>
      <c r="E162" s="8" t="s">
        <v>39</v>
      </c>
      <c r="F162" s="8" t="s">
        <v>38</v>
      </c>
      <c r="G162" s="8"/>
      <c r="H162" s="8" t="s">
        <v>36</v>
      </c>
      <c r="I162" s="8"/>
      <c r="J162" s="8"/>
    </row>
    <row r="163" spans="1:10" ht="13">
      <c r="A163" s="11"/>
      <c r="B163" s="11"/>
      <c r="C163" s="11"/>
      <c r="D163" s="11"/>
      <c r="E163" s="11"/>
      <c r="F163" s="11" t="s">
        <v>40</v>
      </c>
      <c r="G163" s="11"/>
      <c r="H163" s="11" t="s">
        <v>41</v>
      </c>
      <c r="I163" s="11"/>
      <c r="J163" s="11"/>
    </row>
    <row r="164" spans="1:10" ht="13">
      <c r="A164" s="37">
        <v>1</v>
      </c>
      <c r="B164" s="37" t="s">
        <v>42</v>
      </c>
      <c r="C164" s="38">
        <f>_xlfn.NORM.DIST(24.5,37.4778,6.1885,TRUE)</f>
        <v>1.799310103580579E-2</v>
      </c>
      <c r="D164" s="39">
        <f>90*C164</f>
        <v>1.6193790932225212</v>
      </c>
      <c r="E164" s="37"/>
      <c r="F164" s="37"/>
      <c r="G164" s="37">
        <v>0</v>
      </c>
      <c r="H164" s="37"/>
      <c r="I164" s="37"/>
      <c r="J164" s="37"/>
    </row>
    <row r="165" spans="1:10" ht="13">
      <c r="A165" s="37">
        <v>2</v>
      </c>
      <c r="B165" s="37" t="s">
        <v>43</v>
      </c>
      <c r="C165" s="38">
        <f>_xlfn.NORM.DIST(26.5,37.4778,6.1885,TRUE)-_xlfn.NORM.DIST(24.5,37.4778,6.1885,TRUE)</f>
        <v>2.0046480014917465E-2</v>
      </c>
      <c r="D165" s="39">
        <f t="shared" ref="D165:D181" si="3">90*C165</f>
        <v>1.8041832013425718</v>
      </c>
      <c r="E165" s="37"/>
      <c r="F165" s="37"/>
      <c r="G165" s="37">
        <v>0</v>
      </c>
      <c r="H165" s="37"/>
      <c r="I165" s="37"/>
      <c r="J165" s="37"/>
    </row>
    <row r="166" spans="1:10" ht="13">
      <c r="A166" s="37">
        <v>3</v>
      </c>
      <c r="B166" s="37" t="s">
        <v>44</v>
      </c>
      <c r="C166" s="38">
        <f>_xlfn.NORM.DIST(28.5,37.4778,6.1885,TRUE)-_xlfn.NORM.DIST(26.5,37.4778,6.1885,TRUE)</f>
        <v>3.5388907009656044E-2</v>
      </c>
      <c r="D166" s="39">
        <f t="shared" si="3"/>
        <v>3.1850016308690439</v>
      </c>
      <c r="E166" s="40"/>
      <c r="F166" s="37"/>
      <c r="G166" s="37">
        <v>2</v>
      </c>
      <c r="H166" s="37"/>
      <c r="I166" s="37"/>
      <c r="J166" s="37"/>
    </row>
    <row r="167" spans="1:10" ht="13">
      <c r="A167" s="37">
        <v>4</v>
      </c>
      <c r="B167" s="37" t="s">
        <v>45</v>
      </c>
      <c r="C167" s="38">
        <f>_xlfn.NORM.DIST(30.5,37.4778,6.1885,TRUE)-_xlfn.NORM.DIST(28.5,37.4778,6.1885,TRUE)</f>
        <v>5.6327992401156574E-2</v>
      </c>
      <c r="D167" s="39">
        <f t="shared" si="3"/>
        <v>5.0695193161040919</v>
      </c>
      <c r="E167" s="37" t="s">
        <v>46</v>
      </c>
      <c r="F167" s="37">
        <v>12</v>
      </c>
      <c r="G167" s="37">
        <v>4</v>
      </c>
      <c r="H167" s="37">
        <v>6</v>
      </c>
      <c r="I167" s="37">
        <f>F167-H167</f>
        <v>6</v>
      </c>
      <c r="J167" s="41">
        <f>I167^2/F167</f>
        <v>3</v>
      </c>
    </row>
    <row r="168" spans="1:10" ht="13">
      <c r="A168" s="37">
        <v>5</v>
      </c>
      <c r="B168" s="37" t="s">
        <v>47</v>
      </c>
      <c r="C168" s="38">
        <f>_xlfn.NORM.DIST(32.5,37.4778,6.1885,TRUE)-_xlfn.NORM.DIST(30.5,37.4778,6.1885,TRUE)</f>
        <v>8.0837220961690492E-2</v>
      </c>
      <c r="D168" s="39">
        <f t="shared" si="3"/>
        <v>7.275349886552144</v>
      </c>
      <c r="E168" s="37" t="s">
        <v>47</v>
      </c>
      <c r="F168" s="37">
        <v>7</v>
      </c>
      <c r="G168" s="37">
        <v>7</v>
      </c>
      <c r="H168" s="37">
        <v>7</v>
      </c>
      <c r="I168" s="37">
        <f t="shared" ref="I168:I177" si="4">F168-H168</f>
        <v>0</v>
      </c>
      <c r="J168" s="41">
        <f t="shared" ref="J168:J177" si="5">I168^2/F168</f>
        <v>0</v>
      </c>
    </row>
    <row r="169" spans="1:10" ht="13">
      <c r="A169" s="37">
        <v>6</v>
      </c>
      <c r="B169" s="37" t="s">
        <v>48</v>
      </c>
      <c r="C169" s="38">
        <f>_xlfn.NORM.DIST(34.5,37.4778,6.1885,TRUE)-_xlfn.NORM.DIST(32.5,37.4778,6.1885,TRUE)</f>
        <v>0.10459957676204795</v>
      </c>
      <c r="D169" s="39">
        <f t="shared" si="3"/>
        <v>9.4139619085843158</v>
      </c>
      <c r="E169" s="37" t="s">
        <v>48</v>
      </c>
      <c r="F169" s="37">
        <v>9</v>
      </c>
      <c r="G169" s="37">
        <v>7</v>
      </c>
      <c r="H169" s="37">
        <v>7</v>
      </c>
      <c r="I169" s="37">
        <f t="shared" si="4"/>
        <v>2</v>
      </c>
      <c r="J169" s="41">
        <f t="shared" si="5"/>
        <v>0.44444444444444442</v>
      </c>
    </row>
    <row r="170" spans="1:10" ht="13">
      <c r="A170" s="37">
        <v>7</v>
      </c>
      <c r="B170" s="37" t="s">
        <v>49</v>
      </c>
      <c r="C170" s="38">
        <f>_xlfn.NORM.DIST(36.5,37.4778,6.1885,TRUE)-_xlfn.NORM.DIST(34.5,37.4778,6.1885,TRUE)</f>
        <v>0.12203403886006758</v>
      </c>
      <c r="D170" s="39">
        <f t="shared" si="3"/>
        <v>10.983063497406082</v>
      </c>
      <c r="E170" s="37" t="s">
        <v>49</v>
      </c>
      <c r="F170" s="37">
        <v>11</v>
      </c>
      <c r="G170" s="37">
        <v>9</v>
      </c>
      <c r="H170" s="37">
        <v>9</v>
      </c>
      <c r="I170" s="37">
        <f t="shared" si="4"/>
        <v>2</v>
      </c>
      <c r="J170" s="41">
        <f t="shared" si="5"/>
        <v>0.36363636363636365</v>
      </c>
    </row>
    <row r="171" spans="1:10" ht="13">
      <c r="A171" s="37">
        <v>8</v>
      </c>
      <c r="B171" s="37" t="s">
        <v>50</v>
      </c>
      <c r="C171" s="38">
        <f>_xlfn.NORM.DIST(38.5,37.4778,6.1885,TRUE)-_xlfn.NORM.DIST(36.5,37.4778,6.1885,TRUE)</f>
        <v>0.12837048478884738</v>
      </c>
      <c r="D171" s="39">
        <f t="shared" si="3"/>
        <v>11.553343630996265</v>
      </c>
      <c r="E171" s="37" t="s">
        <v>50</v>
      </c>
      <c r="F171" s="37">
        <v>12</v>
      </c>
      <c r="G171" s="37">
        <v>9</v>
      </c>
      <c r="H171" s="37">
        <v>9</v>
      </c>
      <c r="I171" s="37">
        <f t="shared" si="4"/>
        <v>3</v>
      </c>
      <c r="J171" s="41">
        <f t="shared" si="5"/>
        <v>0.75</v>
      </c>
    </row>
    <row r="172" spans="1:10" ht="13">
      <c r="A172" s="37">
        <v>9</v>
      </c>
      <c r="B172" s="37" t="s">
        <v>51</v>
      </c>
      <c r="C172" s="38">
        <f>_xlfn.NORM.DIST(40.5,37.4778,6.1885,TRUE)-_xlfn.NORM.DIST(38.5,37.4778,6.1885,TRUE)</f>
        <v>0.12175385602816668</v>
      </c>
      <c r="D172" s="39">
        <f t="shared" si="3"/>
        <v>10.957847042535002</v>
      </c>
      <c r="E172" s="37" t="s">
        <v>51</v>
      </c>
      <c r="F172" s="37">
        <v>11</v>
      </c>
      <c r="G172" s="37">
        <v>16</v>
      </c>
      <c r="H172" s="37">
        <v>16</v>
      </c>
      <c r="I172" s="37">
        <f t="shared" si="4"/>
        <v>-5</v>
      </c>
      <c r="J172" s="41">
        <f t="shared" si="5"/>
        <v>2.2727272727272729</v>
      </c>
    </row>
    <row r="173" spans="1:10" ht="13">
      <c r="A173" s="37">
        <v>10</v>
      </c>
      <c r="B173" s="37" t="s">
        <v>52</v>
      </c>
      <c r="C173" s="38">
        <f>_xlfn.NORM.DIST(42.5,37.4778,6.1885,TRUE)-_xlfn.NORM.DIST(40.5,37.4778,6.1885,TRUE)</f>
        <v>0.10411981716964658</v>
      </c>
      <c r="D173" s="39">
        <f t="shared" si="3"/>
        <v>9.3707835452681927</v>
      </c>
      <c r="E173" s="37" t="s">
        <v>52</v>
      </c>
      <c r="F173" s="37">
        <v>9</v>
      </c>
      <c r="G173" s="37">
        <v>12</v>
      </c>
      <c r="H173" s="37">
        <v>12</v>
      </c>
      <c r="I173" s="37">
        <f t="shared" si="4"/>
        <v>-3</v>
      </c>
      <c r="J173" s="41">
        <f t="shared" si="5"/>
        <v>1</v>
      </c>
    </row>
    <row r="174" spans="1:10" ht="13">
      <c r="A174" s="37">
        <v>11</v>
      </c>
      <c r="B174" s="37" t="s">
        <v>53</v>
      </c>
      <c r="C174" s="38">
        <f>_xlfn.NORM.DIST(44.5,37.4778,6.1885,TRUE)-_xlfn.NORM.DIST(42.5,37.4778,6.1885,TRUE)</f>
        <v>8.028169913449501E-2</v>
      </c>
      <c r="D174" s="39">
        <f t="shared" si="3"/>
        <v>7.2253529221045509</v>
      </c>
      <c r="E174" s="37" t="s">
        <v>53</v>
      </c>
      <c r="F174" s="37">
        <v>7</v>
      </c>
      <c r="G174" s="37">
        <v>7</v>
      </c>
      <c r="H174" s="37">
        <v>7</v>
      </c>
      <c r="I174" s="37">
        <f t="shared" si="4"/>
        <v>0</v>
      </c>
      <c r="J174" s="41">
        <f t="shared" si="5"/>
        <v>0</v>
      </c>
    </row>
    <row r="175" spans="1:10" ht="13">
      <c r="A175" s="37">
        <v>12</v>
      </c>
      <c r="B175" s="37" t="s">
        <v>54</v>
      </c>
      <c r="C175" s="38">
        <f>_xlfn.NORM.DIST(46.5,37.4778,6.1885,TRUE)-_xlfn.NORM.DIST(44.5,37.4778,6.1885,TRUE)</f>
        <v>5.581245634272225E-2</v>
      </c>
      <c r="D175" s="39">
        <f t="shared" si="3"/>
        <v>5.0231210708450025</v>
      </c>
      <c r="E175" s="37" t="s">
        <v>54</v>
      </c>
      <c r="F175" s="37">
        <v>5</v>
      </c>
      <c r="G175" s="37">
        <v>5</v>
      </c>
      <c r="H175" s="37">
        <v>5</v>
      </c>
      <c r="I175" s="37">
        <f t="shared" si="4"/>
        <v>0</v>
      </c>
      <c r="J175" s="41">
        <f t="shared" si="5"/>
        <v>0</v>
      </c>
    </row>
    <row r="176" spans="1:10" ht="13">
      <c r="A176" s="37">
        <v>13</v>
      </c>
      <c r="B176" s="37" t="s">
        <v>55</v>
      </c>
      <c r="C176" s="38">
        <f>_xlfn.NORM.DIST(48.5,37.4778,6.1885,TRUE)-_xlfn.NORM.DIST(46.5,37.4778,6.1885,TRUE)</f>
        <v>3.4984499014828141E-2</v>
      </c>
      <c r="D176" s="39">
        <f t="shared" si="3"/>
        <v>3.1486049113345329</v>
      </c>
      <c r="E176" s="37" t="s">
        <v>55</v>
      </c>
      <c r="F176" s="37">
        <v>3</v>
      </c>
      <c r="G176" s="37">
        <v>4</v>
      </c>
      <c r="H176" s="37">
        <v>4</v>
      </c>
      <c r="I176" s="37">
        <f t="shared" si="4"/>
        <v>-1</v>
      </c>
      <c r="J176" s="41">
        <f t="shared" si="5"/>
        <v>0.33333333333333331</v>
      </c>
    </row>
    <row r="177" spans="1:11" ht="13">
      <c r="A177" s="37">
        <v>14</v>
      </c>
      <c r="B177" s="37" t="s">
        <v>56</v>
      </c>
      <c r="C177" s="38">
        <f>_xlfn.NORM.DIST(50.5,37.4778,6.1885,TRUE)-_xlfn.NORM.DIST(48.5,37.4778,6.1885,TRUE)</f>
        <v>1.9771892214216935E-2</v>
      </c>
      <c r="D177" s="39">
        <f t="shared" si="3"/>
        <v>1.7794702992795242</v>
      </c>
      <c r="E177" s="37" t="s">
        <v>57</v>
      </c>
      <c r="F177" s="37">
        <v>3</v>
      </c>
      <c r="G177" s="37">
        <v>4</v>
      </c>
      <c r="H177" s="37">
        <v>8</v>
      </c>
      <c r="I177" s="37">
        <f t="shared" si="4"/>
        <v>-5</v>
      </c>
      <c r="J177" s="41">
        <f t="shared" si="5"/>
        <v>8.3333333333333339</v>
      </c>
    </row>
    <row r="178" spans="1:11" ht="13">
      <c r="A178" s="37">
        <v>15</v>
      </c>
      <c r="B178" s="37" t="s">
        <v>58</v>
      </c>
      <c r="C178" s="38">
        <f>_xlfn.NORM.DIST(52.5,37.4778,6.1885,TRUE)-_xlfn.NORM.DIST(50.5,37.4778,6.1885,TRUE)</f>
        <v>1.0075035237359864E-2</v>
      </c>
      <c r="D178" s="39">
        <f t="shared" si="3"/>
        <v>0.90675317136238776</v>
      </c>
      <c r="E178" s="37"/>
      <c r="F178" s="37"/>
      <c r="G178" s="37">
        <v>2</v>
      </c>
      <c r="H178" s="37"/>
      <c r="I178" s="39"/>
      <c r="J178" s="37"/>
    </row>
    <row r="179" spans="1:11" ht="13">
      <c r="A179" s="37">
        <v>16</v>
      </c>
      <c r="B179" s="37" t="s">
        <v>59</v>
      </c>
      <c r="C179" s="38">
        <f>_xlfn.NORM.DIST(54.5,37.4778,6.1885,TRUE)-_xlfn.NORM.DIST(52.5,37.4778,6.1885,TRUE)</f>
        <v>4.6287955815854653E-3</v>
      </c>
      <c r="D179" s="39">
        <f t="shared" si="3"/>
        <v>0.41659160234269188</v>
      </c>
      <c r="E179" s="37"/>
      <c r="F179" s="37"/>
      <c r="G179" s="37">
        <v>0</v>
      </c>
      <c r="H179" s="37"/>
      <c r="I179" s="39"/>
      <c r="J179" s="37"/>
    </row>
    <row r="180" spans="1:11" ht="13">
      <c r="A180" s="37">
        <v>17</v>
      </c>
      <c r="B180" s="37" t="s">
        <v>60</v>
      </c>
      <c r="C180" s="38">
        <f>_xlfn.NORM.DIST(56.5,37.4778,6.1885,TRUE)-_xlfn.NORM.DIST(54.5,37.4778,6.1885,TRUE)</f>
        <v>1.9173856286940349E-3</v>
      </c>
      <c r="D180" s="39">
        <f t="shared" si="3"/>
        <v>0.17256470658246315</v>
      </c>
      <c r="E180" s="37"/>
      <c r="F180" s="37"/>
      <c r="G180" s="37">
        <v>2</v>
      </c>
      <c r="H180" s="37"/>
      <c r="I180" s="39"/>
      <c r="J180" s="37"/>
    </row>
    <row r="181" spans="1:11" ht="13">
      <c r="A181" s="37">
        <v>18</v>
      </c>
      <c r="B181" s="37" t="s">
        <v>61</v>
      </c>
      <c r="C181" s="38">
        <f>1-_xlfn.NORM.DIST(56.5,37.4778,6.1885,TRUE)</f>
        <v>1.0567618140957524E-3</v>
      </c>
      <c r="D181" s="39">
        <f t="shared" si="3"/>
        <v>9.5108563268617718E-2</v>
      </c>
      <c r="E181" s="37"/>
      <c r="F181" s="37"/>
      <c r="G181" s="37">
        <v>0</v>
      </c>
      <c r="H181" s="37"/>
      <c r="I181" s="37"/>
      <c r="J181" s="37"/>
    </row>
    <row r="182" spans="1:11" ht="13">
      <c r="A182" s="86" t="s">
        <v>25</v>
      </c>
      <c r="B182" s="43"/>
      <c r="C182" s="56"/>
      <c r="D182" s="45">
        <f>SUM(D164:D181)</f>
        <v>90</v>
      </c>
      <c r="E182" s="15">
        <v>90</v>
      </c>
      <c r="F182" s="15"/>
      <c r="G182" s="15">
        <v>90</v>
      </c>
      <c r="H182" s="15">
        <v>90</v>
      </c>
      <c r="I182" s="15">
        <v>90</v>
      </c>
      <c r="J182" s="46">
        <f>SUM(J164:J181)</f>
        <v>16.497474747474747</v>
      </c>
    </row>
    <row r="183" spans="1:11" ht="15">
      <c r="A183" s="33" t="s">
        <v>68</v>
      </c>
      <c r="B183" s="33"/>
      <c r="C183" s="33"/>
      <c r="D183" s="33"/>
      <c r="E183" s="33"/>
      <c r="F183" s="33"/>
      <c r="G183" s="33"/>
      <c r="H183" s="47"/>
      <c r="I183" s="40"/>
      <c r="J183" s="40"/>
    </row>
    <row r="184" spans="1:11" ht="13">
      <c r="A184" s="49"/>
      <c r="B184" s="50"/>
      <c r="C184" s="50"/>
      <c r="D184" s="51"/>
      <c r="E184" s="50"/>
      <c r="F184" s="50"/>
      <c r="G184" s="50"/>
      <c r="H184" s="50"/>
      <c r="I184" s="50"/>
      <c r="J184" s="50"/>
    </row>
    <row r="185" spans="1:11">
      <c r="A185" s="49" t="s">
        <v>69</v>
      </c>
      <c r="B185" s="49"/>
      <c r="C185" s="49"/>
      <c r="D185" s="49"/>
      <c r="E185" s="49"/>
      <c r="F185" s="49"/>
      <c r="G185" s="49"/>
      <c r="H185" s="49"/>
      <c r="I185" s="49"/>
      <c r="J185" s="49"/>
    </row>
    <row r="186" spans="1:11" ht="13">
      <c r="A186" s="49" t="s">
        <v>70</v>
      </c>
      <c r="B186" s="49"/>
      <c r="C186" s="49"/>
      <c r="D186" s="49"/>
      <c r="E186" s="49"/>
      <c r="F186" s="49"/>
      <c r="G186" s="49"/>
      <c r="H186" s="49"/>
      <c r="I186" s="49"/>
      <c r="J186" s="49"/>
    </row>
    <row r="187" spans="1:11" thickBot="1">
      <c r="A187" s="57" t="s">
        <v>71</v>
      </c>
      <c r="B187" s="58"/>
      <c r="C187" s="58"/>
      <c r="D187" s="58"/>
      <c r="E187" s="58"/>
      <c r="F187" s="58"/>
      <c r="G187" s="58"/>
      <c r="H187" s="58"/>
      <c r="I187" s="58"/>
      <c r="J187" s="58"/>
      <c r="K187" s="59"/>
    </row>
    <row r="188" spans="1:11" thickTop="1">
      <c r="K188" s="59"/>
    </row>
    <row r="189" spans="1:11" ht="13">
      <c r="K189" s="59"/>
    </row>
    <row r="190" spans="1:11">
      <c r="A190" s="60" t="s">
        <v>72</v>
      </c>
      <c r="B190" s="60"/>
      <c r="C190" s="60"/>
      <c r="D190" s="60"/>
      <c r="E190" s="60"/>
      <c r="F190" s="60"/>
      <c r="G190" s="60"/>
      <c r="H190" s="60"/>
      <c r="I190" s="60"/>
      <c r="J190" s="60"/>
      <c r="K190" s="61"/>
    </row>
    <row r="191" spans="1:11" ht="13">
      <c r="A191" s="62" t="s">
        <v>73</v>
      </c>
      <c r="B191" s="62"/>
      <c r="C191" s="62"/>
      <c r="D191" s="62"/>
      <c r="E191" s="62"/>
      <c r="F191" s="62"/>
      <c r="G191" s="62"/>
      <c r="H191" s="62"/>
      <c r="I191" s="62"/>
      <c r="J191" s="62"/>
      <c r="K191" s="61"/>
    </row>
    <row r="192" spans="1:11" ht="13">
      <c r="A192" s="9"/>
      <c r="B192" s="9" t="s">
        <v>32</v>
      </c>
      <c r="C192" s="12"/>
      <c r="D192" s="91" t="s">
        <v>33</v>
      </c>
      <c r="E192" s="91"/>
      <c r="F192" s="12"/>
      <c r="G192" s="9" t="s">
        <v>15</v>
      </c>
      <c r="H192" s="9" t="s">
        <v>15</v>
      </c>
      <c r="I192" s="9"/>
      <c r="J192" s="9" t="s">
        <v>19</v>
      </c>
      <c r="K192" s="59"/>
    </row>
    <row r="193" spans="1:11">
      <c r="A193" s="9" t="s">
        <v>34</v>
      </c>
      <c r="B193" s="9" t="s">
        <v>35</v>
      </c>
      <c r="C193" s="9" t="s">
        <v>16</v>
      </c>
      <c r="D193" s="9" t="s">
        <v>17</v>
      </c>
      <c r="E193" s="9" t="s">
        <v>36</v>
      </c>
      <c r="F193" s="9" t="s">
        <v>17</v>
      </c>
      <c r="G193" s="9" t="s">
        <v>37</v>
      </c>
      <c r="H193" s="9" t="s">
        <v>38</v>
      </c>
      <c r="I193" s="9" t="s">
        <v>18</v>
      </c>
      <c r="J193" s="9" t="s">
        <v>24</v>
      </c>
      <c r="K193" s="59"/>
    </row>
    <row r="194" spans="1:11" ht="13">
      <c r="A194" s="63"/>
      <c r="B194" s="9" t="s">
        <v>39</v>
      </c>
      <c r="C194" s="63" t="s">
        <v>22</v>
      </c>
      <c r="D194" s="9" t="s">
        <v>37</v>
      </c>
      <c r="E194" s="9" t="s">
        <v>39</v>
      </c>
      <c r="F194" s="9" t="s">
        <v>38</v>
      </c>
      <c r="G194" s="9"/>
      <c r="H194" s="9" t="s">
        <v>36</v>
      </c>
      <c r="I194" s="9"/>
      <c r="J194" s="9"/>
      <c r="K194" s="59"/>
    </row>
    <row r="195" spans="1:11" ht="13">
      <c r="A195" s="12"/>
      <c r="B195" s="12"/>
      <c r="C195" s="12"/>
      <c r="D195" s="12"/>
      <c r="E195" s="12"/>
      <c r="F195" s="12" t="s">
        <v>40</v>
      </c>
      <c r="G195" s="12"/>
      <c r="H195" s="12" t="s">
        <v>41</v>
      </c>
      <c r="I195" s="12"/>
      <c r="J195" s="12"/>
      <c r="K195" s="59"/>
    </row>
    <row r="196" spans="1:11" ht="13">
      <c r="A196" s="9">
        <v>1</v>
      </c>
      <c r="B196" s="9" t="s">
        <v>74</v>
      </c>
      <c r="C196" s="64">
        <f>POISSON(1200,1336.4,TRUE)</f>
        <v>7.8825203315395951E-5</v>
      </c>
      <c r="D196" s="65">
        <f>90*C196</f>
        <v>7.0942682983856356E-3</v>
      </c>
      <c r="E196" s="66"/>
      <c r="F196" s="66"/>
      <c r="G196" s="9">
        <v>0</v>
      </c>
      <c r="H196" s="9"/>
      <c r="I196" s="9"/>
      <c r="J196" s="9"/>
    </row>
    <row r="197" spans="1:11" ht="13">
      <c r="A197" s="9">
        <v>2</v>
      </c>
      <c r="B197" s="9" t="s">
        <v>75</v>
      </c>
      <c r="C197" s="64">
        <f>POISSON(1220,1336.4,TRUE)-POISSON(1200,1336.4,TRUE)</f>
        <v>5.771649598320524E-4</v>
      </c>
      <c r="D197" s="65">
        <f t="shared" ref="D197:D215" si="6">90*C197</f>
        <v>5.1944846384884717E-2</v>
      </c>
      <c r="E197" s="66"/>
      <c r="F197" s="66"/>
      <c r="G197" s="9">
        <v>0</v>
      </c>
      <c r="H197" s="9"/>
      <c r="I197" s="9"/>
      <c r="J197" s="9"/>
    </row>
    <row r="198" spans="1:11" ht="13">
      <c r="A198" s="9">
        <v>3</v>
      </c>
      <c r="B198" s="9" t="s">
        <v>76</v>
      </c>
      <c r="C198" s="64">
        <f>POISSON(1240,1336.4,TRUE)-POISSON(1220,1336.4,TRUE)</f>
        <v>3.3560998413176002E-3</v>
      </c>
      <c r="D198" s="65">
        <f t="shared" si="6"/>
        <v>0.30204898571858402</v>
      </c>
      <c r="E198" s="67"/>
      <c r="F198" s="66"/>
      <c r="G198" s="9">
        <v>3</v>
      </c>
      <c r="H198" s="9"/>
      <c r="I198" s="9"/>
      <c r="J198" s="9"/>
    </row>
    <row r="199" spans="1:11" ht="13">
      <c r="A199" s="9">
        <v>4</v>
      </c>
      <c r="B199" s="9" t="s">
        <v>77</v>
      </c>
      <c r="C199" s="64">
        <f>POISSON(1260,1336.4,TRUE)-POISSON(1240,1336.4,TRUE)</f>
        <v>1.4218344125558068E-2</v>
      </c>
      <c r="D199" s="65">
        <f t="shared" si="6"/>
        <v>1.2796509713002262</v>
      </c>
      <c r="E199" s="66"/>
      <c r="F199" s="66"/>
      <c r="G199" s="9">
        <v>0</v>
      </c>
      <c r="H199" s="66"/>
      <c r="I199" s="66"/>
      <c r="J199" s="68"/>
    </row>
    <row r="200" spans="1:11" ht="13">
      <c r="A200" s="9">
        <v>5</v>
      </c>
      <c r="B200" s="9" t="s">
        <v>78</v>
      </c>
      <c r="C200" s="64">
        <f>POISSON(1280,1336.4,TRUE)-POISSON(1260,1336.4,TRUE)</f>
        <v>4.4114134221972939E-2</v>
      </c>
      <c r="D200" s="65">
        <f t="shared" si="6"/>
        <v>3.9702720799775646</v>
      </c>
      <c r="E200" s="9" t="s">
        <v>79</v>
      </c>
      <c r="F200" s="9">
        <v>5</v>
      </c>
      <c r="G200" s="9">
        <v>4</v>
      </c>
      <c r="H200" s="9">
        <v>7</v>
      </c>
      <c r="I200" s="65">
        <f>F200-H200</f>
        <v>-2</v>
      </c>
      <c r="J200" s="69">
        <f>I200^2/F200</f>
        <v>0.8</v>
      </c>
    </row>
    <row r="201" spans="1:11" ht="13">
      <c r="A201" s="9">
        <v>6</v>
      </c>
      <c r="B201" s="9" t="s">
        <v>80</v>
      </c>
      <c r="C201" s="64">
        <f>POISSON(1300,1336.4,TRUE)-POISSON(1280,1336.4,TRUE)</f>
        <v>0.10073003125194444</v>
      </c>
      <c r="D201" s="65">
        <f t="shared" si="6"/>
        <v>9.0657028126749992</v>
      </c>
      <c r="E201" s="9" t="s">
        <v>80</v>
      </c>
      <c r="F201" s="9">
        <v>9</v>
      </c>
      <c r="G201" s="9">
        <v>6</v>
      </c>
      <c r="H201" s="9">
        <v>6</v>
      </c>
      <c r="I201" s="65">
        <f t="shared" ref="I201:I207" si="7">F201-H201</f>
        <v>3</v>
      </c>
      <c r="J201" s="69">
        <f t="shared" ref="J201:J207" si="8">I201^2/F201</f>
        <v>1</v>
      </c>
    </row>
    <row r="202" spans="1:11" ht="13">
      <c r="A202" s="9">
        <v>7</v>
      </c>
      <c r="B202" s="9" t="s">
        <v>81</v>
      </c>
      <c r="C202" s="64">
        <f>POISSON(1320,1336.4,TRUE)-POISSON(1300,1336.4,TRUE)</f>
        <v>0.17007317636487446</v>
      </c>
      <c r="D202" s="65">
        <f t="shared" si="6"/>
        <v>15.306585872838701</v>
      </c>
      <c r="E202" s="9" t="s">
        <v>81</v>
      </c>
      <c r="F202" s="9">
        <v>15</v>
      </c>
      <c r="G202" s="9">
        <v>10</v>
      </c>
      <c r="H202" s="9">
        <v>10</v>
      </c>
      <c r="I202" s="65">
        <f t="shared" si="7"/>
        <v>5</v>
      </c>
      <c r="J202" s="69">
        <f t="shared" si="8"/>
        <v>1.6666666666666667</v>
      </c>
    </row>
    <row r="203" spans="1:11" ht="13">
      <c r="A203" s="9">
        <v>8</v>
      </c>
      <c r="B203" s="9" t="s">
        <v>82</v>
      </c>
      <c r="C203" s="64">
        <f>POISSON(1340,1336.4,TRUE)-POISSON(1320,1336.4,TRUE)</f>
        <v>0.21328515608621046</v>
      </c>
      <c r="D203" s="65">
        <f t="shared" si="6"/>
        <v>19.195664047758942</v>
      </c>
      <c r="E203" s="9" t="s">
        <v>82</v>
      </c>
      <c r="F203" s="9">
        <v>19</v>
      </c>
      <c r="G203" s="9">
        <v>18</v>
      </c>
      <c r="H203" s="9">
        <v>18</v>
      </c>
      <c r="I203" s="65">
        <f t="shared" si="7"/>
        <v>1</v>
      </c>
      <c r="J203" s="69">
        <f t="shared" si="8"/>
        <v>5.2631578947368418E-2</v>
      </c>
    </row>
    <row r="204" spans="1:11" ht="13">
      <c r="A204" s="9">
        <v>9</v>
      </c>
      <c r="B204" s="9" t="s">
        <v>83</v>
      </c>
      <c r="C204" s="64">
        <f>POISSON(1360,1336.4,TRUE)-POISSON(1340,1336.4,TRUE)</f>
        <v>0.19952608537187566</v>
      </c>
      <c r="D204" s="65">
        <f t="shared" si="6"/>
        <v>17.957347683468811</v>
      </c>
      <c r="E204" s="9" t="s">
        <v>83</v>
      </c>
      <c r="F204" s="9">
        <v>18</v>
      </c>
      <c r="G204" s="9">
        <v>10</v>
      </c>
      <c r="H204" s="9">
        <v>10</v>
      </c>
      <c r="I204" s="65">
        <f t="shared" si="7"/>
        <v>8</v>
      </c>
      <c r="J204" s="69">
        <f t="shared" si="8"/>
        <v>3.5555555555555554</v>
      </c>
    </row>
    <row r="205" spans="1:11" ht="13">
      <c r="A205" s="9">
        <v>10</v>
      </c>
      <c r="B205" s="9" t="s">
        <v>84</v>
      </c>
      <c r="C205" s="64">
        <f>POISSON(1380,1336.4,TRUE)-POISSON(1360,1336.4,TRUE)</f>
        <v>0.1398102293466692</v>
      </c>
      <c r="D205" s="65">
        <f t="shared" si="6"/>
        <v>12.582920641200229</v>
      </c>
      <c r="E205" s="9" t="s">
        <v>84</v>
      </c>
      <c r="F205" s="9">
        <v>13</v>
      </c>
      <c r="G205" s="9">
        <v>12</v>
      </c>
      <c r="H205" s="9">
        <v>12</v>
      </c>
      <c r="I205" s="65">
        <f t="shared" si="7"/>
        <v>1</v>
      </c>
      <c r="J205" s="69">
        <f t="shared" si="8"/>
        <v>7.6923076923076927E-2</v>
      </c>
    </row>
    <row r="206" spans="1:11" ht="13">
      <c r="A206" s="9">
        <v>11</v>
      </c>
      <c r="B206" s="9" t="s">
        <v>85</v>
      </c>
      <c r="C206" s="64">
        <f>POISSON(1400,1336.4,TRUE)-POISSON(1380,1336.4,TRUE)</f>
        <v>7.3669955114047392E-2</v>
      </c>
      <c r="D206" s="65">
        <f t="shared" si="6"/>
        <v>6.6302959602642648</v>
      </c>
      <c r="E206" s="9" t="s">
        <v>85</v>
      </c>
      <c r="F206" s="9">
        <v>7</v>
      </c>
      <c r="G206" s="9">
        <v>9</v>
      </c>
      <c r="H206" s="9">
        <v>9</v>
      </c>
      <c r="I206" s="65">
        <f t="shared" si="7"/>
        <v>-2</v>
      </c>
      <c r="J206" s="69">
        <f t="shared" si="8"/>
        <v>0.5714285714285714</v>
      </c>
    </row>
    <row r="207" spans="1:11" ht="13">
      <c r="A207" s="9">
        <v>12</v>
      </c>
      <c r="B207" s="9" t="s">
        <v>86</v>
      </c>
      <c r="C207" s="64">
        <f>POISSON(1420,1336.4,TRUE)-POISSON(1400,1336.4,TRUE)</f>
        <v>2.930209532862782E-2</v>
      </c>
      <c r="D207" s="65">
        <f t="shared" si="6"/>
        <v>2.6371885795765038</v>
      </c>
      <c r="E207" s="9" t="s">
        <v>87</v>
      </c>
      <c r="F207" s="9">
        <v>4</v>
      </c>
      <c r="G207" s="9">
        <v>9</v>
      </c>
      <c r="H207" s="9">
        <v>18</v>
      </c>
      <c r="I207" s="65">
        <f t="shared" si="7"/>
        <v>-14</v>
      </c>
      <c r="J207" s="69">
        <f t="shared" si="8"/>
        <v>49</v>
      </c>
    </row>
    <row r="208" spans="1:11" ht="13">
      <c r="A208" s="9">
        <v>13</v>
      </c>
      <c r="B208" s="9" t="s">
        <v>88</v>
      </c>
      <c r="C208" s="64">
        <f>POISSON(1440,1336.4,TRUE)-POISSON(1420,1336.4,TRUE)</f>
        <v>8.8297358380990953E-3</v>
      </c>
      <c r="D208" s="65">
        <f t="shared" si="6"/>
        <v>0.79467622542891858</v>
      </c>
      <c r="E208" s="66"/>
      <c r="F208" s="66"/>
      <c r="G208" s="9">
        <v>4</v>
      </c>
      <c r="H208" s="66"/>
      <c r="I208" s="66"/>
      <c r="J208" s="68"/>
    </row>
    <row r="209" spans="1:11" ht="13">
      <c r="A209" s="9">
        <v>14</v>
      </c>
      <c r="B209" s="9" t="s">
        <v>89</v>
      </c>
      <c r="C209" s="64">
        <f>POISSON(1460,1336.4,TRUE)-POISSON(1440,1336.4,TRUE)</f>
        <v>2.0228664743369151E-3</v>
      </c>
      <c r="D209" s="65">
        <f t="shared" si="6"/>
        <v>0.18205798269032236</v>
      </c>
      <c r="E209" s="66"/>
      <c r="F209" s="66"/>
      <c r="G209" s="9">
        <v>0</v>
      </c>
      <c r="H209" s="66"/>
      <c r="I209" s="66"/>
      <c r="J209" s="68"/>
    </row>
    <row r="210" spans="1:11" ht="13">
      <c r="A210" s="9">
        <v>15</v>
      </c>
      <c r="B210" s="9" t="s">
        <v>90</v>
      </c>
      <c r="C210" s="64">
        <f>POISSON(1480,1336.4,TRUE)-POISSON(1460,1336.4,TRUE)</f>
        <v>3.5354007451782188E-4</v>
      </c>
      <c r="D210" s="65">
        <f t="shared" si="6"/>
        <v>3.1818606706603969E-2</v>
      </c>
      <c r="E210" s="66"/>
      <c r="F210" s="66"/>
      <c r="G210" s="9">
        <v>2</v>
      </c>
      <c r="H210" s="9"/>
      <c r="I210" s="65"/>
      <c r="J210" s="69"/>
    </row>
    <row r="211" spans="1:11" ht="13">
      <c r="A211" s="9">
        <v>16</v>
      </c>
      <c r="B211" s="9" t="s">
        <v>91</v>
      </c>
      <c r="C211" s="64">
        <f>POISSON(1500,1336.4,TRUE)-POISSON(1480,1336.4,TRUE)</f>
        <v>4.7293405048387527E-5</v>
      </c>
      <c r="D211" s="65">
        <f t="shared" si="6"/>
        <v>4.2564064543548774E-3</v>
      </c>
      <c r="E211" s="66"/>
      <c r="F211" s="66"/>
      <c r="G211" s="9">
        <v>0</v>
      </c>
      <c r="H211" s="9"/>
      <c r="I211" s="65"/>
      <c r="J211" s="69"/>
    </row>
    <row r="212" spans="1:11" ht="13">
      <c r="A212" s="9">
        <v>17</v>
      </c>
      <c r="B212" s="9" t="s">
        <v>92</v>
      </c>
      <c r="C212" s="64">
        <f>POISSON(1520,1336.4,TRUE)-POISSON(1500,1336.4,TRUE)</f>
        <v>4.8579540432580615E-6</v>
      </c>
      <c r="D212" s="65">
        <f t="shared" si="6"/>
        <v>4.3721586389322553E-4</v>
      </c>
      <c r="E212" s="66"/>
      <c r="F212" s="66"/>
      <c r="G212" s="9">
        <v>0</v>
      </c>
      <c r="H212" s="9"/>
      <c r="I212" s="65"/>
      <c r="J212" s="69"/>
    </row>
    <row r="213" spans="1:11" ht="13">
      <c r="A213" s="9">
        <v>18</v>
      </c>
      <c r="B213" s="9" t="s">
        <v>93</v>
      </c>
      <c r="C213" s="64">
        <f>POISSON(1540,1336.4,TRUE)-POISSON(1520,1336.4,TRUE)</f>
        <v>3.8438219407410656E-7</v>
      </c>
      <c r="D213" s="65">
        <f t="shared" si="6"/>
        <v>3.4594397466669591E-5</v>
      </c>
      <c r="E213" s="66"/>
      <c r="F213" s="66"/>
      <c r="G213" s="9">
        <v>1</v>
      </c>
      <c r="H213" s="9"/>
      <c r="I213" s="65"/>
      <c r="J213" s="69"/>
    </row>
    <row r="214" spans="1:11" ht="13">
      <c r="A214" s="9">
        <v>19</v>
      </c>
      <c r="B214" s="9" t="s">
        <v>94</v>
      </c>
      <c r="C214" s="64">
        <f>POISSON(1560,1336.4,TRUE)-POISSON(1540,1336.4,TRUE)</f>
        <v>2.3499865275944387E-8</v>
      </c>
      <c r="D214" s="65">
        <f t="shared" si="6"/>
        <v>2.1149878748349948E-6</v>
      </c>
      <c r="E214" s="66"/>
      <c r="F214" s="66"/>
      <c r="G214" s="9">
        <v>2</v>
      </c>
      <c r="H214" s="9"/>
      <c r="I214" s="65"/>
      <c r="J214" s="69"/>
    </row>
    <row r="215" spans="1:11" ht="13">
      <c r="A215" s="9">
        <v>20</v>
      </c>
      <c r="B215" s="9" t="s">
        <v>95</v>
      </c>
      <c r="C215" s="64">
        <f>1-POISSON(1560,1336.4,TRUE)</f>
        <v>1.1556496870568367E-9</v>
      </c>
      <c r="D215" s="65">
        <f t="shared" si="6"/>
        <v>1.040084718351153E-7</v>
      </c>
      <c r="E215" s="66"/>
      <c r="F215" s="66"/>
      <c r="G215" s="9">
        <v>0</v>
      </c>
      <c r="H215" s="9"/>
      <c r="I215" s="9"/>
      <c r="J215" s="9"/>
    </row>
    <row r="216" spans="1:11" ht="13">
      <c r="A216" s="16" t="s">
        <v>25</v>
      </c>
      <c r="B216" s="70"/>
      <c r="C216" s="71">
        <f>SUM(C196:C215)</f>
        <v>1</v>
      </c>
      <c r="D216" s="72">
        <f>SUM(D196:D215)</f>
        <v>90.000000000000014</v>
      </c>
      <c r="E216" s="72"/>
      <c r="F216" s="72">
        <v>90</v>
      </c>
      <c r="G216" s="16">
        <v>90</v>
      </c>
      <c r="H216" s="16">
        <v>90</v>
      </c>
      <c r="I216" s="16"/>
      <c r="J216" s="73">
        <f>SUM(J196:J215)</f>
        <v>56.723205449521238</v>
      </c>
    </row>
    <row r="217" spans="1:11" ht="13">
      <c r="A217" s="60" t="s">
        <v>96</v>
      </c>
      <c r="B217" s="60"/>
      <c r="C217" s="60"/>
      <c r="D217" s="60"/>
      <c r="E217" s="60"/>
      <c r="F217" s="74"/>
      <c r="G217" s="74"/>
      <c r="H217" s="75"/>
      <c r="I217" s="74"/>
      <c r="J217" s="74"/>
    </row>
    <row r="218" spans="1:11" ht="13">
      <c r="A218" s="76"/>
      <c r="B218" s="75"/>
      <c r="C218" s="75"/>
      <c r="D218" s="77"/>
      <c r="E218" s="75"/>
      <c r="F218" s="75"/>
      <c r="G218" s="75"/>
      <c r="H218" s="75"/>
      <c r="I218" s="75"/>
      <c r="J218" s="75"/>
    </row>
    <row r="219" spans="1:11">
      <c r="A219" s="76" t="s">
        <v>97</v>
      </c>
      <c r="B219" s="76"/>
      <c r="C219" s="76"/>
      <c r="D219" s="76"/>
      <c r="E219" s="76"/>
      <c r="F219" s="76"/>
      <c r="G219" s="76"/>
      <c r="H219" s="76"/>
      <c r="I219" s="76"/>
      <c r="J219" s="75"/>
    </row>
    <row r="220" spans="1:11" ht="13">
      <c r="A220" s="76" t="s">
        <v>98</v>
      </c>
      <c r="B220" s="76"/>
      <c r="C220" s="76"/>
      <c r="D220" s="76"/>
      <c r="E220" s="76"/>
      <c r="F220" s="76"/>
      <c r="G220" s="76"/>
      <c r="H220" s="76"/>
      <c r="I220" s="76"/>
      <c r="J220" s="76"/>
    </row>
    <row r="221" spans="1:11" ht="13">
      <c r="A221" s="78" t="s">
        <v>99</v>
      </c>
      <c r="B221" s="62"/>
      <c r="C221" s="62"/>
      <c r="D221" s="79"/>
      <c r="E221" s="79"/>
      <c r="F221" s="79"/>
      <c r="G221" s="79"/>
      <c r="H221" s="79"/>
      <c r="I221" s="79"/>
      <c r="J221" s="79"/>
      <c r="K221" s="55"/>
    </row>
    <row r="222" spans="1:11" ht="13">
      <c r="A222" s="74"/>
      <c r="B222" s="74"/>
      <c r="C222" s="75"/>
      <c r="D222" s="77"/>
      <c r="E222" s="75"/>
      <c r="F222" s="75"/>
      <c r="G222" s="75"/>
      <c r="H222" s="75"/>
      <c r="I222" s="75"/>
      <c r="J222" s="75"/>
      <c r="K222" s="53"/>
    </row>
    <row r="223" spans="1:11">
      <c r="A223" s="60" t="s">
        <v>100</v>
      </c>
      <c r="B223" s="60"/>
      <c r="C223" s="60"/>
      <c r="D223" s="60"/>
      <c r="E223" s="60"/>
      <c r="F223" s="60"/>
      <c r="G223" s="60"/>
      <c r="H223" s="60"/>
      <c r="I223" s="60"/>
      <c r="J223" s="60"/>
      <c r="K223" s="55"/>
    </row>
    <row r="224" spans="1:11" ht="13">
      <c r="A224" s="62" t="s">
        <v>101</v>
      </c>
      <c r="B224" s="62"/>
      <c r="C224" s="62"/>
      <c r="D224" s="62"/>
      <c r="E224" s="62"/>
      <c r="F224" s="62"/>
      <c r="G224" s="62"/>
      <c r="H224" s="62"/>
      <c r="I224" s="62"/>
      <c r="J224" s="62"/>
      <c r="K224" s="32"/>
    </row>
    <row r="225" spans="1:10" ht="13">
      <c r="A225" s="9"/>
      <c r="B225" s="9" t="s">
        <v>32</v>
      </c>
      <c r="C225" s="12"/>
      <c r="D225" s="91" t="s">
        <v>67</v>
      </c>
      <c r="E225" s="91"/>
      <c r="F225" s="12"/>
      <c r="G225" s="9" t="s">
        <v>15</v>
      </c>
      <c r="H225" s="9" t="s">
        <v>15</v>
      </c>
      <c r="I225" s="9"/>
      <c r="J225" s="9" t="s">
        <v>19</v>
      </c>
    </row>
    <row r="226" spans="1:10">
      <c r="A226" s="9" t="s">
        <v>34</v>
      </c>
      <c r="B226" s="9" t="s">
        <v>35</v>
      </c>
      <c r="C226" s="9" t="s">
        <v>16</v>
      </c>
      <c r="D226" s="9" t="s">
        <v>17</v>
      </c>
      <c r="E226" s="9" t="s">
        <v>36</v>
      </c>
      <c r="F226" s="9" t="s">
        <v>17</v>
      </c>
      <c r="G226" s="9" t="s">
        <v>37</v>
      </c>
      <c r="H226" s="9" t="s">
        <v>38</v>
      </c>
      <c r="I226" s="9" t="s">
        <v>18</v>
      </c>
      <c r="J226" s="9" t="s">
        <v>24</v>
      </c>
    </row>
    <row r="227" spans="1:10" ht="13">
      <c r="A227" s="63"/>
      <c r="B227" s="9" t="s">
        <v>39</v>
      </c>
      <c r="C227" s="63" t="s">
        <v>22</v>
      </c>
      <c r="D227" s="9" t="s">
        <v>37</v>
      </c>
      <c r="E227" s="9" t="s">
        <v>39</v>
      </c>
      <c r="F227" s="9" t="s">
        <v>38</v>
      </c>
      <c r="G227" s="9"/>
      <c r="H227" s="9" t="s">
        <v>36</v>
      </c>
      <c r="I227" s="9"/>
      <c r="J227" s="9"/>
    </row>
    <row r="228" spans="1:10" ht="13">
      <c r="A228" s="12"/>
      <c r="B228" s="12"/>
      <c r="C228" s="12"/>
      <c r="D228" s="12"/>
      <c r="E228" s="12"/>
      <c r="F228" s="12" t="s">
        <v>40</v>
      </c>
      <c r="G228" s="12"/>
      <c r="H228" s="12" t="s">
        <v>41</v>
      </c>
      <c r="I228" s="12"/>
      <c r="J228" s="12"/>
    </row>
    <row r="229" spans="1:10" ht="13">
      <c r="A229" s="9">
        <v>1</v>
      </c>
      <c r="B229" s="9" t="s">
        <v>74</v>
      </c>
      <c r="C229" s="64">
        <f>_xlfn.NORM.DIST(1200.5,1336.4,59.84,TRUE)</f>
        <v>1.1571789533546914E-2</v>
      </c>
      <c r="D229" s="65">
        <f>90*C229</f>
        <v>1.0414610580192223</v>
      </c>
      <c r="E229" s="66"/>
      <c r="F229" s="66"/>
      <c r="G229" s="9">
        <v>0</v>
      </c>
      <c r="H229" s="66"/>
      <c r="I229" s="66"/>
      <c r="J229" s="66"/>
    </row>
    <row r="230" spans="1:10" ht="13">
      <c r="A230" s="9">
        <v>2</v>
      </c>
      <c r="B230" s="9" t="s">
        <v>75</v>
      </c>
      <c r="C230" s="64">
        <f>_xlfn.NORM.DIST(1220.5,1336.4,59.84,TRUE)-_xlfn.NORM.DIST(1200.5,1336.4,59.84,TRUE)</f>
        <v>1.4811179373408923E-2</v>
      </c>
      <c r="D230" s="65">
        <f t="shared" ref="D230:D248" si="9">90*C230</f>
        <v>1.333006143606803</v>
      </c>
      <c r="E230" s="66"/>
      <c r="F230" s="66"/>
      <c r="G230" s="9">
        <v>0</v>
      </c>
      <c r="H230" s="66"/>
      <c r="I230" s="66"/>
      <c r="J230" s="66"/>
    </row>
    <row r="231" spans="1:10" ht="13">
      <c r="A231" s="9">
        <v>3</v>
      </c>
      <c r="B231" s="9" t="s">
        <v>76</v>
      </c>
      <c r="C231" s="64">
        <f>_xlfn.NORM.DIST(1240.5,1336.4,59.84,TRUE)-_xlfn.NORM.DIST(1220.5,1336.4,59.84,TRUE)</f>
        <v>2.812776007588981E-2</v>
      </c>
      <c r="D231" s="65">
        <f t="shared" si="9"/>
        <v>2.531498406830083</v>
      </c>
      <c r="E231" s="67"/>
      <c r="F231" s="66"/>
      <c r="G231" s="9">
        <v>3</v>
      </c>
      <c r="H231" s="66"/>
      <c r="I231" s="66"/>
      <c r="J231" s="66"/>
    </row>
    <row r="232" spans="1:10" ht="13">
      <c r="A232" s="9">
        <v>4</v>
      </c>
      <c r="B232" s="9" t="s">
        <v>77</v>
      </c>
      <c r="C232" s="64">
        <f>_xlfn.NORM.DIST(1260.5,1336.4,59.84,TRUE)-_xlfn.NORM.DIST(1240.5,1336.4,59.84,TRUE)</f>
        <v>4.7819991267752673E-2</v>
      </c>
      <c r="D232" s="65">
        <f t="shared" si="9"/>
        <v>4.303799214097741</v>
      </c>
      <c r="E232" s="66"/>
      <c r="F232" s="66"/>
      <c r="G232" s="9">
        <v>0</v>
      </c>
      <c r="H232" s="66"/>
      <c r="I232" s="66"/>
      <c r="J232" s="68"/>
    </row>
    <row r="233" spans="1:10" ht="13">
      <c r="A233" s="9">
        <v>5</v>
      </c>
      <c r="B233" s="9" t="s">
        <v>78</v>
      </c>
      <c r="C233" s="64">
        <f>_xlfn.NORM.DIST(1280.5,1336.4,59.84,TRUE)-_xlfn.NORM.DIST(1260.5,1336.4,59.84,TRUE)</f>
        <v>7.2780541765571041E-2</v>
      </c>
      <c r="D233" s="65">
        <f t="shared" si="9"/>
        <v>6.550248758901394</v>
      </c>
      <c r="E233" s="9" t="s">
        <v>79</v>
      </c>
      <c r="F233" s="9">
        <v>16</v>
      </c>
      <c r="G233" s="9">
        <v>4</v>
      </c>
      <c r="H233" s="9">
        <v>7</v>
      </c>
      <c r="I233" s="9">
        <f>F233-H233</f>
        <v>9</v>
      </c>
      <c r="J233" s="69">
        <f>I233^2/F233</f>
        <v>5.0625</v>
      </c>
    </row>
    <row r="234" spans="1:10" s="80" customFormat="1" ht="13">
      <c r="A234" s="9">
        <v>6</v>
      </c>
      <c r="B234" s="9" t="s">
        <v>80</v>
      </c>
      <c r="C234" s="64">
        <f>_xlfn.NORM.DIST(1300.5,1336.4,59.84,TRUE)-_xlfn.NORM.DIST(1280.5,1336.4,59.84,TRUE)</f>
        <v>9.9164130552422652E-2</v>
      </c>
      <c r="D234" s="65">
        <f t="shared" si="9"/>
        <v>8.9247717497180385</v>
      </c>
      <c r="E234" s="9" t="s">
        <v>80</v>
      </c>
      <c r="F234" s="9">
        <v>9</v>
      </c>
      <c r="G234" s="9">
        <v>6</v>
      </c>
      <c r="H234" s="9">
        <v>6</v>
      </c>
      <c r="I234" s="9">
        <f t="shared" ref="I234:I242" si="10">F234-H234</f>
        <v>3</v>
      </c>
      <c r="J234" s="69">
        <f t="shared" ref="J234:J242" si="11">I234^2/F234</f>
        <v>1</v>
      </c>
    </row>
    <row r="235" spans="1:10" s="80" customFormat="1" ht="13">
      <c r="A235" s="9">
        <v>7</v>
      </c>
      <c r="B235" s="9" t="s">
        <v>81</v>
      </c>
      <c r="C235" s="64">
        <f>_xlfn.NORM.DIST(1320.5,1336.4,59.84,TRUE)-_xlfn.NORM.DIST(1300.5,1336.4,59.84,TRUE)</f>
        <v>0.12095644410223783</v>
      </c>
      <c r="D235" s="65">
        <f t="shared" si="9"/>
        <v>10.886079969201404</v>
      </c>
      <c r="E235" s="9" t="s">
        <v>81</v>
      </c>
      <c r="F235" s="9">
        <v>11</v>
      </c>
      <c r="G235" s="9">
        <v>10</v>
      </c>
      <c r="H235" s="9">
        <v>10</v>
      </c>
      <c r="I235" s="9">
        <f t="shared" si="10"/>
        <v>1</v>
      </c>
      <c r="J235" s="69">
        <f t="shared" si="11"/>
        <v>9.0909090909090912E-2</v>
      </c>
    </row>
    <row r="236" spans="1:10" s="80" customFormat="1" ht="13">
      <c r="A236" s="9">
        <v>8</v>
      </c>
      <c r="B236" s="9" t="s">
        <v>82</v>
      </c>
      <c r="C236" s="64">
        <f>_xlfn.NORM.DIST(1340.5,1336.4,59.84,TRUE)-_xlfn.NORM.DIST(1320.5,1336.4,59.84,TRUE)</f>
        <v>0.13208073843248602</v>
      </c>
      <c r="D236" s="65">
        <f t="shared" si="9"/>
        <v>11.887266458923742</v>
      </c>
      <c r="E236" s="9" t="s">
        <v>82</v>
      </c>
      <c r="F236" s="9">
        <v>12</v>
      </c>
      <c r="G236" s="9">
        <v>18</v>
      </c>
      <c r="H236" s="9">
        <v>18</v>
      </c>
      <c r="I236" s="9">
        <f t="shared" si="10"/>
        <v>-6</v>
      </c>
      <c r="J236" s="69">
        <f t="shared" si="11"/>
        <v>3</v>
      </c>
    </row>
    <row r="237" spans="1:10" s="80" customFormat="1" ht="13">
      <c r="A237" s="9">
        <v>9</v>
      </c>
      <c r="B237" s="9" t="s">
        <v>83</v>
      </c>
      <c r="C237" s="64">
        <f>_xlfn.NORM.DIST(1360.5,1336.4,59.84,TRUE)-_xlfn.NORM.DIST(1340.5,1336.4,59.84,TRUE)</f>
        <v>0.12911790873015427</v>
      </c>
      <c r="D237" s="65">
        <f t="shared" si="9"/>
        <v>11.620611785713885</v>
      </c>
      <c r="E237" s="9" t="s">
        <v>83</v>
      </c>
      <c r="F237" s="9">
        <v>12</v>
      </c>
      <c r="G237" s="9">
        <v>10</v>
      </c>
      <c r="H237" s="9">
        <v>10</v>
      </c>
      <c r="I237" s="9">
        <f t="shared" si="10"/>
        <v>2</v>
      </c>
      <c r="J237" s="69">
        <f t="shared" si="11"/>
        <v>0.33333333333333331</v>
      </c>
    </row>
    <row r="238" spans="1:10" s="80" customFormat="1" ht="13">
      <c r="A238" s="9">
        <v>10</v>
      </c>
      <c r="B238" s="9" t="s">
        <v>84</v>
      </c>
      <c r="C238" s="64">
        <f>_xlfn.NORM.DIST(1380.5,1336.4,59.84,TRUE)-_xlfn.NORM.DIST(1360.5,1336.4,59.84,TRUE)</f>
        <v>0.11299777234174802</v>
      </c>
      <c r="D238" s="65">
        <f t="shared" si="9"/>
        <v>10.169799510757322</v>
      </c>
      <c r="E238" s="9" t="s">
        <v>84</v>
      </c>
      <c r="F238" s="9">
        <v>10</v>
      </c>
      <c r="G238" s="9">
        <v>12</v>
      </c>
      <c r="H238" s="9">
        <v>12</v>
      </c>
      <c r="I238" s="9">
        <f t="shared" si="10"/>
        <v>-2</v>
      </c>
      <c r="J238" s="69">
        <f t="shared" si="11"/>
        <v>0.4</v>
      </c>
    </row>
    <row r="239" spans="1:10" s="80" customFormat="1" ht="13">
      <c r="A239" s="9">
        <v>11</v>
      </c>
      <c r="B239" s="9" t="s">
        <v>85</v>
      </c>
      <c r="C239" s="64">
        <f>_xlfn.NORM.DIST(1400.5,1336.4,59.84,TRUE)-_xlfn.NORM.DIST(1380.5,1336.4,59.84,TRUE)</f>
        <v>8.8529704232677697E-2</v>
      </c>
      <c r="D239" s="65">
        <f t="shared" si="9"/>
        <v>7.967673380940993</v>
      </c>
      <c r="E239" s="9" t="s">
        <v>85</v>
      </c>
      <c r="F239" s="9">
        <v>8</v>
      </c>
      <c r="G239" s="9">
        <v>9</v>
      </c>
      <c r="H239" s="9">
        <v>9</v>
      </c>
      <c r="I239" s="9">
        <f t="shared" si="10"/>
        <v>-1</v>
      </c>
      <c r="J239" s="69">
        <f t="shared" si="11"/>
        <v>0.125</v>
      </c>
    </row>
    <row r="240" spans="1:10" s="80" customFormat="1" ht="13">
      <c r="A240" s="9">
        <v>12</v>
      </c>
      <c r="B240" s="9" t="s">
        <v>86</v>
      </c>
      <c r="C240" s="64">
        <f>_xlfn.NORM.DIST(1420.5,1336.4,59.84,TRUE)-_xlfn.NORM.DIST(1400.5,1336.4,59.84,TRUE)</f>
        <v>6.2093001721174712E-2</v>
      </c>
      <c r="D240" s="65">
        <f t="shared" si="9"/>
        <v>5.5883701549057241</v>
      </c>
      <c r="E240" s="9" t="s">
        <v>86</v>
      </c>
      <c r="F240" s="9">
        <v>6</v>
      </c>
      <c r="G240" s="9">
        <v>9</v>
      </c>
      <c r="H240" s="9">
        <v>9</v>
      </c>
      <c r="I240" s="9">
        <f t="shared" si="10"/>
        <v>-3</v>
      </c>
      <c r="J240" s="69">
        <f t="shared" si="11"/>
        <v>1.5</v>
      </c>
    </row>
    <row r="241" spans="1:11" s="80" customFormat="1" ht="13">
      <c r="A241" s="9">
        <v>13</v>
      </c>
      <c r="B241" s="9" t="s">
        <v>88</v>
      </c>
      <c r="C241" s="64">
        <f>_xlfn.NORM.DIST(1440.5,1336.4,59.84,TRUE)-_xlfn.NORM.DIST(1420.5,1336.4,59.84,TRUE)</f>
        <v>3.8987827843529832E-2</v>
      </c>
      <c r="D241" s="65">
        <f t="shared" si="9"/>
        <v>3.5089045059176849</v>
      </c>
      <c r="E241" s="9" t="s">
        <v>88</v>
      </c>
      <c r="F241" s="9">
        <v>4</v>
      </c>
      <c r="G241" s="9">
        <v>4</v>
      </c>
      <c r="H241" s="9">
        <v>4</v>
      </c>
      <c r="I241" s="9">
        <f t="shared" si="10"/>
        <v>0</v>
      </c>
      <c r="J241" s="69">
        <f t="shared" si="11"/>
        <v>0</v>
      </c>
    </row>
    <row r="242" spans="1:11" s="80" customFormat="1" ht="13">
      <c r="A242" s="9">
        <v>14</v>
      </c>
      <c r="B242" s="9" t="s">
        <v>89</v>
      </c>
      <c r="C242" s="64">
        <f>_xlfn.NORM.DIST(1460.5,1336.4,59.84,TRUE)-_xlfn.NORM.DIST(1440.5,1336.4,59.84,TRUE)</f>
        <v>2.1915221496534132E-2</v>
      </c>
      <c r="D242" s="65">
        <f t="shared" si="9"/>
        <v>1.9723699346880719</v>
      </c>
      <c r="E242" s="9" t="s">
        <v>102</v>
      </c>
      <c r="F242" s="9">
        <v>3</v>
      </c>
      <c r="G242" s="9">
        <v>0</v>
      </c>
      <c r="H242" s="9">
        <v>5</v>
      </c>
      <c r="I242" s="9">
        <f t="shared" si="10"/>
        <v>-2</v>
      </c>
      <c r="J242" s="69">
        <f t="shared" si="11"/>
        <v>1.3333333333333333</v>
      </c>
    </row>
    <row r="243" spans="1:11" s="80" customFormat="1" ht="13">
      <c r="A243" s="9">
        <v>15</v>
      </c>
      <c r="B243" s="9" t="s">
        <v>90</v>
      </c>
      <c r="C243" s="64">
        <f>_xlfn.NORM.DIST(1480.5,1336.4,59.84,TRUE)-_xlfn.NORM.DIST(1460.5,1336.4,59.84,TRUE)</f>
        <v>1.1027836162709526E-2</v>
      </c>
      <c r="D243" s="65">
        <f t="shared" si="9"/>
        <v>0.9925052546438573</v>
      </c>
      <c r="E243" s="66"/>
      <c r="F243" s="66"/>
      <c r="G243" s="9">
        <v>2</v>
      </c>
      <c r="H243" s="66"/>
      <c r="I243" s="81"/>
      <c r="J243" s="68"/>
    </row>
    <row r="244" spans="1:11" ht="13">
      <c r="A244" s="9">
        <v>16</v>
      </c>
      <c r="B244" s="9" t="s">
        <v>91</v>
      </c>
      <c r="C244" s="64">
        <f>_xlfn.NORM.DIST(1500.5,1336.4,59.84,TRUE)-_xlfn.NORM.DIST(1480.5,1336.4,59.84,TRUE)</f>
        <v>4.9677420039175857E-3</v>
      </c>
      <c r="D244" s="65">
        <f t="shared" si="9"/>
        <v>0.44709678035258271</v>
      </c>
      <c r="E244" s="66"/>
      <c r="F244" s="66"/>
      <c r="G244" s="9">
        <v>0</v>
      </c>
      <c r="H244" s="66"/>
      <c r="I244" s="81"/>
      <c r="J244" s="68"/>
    </row>
    <row r="245" spans="1:11" ht="13">
      <c r="A245" s="9">
        <v>17</v>
      </c>
      <c r="B245" s="9" t="s">
        <v>92</v>
      </c>
      <c r="C245" s="64">
        <f>_xlfn.NORM.DIST(1520.5,1336.4,59.84,TRUE)-_xlfn.NORM.DIST(1500.5,1336.4,59.84,TRUE)</f>
        <v>2.0033103347218972E-3</v>
      </c>
      <c r="D245" s="65">
        <f t="shared" si="9"/>
        <v>0.18029793012497075</v>
      </c>
      <c r="E245" s="66"/>
      <c r="F245" s="66"/>
      <c r="G245" s="9">
        <v>0</v>
      </c>
      <c r="H245" s="66"/>
      <c r="I245" s="81"/>
      <c r="J245" s="68"/>
    </row>
    <row r="246" spans="1:11" ht="13">
      <c r="A246" s="9">
        <v>18</v>
      </c>
      <c r="B246" s="9" t="s">
        <v>93</v>
      </c>
      <c r="C246" s="64">
        <f>_xlfn.NORM.DIST(1540.5,1336.4,59.84,TRUE)-_xlfn.NORM.DIST(1520.5,1336.4,59.84,TRUE)</f>
        <v>7.2319200999781952E-4</v>
      </c>
      <c r="D246" s="65">
        <f t="shared" si="9"/>
        <v>6.5087280899803757E-2</v>
      </c>
      <c r="E246" s="66"/>
      <c r="F246" s="66"/>
      <c r="G246" s="9">
        <v>1</v>
      </c>
      <c r="H246" s="66"/>
      <c r="I246" s="81"/>
      <c r="J246" s="68"/>
    </row>
    <row r="247" spans="1:11" ht="13">
      <c r="A247" s="9">
        <v>19</v>
      </c>
      <c r="B247" s="9" t="s">
        <v>94</v>
      </c>
      <c r="C247" s="64">
        <f>_xlfn.NORM.DIST(1560.5,1336.4,59.84,TRUE)-_xlfn.NORM.DIST(1540.5,1336.4,59.84,TRUE)</f>
        <v>2.3370632852304229E-4</v>
      </c>
      <c r="D247" s="65">
        <f t="shared" si="9"/>
        <v>2.1033569567073807E-2</v>
      </c>
      <c r="E247" s="66"/>
      <c r="F247" s="66"/>
      <c r="G247" s="9">
        <v>2</v>
      </c>
      <c r="H247" s="66"/>
      <c r="I247" s="81"/>
      <c r="J247" s="68"/>
    </row>
    <row r="248" spans="1:11" ht="13">
      <c r="A248" s="9">
        <v>20</v>
      </c>
      <c r="B248" s="9" t="s">
        <v>95</v>
      </c>
      <c r="C248" s="64">
        <f>1-_xlfn.NORM.DIST(1560.5,1336.4,59.84,TRUE)</f>
        <v>9.0201690995606043E-5</v>
      </c>
      <c r="D248" s="65">
        <f t="shared" si="9"/>
        <v>8.1181521896045439E-3</v>
      </c>
      <c r="E248" s="66"/>
      <c r="F248" s="66"/>
      <c r="G248" s="9">
        <v>0</v>
      </c>
      <c r="H248" s="66"/>
      <c r="I248" s="66"/>
      <c r="J248" s="66"/>
    </row>
    <row r="249" spans="1:11" ht="13">
      <c r="A249" s="16" t="s">
        <v>25</v>
      </c>
      <c r="B249" s="70"/>
      <c r="C249" s="71">
        <f>SUM(C229:C248)</f>
        <v>1</v>
      </c>
      <c r="D249" s="72">
        <f>SUM(D229:D248)</f>
        <v>90</v>
      </c>
      <c r="E249" s="72"/>
      <c r="F249" s="72">
        <v>90</v>
      </c>
      <c r="G249" s="16">
        <v>90</v>
      </c>
      <c r="H249" s="16">
        <v>90</v>
      </c>
      <c r="I249" s="16"/>
      <c r="J249" s="73">
        <f>SUM(J229:J248)</f>
        <v>12.845075757575758</v>
      </c>
    </row>
    <row r="250" spans="1:11" ht="13">
      <c r="A250" s="60" t="s">
        <v>103</v>
      </c>
      <c r="B250" s="60"/>
      <c r="C250" s="60"/>
      <c r="D250" s="60"/>
      <c r="E250" s="60"/>
      <c r="F250" s="60"/>
      <c r="G250" s="60"/>
      <c r="H250" s="75"/>
      <c r="I250" s="74"/>
      <c r="J250" s="74"/>
      <c r="K250" s="55"/>
    </row>
    <row r="251" spans="1:11" ht="13">
      <c r="A251" s="76"/>
      <c r="B251" s="75"/>
      <c r="C251" s="75"/>
      <c r="D251" s="77"/>
      <c r="E251" s="75"/>
      <c r="F251" s="75"/>
      <c r="G251" s="75"/>
      <c r="H251" s="75"/>
      <c r="I251" s="75"/>
      <c r="J251" s="75"/>
      <c r="K251" s="53"/>
    </row>
    <row r="252" spans="1:11">
      <c r="A252" s="76" t="s">
        <v>104</v>
      </c>
      <c r="B252" s="76"/>
      <c r="C252" s="76"/>
      <c r="D252" s="76"/>
      <c r="E252" s="76"/>
      <c r="F252" s="76"/>
      <c r="G252" s="76"/>
      <c r="H252" s="76"/>
      <c r="I252" s="76"/>
      <c r="J252" s="76"/>
    </row>
    <row r="253" spans="1:11" ht="13">
      <c r="A253" s="76" t="s">
        <v>105</v>
      </c>
      <c r="B253" s="76"/>
      <c r="C253" s="76"/>
      <c r="D253" s="76"/>
      <c r="E253" s="76"/>
      <c r="F253" s="76"/>
      <c r="G253" s="76"/>
      <c r="H253" s="76"/>
      <c r="I253" s="76"/>
      <c r="J253" s="76"/>
      <c r="K253" s="55"/>
    </row>
    <row r="254" spans="1:11" thickBot="1">
      <c r="A254" s="82" t="s">
        <v>106</v>
      </c>
      <c r="B254" s="83"/>
      <c r="C254" s="83"/>
      <c r="D254" s="83"/>
      <c r="E254" s="83"/>
      <c r="F254" s="83"/>
      <c r="G254" s="84"/>
      <c r="H254" s="84"/>
      <c r="I254" s="84"/>
      <c r="J254" s="84"/>
      <c r="K254" s="55"/>
    </row>
    <row r="255" spans="1:11" thickTop="1"/>
  </sheetData>
  <mergeCells count="7">
    <mergeCell ref="D225:E225"/>
    <mergeCell ref="C8:D8"/>
    <mergeCell ref="E8:F8"/>
    <mergeCell ref="G8:H8"/>
    <mergeCell ref="D129:E129"/>
    <mergeCell ref="D160:E160"/>
    <mergeCell ref="D192:E192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Uliyanova</dc:creator>
  <cp:lastModifiedBy>Olga Uliyanova</cp:lastModifiedBy>
  <dcterms:created xsi:type="dcterms:W3CDTF">2015-07-28T09:39:19Z</dcterms:created>
  <dcterms:modified xsi:type="dcterms:W3CDTF">2015-08-16T12:09:53Z</dcterms:modified>
</cp:coreProperties>
</file>