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14" i="1" l="1"/>
  <c r="V13" i="1"/>
  <c r="T14" i="1"/>
  <c r="T13" i="1"/>
  <c r="Q5" i="1"/>
  <c r="Q6" i="1"/>
  <c r="Q7" i="1"/>
  <c r="Q8" i="1"/>
  <c r="Q22" i="1"/>
  <c r="Q18" i="1"/>
  <c r="Q9" i="1"/>
  <c r="Q10" i="1"/>
  <c r="Q11" i="1"/>
  <c r="Q12" i="1"/>
  <c r="Q14" i="1"/>
  <c r="Q13" i="1"/>
  <c r="F31" i="1" l="1"/>
  <c r="E31" i="1"/>
  <c r="B31" i="1"/>
  <c r="B29" i="1"/>
  <c r="F29" i="1"/>
  <c r="E29" i="1"/>
  <c r="O20" i="1" l="1"/>
  <c r="O16" i="1"/>
  <c r="O22" i="1" l="1"/>
  <c r="O18" i="1"/>
  <c r="P6" i="1"/>
  <c r="P7" i="1"/>
  <c r="P8" i="1"/>
  <c r="P9" i="1"/>
  <c r="P10" i="1"/>
  <c r="P11" i="1"/>
  <c r="P12" i="1"/>
  <c r="P13" i="1"/>
  <c r="P14" i="1"/>
  <c r="P5" i="1"/>
  <c r="O6" i="1"/>
  <c r="O7" i="1"/>
  <c r="O8" i="1"/>
  <c r="O9" i="1"/>
  <c r="O10" i="1"/>
  <c r="O11" i="1"/>
  <c r="O12" i="1"/>
  <c r="O13" i="1"/>
  <c r="O14" i="1"/>
  <c r="O5" i="1"/>
  <c r="N6" i="1"/>
  <c r="N7" i="1"/>
  <c r="N8" i="1"/>
  <c r="N9" i="1"/>
  <c r="N10" i="1"/>
  <c r="N11" i="1"/>
  <c r="N12" i="1"/>
  <c r="N13" i="1"/>
  <c r="N14" i="1"/>
  <c r="N5" i="1"/>
  <c r="M6" i="1"/>
  <c r="M7" i="1"/>
  <c r="M8" i="1"/>
  <c r="M9" i="1"/>
  <c r="M10" i="1"/>
  <c r="M11" i="1"/>
  <c r="M12" i="1"/>
  <c r="M13" i="1"/>
  <c r="M14" i="1"/>
  <c r="M5" i="1"/>
  <c r="L6" i="1"/>
  <c r="L7" i="1"/>
  <c r="L8" i="1"/>
  <c r="L9" i="1"/>
  <c r="L10" i="1"/>
  <c r="L11" i="1"/>
  <c r="L12" i="1"/>
  <c r="L13" i="1"/>
  <c r="L14" i="1"/>
  <c r="L5" i="1"/>
  <c r="K6" i="1"/>
  <c r="K7" i="1"/>
  <c r="K8" i="1"/>
  <c r="K9" i="1"/>
  <c r="K10" i="1"/>
  <c r="K11" i="1"/>
  <c r="K12" i="1"/>
  <c r="K13" i="1"/>
  <c r="K14" i="1"/>
  <c r="K5" i="1"/>
  <c r="O27" i="1" l="1"/>
  <c r="O28" i="1" s="1"/>
  <c r="O45" i="1" s="1"/>
  <c r="O25" i="1"/>
  <c r="O31" i="1"/>
  <c r="O41" i="1"/>
  <c r="O35" i="1" l="1"/>
  <c r="O39" i="1"/>
  <c r="O43" i="1"/>
  <c r="O33" i="1"/>
  <c r="O37" i="1"/>
</calcChain>
</file>

<file path=xl/sharedStrings.xml><?xml version="1.0" encoding="utf-8"?>
<sst xmlns="http://schemas.openxmlformats.org/spreadsheetml/2006/main" count="99" uniqueCount="56">
  <si>
    <t>SW Calcs. On ICPMS data</t>
  </si>
  <si>
    <t>B1</t>
  </si>
  <si>
    <t>B2</t>
  </si>
  <si>
    <t>B3</t>
  </si>
  <si>
    <t>B4</t>
  </si>
  <si>
    <t>1</t>
  </si>
  <si>
    <t>2 1/10</t>
  </si>
  <si>
    <t>2 1/100</t>
  </si>
  <si>
    <t>3</t>
  </si>
  <si>
    <t>4 1/10</t>
  </si>
  <si>
    <t>4 1/100</t>
  </si>
  <si>
    <t>Explanation of samples - note that ALL dilution factors have already been implemented in the ICPMS software.</t>
  </si>
  <si>
    <t>B1-B4: Blanks (DF 1)</t>
  </si>
  <si>
    <t>- 1: *Control Cells (DF 1)</t>
  </si>
  <si>
    <t>- 2 1/10: 10 times diluted control medium (DF 10)</t>
  </si>
  <si>
    <t>- 2 1/100: 100 times diluted control medium (DF 100)</t>
  </si>
  <si>
    <t>- 3: *30uM Ti Cells (DF 1)</t>
  </si>
  <si>
    <t>- 4 1/10: 10 times diluted 30uM Ti medium (DF 10)</t>
  </si>
  <si>
    <t>- 4 1/100: 100 times diluted 30uM Ti medium (DF 100)</t>
  </si>
  <si>
    <t>Sample</t>
  </si>
  <si>
    <t>Na</t>
  </si>
  <si>
    <t>Mg</t>
  </si>
  <si>
    <t>P</t>
  </si>
  <si>
    <t>S</t>
  </si>
  <si>
    <t>K</t>
  </si>
  <si>
    <t>Ca</t>
  </si>
  <si>
    <t>Ti</t>
  </si>
  <si>
    <t>Label</t>
  </si>
  <si>
    <t>(mg/L)</t>
  </si>
  <si>
    <r>
      <t>(</t>
    </r>
    <r>
      <rPr>
        <sz val="10"/>
        <rFont val="Calibri"/>
        <family val="2"/>
      </rPr>
      <t>µ</t>
    </r>
    <r>
      <rPr>
        <sz val="10"/>
        <rFont val="Arial"/>
        <family val="2"/>
      </rPr>
      <t>g/L)</t>
    </r>
  </si>
  <si>
    <t>(M)</t>
  </si>
  <si>
    <t>AVERAGE Ti PER CELL</t>
  </si>
  <si>
    <t>TOTAL MOLS Ti IN ALL CELLS (5.8E+05) in Sample 1 (control):</t>
  </si>
  <si>
    <t>TOTAL CELLS IN SAMPLE:</t>
  </si>
  <si>
    <t>g</t>
  </si>
  <si>
    <t>Average volume TiO2 in a cell:</t>
  </si>
  <si>
    <t>cm3</t>
  </si>
  <si>
    <t>m3</t>
  </si>
  <si>
    <t>m</t>
  </si>
  <si>
    <t>Hypothetical dimentions of 1000 TiO2 cubes:</t>
  </si>
  <si>
    <t>Hypothetical single solid 'cube' TiO2 of maximum dimensions:</t>
  </si>
  <si>
    <t>Hypothetical dimentions of 10000 TiO2 cubes:</t>
  </si>
  <si>
    <t>Hypothetical dimentions of 100000 TiO2 cubes:</t>
  </si>
  <si>
    <t>Hypothetical dimentions of 1000000 TiO2 cubes:</t>
  </si>
  <si>
    <t>Hypothetical dimentions of 10000000 TiO2 cubes:</t>
  </si>
  <si>
    <t>Estimated size of TiO2 particles in one cell by number….</t>
  </si>
  <si>
    <t>Average mass of TiO2 in a cell (max in 'Sadler model'):</t>
  </si>
  <si>
    <r>
      <t xml:space="preserve">TOTAL </t>
    </r>
    <r>
      <rPr>
        <b/>
        <sz val="11"/>
        <color theme="1"/>
        <rFont val="Calibri"/>
        <family val="2"/>
        <scheme val="minor"/>
      </rPr>
      <t xml:space="preserve">FINAL </t>
    </r>
    <r>
      <rPr>
        <sz val="11"/>
        <color theme="1"/>
        <rFont val="Calibri"/>
        <family val="2"/>
        <scheme val="minor"/>
      </rPr>
      <t>VOLUME ALL SAMPLES 15 mL</t>
    </r>
  </si>
  <si>
    <t>g for 2.6E+05 cells</t>
  </si>
  <si>
    <t>calculated masses per million cells</t>
  </si>
  <si>
    <t>ng</t>
  </si>
  <si>
    <t>Hypothetical dimentions of 1x 10^11 TiO2 cubes:</t>
  </si>
  <si>
    <t>femtomol</t>
  </si>
  <si>
    <t>*Blanks and Cells digestions: 3mL (16% HNO3) - 2h 95˚C - diluted with MilliQ water up to a volume of 15mL</t>
  </si>
  <si>
    <t>Calculated mols Ti TOTAL</t>
  </si>
  <si>
    <t>TOTAL MOLS Ti IN ALL CELLS (5.8E+05) in Sample 3 (treated):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</si>
</sst>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21" fillId="36" borderId="10" xfId="0" applyFont="1" applyFill="1" applyBorder="1" applyAlignment="1">
      <alignment horizontal="center"/>
    </xf>
    <xf numFmtId="164" fontId="21" fillId="36" borderId="10" xfId="0" applyNumberFormat="1" applyFont="1" applyFill="1" applyBorder="1" applyAlignment="1">
      <alignment horizontal="center"/>
    </xf>
    <xf numFmtId="0" fontId="21" fillId="37" borderId="10" xfId="0" applyFont="1" applyFill="1" applyBorder="1" applyAlignment="1">
      <alignment horizontal="center"/>
    </xf>
    <xf numFmtId="164" fontId="21" fillId="37" borderId="10" xfId="0" applyNumberFormat="1" applyFont="1" applyFill="1" applyBorder="1" applyAlignment="1">
      <alignment horizontal="center"/>
    </xf>
    <xf numFmtId="0" fontId="0" fillId="37" borderId="0" xfId="0" applyFill="1"/>
    <xf numFmtId="0" fontId="0" fillId="36" borderId="0" xfId="0" applyFill="1"/>
    <xf numFmtId="0" fontId="0" fillId="0" borderId="0" xfId="0" applyAlignment="1"/>
    <xf numFmtId="0" fontId="21" fillId="0" borderId="0" xfId="0" applyFont="1" applyFill="1" applyBorder="1" applyAlignment="1">
      <alignment horizontal="left"/>
    </xf>
    <xf numFmtId="0" fontId="0" fillId="0" borderId="0" xfId="0"/>
    <xf numFmtId="0" fontId="0" fillId="0" borderId="0" xfId="0" applyAlignment="1">
      <alignment vertical="center"/>
    </xf>
    <xf numFmtId="0" fontId="21" fillId="0" borderId="10" xfId="0" applyFont="1" applyFill="1" applyBorder="1" applyAlignment="1">
      <alignment horizontal="center"/>
    </xf>
    <xf numFmtId="164" fontId="21" fillId="0" borderId="1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9" fillId="0" borderId="0" xfId="0" applyNumberFormat="1" applyFont="1" applyFill="1" applyBorder="1" applyAlignment="1" applyProtection="1">
      <alignment horizontal="center"/>
    </xf>
    <xf numFmtId="0" fontId="19" fillId="33" borderId="10" xfId="0" applyNumberFormat="1" applyFont="1" applyFill="1" applyBorder="1" applyAlignment="1" applyProtection="1">
      <alignment horizontal="center"/>
    </xf>
    <xf numFmtId="0" fontId="19" fillId="34" borderId="10" xfId="0" applyNumberFormat="1" applyFont="1" applyFill="1" applyBorder="1" applyAlignment="1" applyProtection="1">
      <alignment horizontal="center"/>
    </xf>
    <xf numFmtId="0" fontId="21" fillId="0" borderId="10" xfId="0" applyFont="1" applyFill="1" applyBorder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0" fillId="38" borderId="0" xfId="0" applyFill="1"/>
    <xf numFmtId="11" fontId="0" fillId="38" borderId="0" xfId="0" applyNumberFormat="1" applyFill="1"/>
    <xf numFmtId="0" fontId="23" fillId="38" borderId="0" xfId="0" applyFont="1" applyFill="1"/>
    <xf numFmtId="0" fontId="0" fillId="35" borderId="0" xfId="0" applyFill="1"/>
    <xf numFmtId="2" fontId="0" fillId="0" borderId="0" xfId="0" applyNumberFormat="1"/>
    <xf numFmtId="11" fontId="0" fillId="0" borderId="0" xfId="0" applyNumberFormat="1"/>
    <xf numFmtId="0" fontId="23" fillId="39" borderId="0" xfId="0" applyFont="1" applyFill="1"/>
    <xf numFmtId="0" fontId="0" fillId="39" borderId="0" xfId="0" applyFill="1"/>
    <xf numFmtId="0" fontId="16" fillId="0" borderId="0" xfId="0" applyFont="1"/>
    <xf numFmtId="0" fontId="16" fillId="36" borderId="0" xfId="0" applyFont="1" applyFill="1"/>
    <xf numFmtId="0" fontId="16" fillId="37" borderId="0" xfId="0" applyFont="1" applyFill="1"/>
    <xf numFmtId="0" fontId="23" fillId="0" borderId="0" xfId="0" applyFont="1"/>
    <xf numFmtId="0" fontId="22" fillId="0" borderId="0" xfId="0" applyFont="1" applyFill="1" applyBorder="1" applyAlignment="1">
      <alignment horizontal="left"/>
    </xf>
    <xf numFmtId="0" fontId="16" fillId="35" borderId="0" xfId="0" applyFont="1" applyFill="1" applyAlignment="1"/>
    <xf numFmtId="11" fontId="16" fillId="0" borderId="0" xfId="0" applyNumberFormat="1" applyFont="1" applyAlignment="1"/>
    <xf numFmtId="11" fontId="16" fillId="36" borderId="0" xfId="0" applyNumberFormat="1" applyFont="1" applyFill="1"/>
    <xf numFmtId="11" fontId="16" fillId="37" borderId="0" xfId="0" applyNumberFormat="1" applyFont="1" applyFill="1"/>
    <xf numFmtId="0" fontId="16" fillId="38" borderId="0" xfId="0" applyFont="1" applyFill="1"/>
    <xf numFmtId="0" fontId="0" fillId="38" borderId="0" xfId="0" applyFont="1" applyFill="1"/>
    <xf numFmtId="11" fontId="0" fillId="0" borderId="0" xfId="0" applyNumberFormat="1" applyAlignment="1">
      <alignment wrapText="1"/>
    </xf>
    <xf numFmtId="0" fontId="22" fillId="35" borderId="0" xfId="0" applyFont="1" applyFill="1" applyBorder="1" applyAlignment="1">
      <alignment horizontal="center" wrapText="1"/>
    </xf>
    <xf numFmtId="0" fontId="0" fillId="35" borderId="0" xfId="0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abSelected="1" zoomScale="60" zoomScaleNormal="60" workbookViewId="0">
      <selection activeCell="V16" sqref="V16"/>
    </sheetView>
  </sheetViews>
  <sheetFormatPr defaultRowHeight="15" x14ac:dyDescent="0.25"/>
  <cols>
    <col min="2" max="2" width="13.140625" bestFit="1" customWidth="1"/>
    <col min="5" max="5" width="13.140625" bestFit="1" customWidth="1"/>
    <col min="7" max="7" width="13.140625" bestFit="1" customWidth="1"/>
    <col min="11" max="11" width="12.5703125" customWidth="1"/>
    <col min="12" max="12" width="13.140625" customWidth="1"/>
    <col min="13" max="13" width="13.42578125" customWidth="1"/>
    <col min="14" max="15" width="13" customWidth="1"/>
    <col min="16" max="16" width="13.5703125" customWidth="1"/>
    <col min="17" max="17" width="14.42578125" customWidth="1"/>
    <col min="20" max="20" width="13.140625" bestFit="1" customWidth="1"/>
    <col min="22" max="22" width="12.28515625" bestFit="1" customWidth="1"/>
  </cols>
  <sheetData>
    <row r="1" spans="1:35" x14ac:dyDescent="0.25">
      <c r="A1" t="s">
        <v>0</v>
      </c>
    </row>
    <row r="2" spans="1:35" s="14" customFormat="1" x14ac:dyDescent="0.25"/>
    <row r="3" spans="1:35" s="9" customFormat="1" x14ac:dyDescent="0.25">
      <c r="A3" s="15" t="s">
        <v>19</v>
      </c>
      <c r="B3" s="17" t="s">
        <v>20</v>
      </c>
      <c r="C3" s="17" t="s">
        <v>21</v>
      </c>
      <c r="D3" s="17" t="s">
        <v>22</v>
      </c>
      <c r="E3" s="17" t="s">
        <v>23</v>
      </c>
      <c r="F3" s="17" t="s">
        <v>24</v>
      </c>
      <c r="G3" s="17" t="s">
        <v>25</v>
      </c>
      <c r="H3" s="16" t="s">
        <v>26</v>
      </c>
      <c r="I3" s="15"/>
      <c r="J3" s="15" t="s">
        <v>19</v>
      </c>
      <c r="K3" s="17" t="s">
        <v>20</v>
      </c>
      <c r="L3" s="17" t="s">
        <v>21</v>
      </c>
      <c r="M3" s="17" t="s">
        <v>22</v>
      </c>
      <c r="N3" s="17" t="s">
        <v>23</v>
      </c>
      <c r="O3" s="17" t="s">
        <v>24</v>
      </c>
      <c r="P3" s="17" t="s">
        <v>25</v>
      </c>
      <c r="Q3" s="16" t="s">
        <v>26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x14ac:dyDescent="0.25">
      <c r="A4" s="15" t="s">
        <v>27</v>
      </c>
      <c r="B4" s="17" t="s">
        <v>28</v>
      </c>
      <c r="C4" s="17" t="s">
        <v>28</v>
      </c>
      <c r="D4" s="17" t="s">
        <v>28</v>
      </c>
      <c r="E4" s="17" t="s">
        <v>28</v>
      </c>
      <c r="F4" s="17" t="s">
        <v>28</v>
      </c>
      <c r="G4" s="17" t="s">
        <v>28</v>
      </c>
      <c r="H4" s="16" t="s">
        <v>29</v>
      </c>
      <c r="I4" s="15"/>
      <c r="J4" s="15" t="s">
        <v>27</v>
      </c>
      <c r="K4" s="17" t="s">
        <v>30</v>
      </c>
      <c r="L4" s="17" t="s">
        <v>30</v>
      </c>
      <c r="M4" s="17" t="s">
        <v>30</v>
      </c>
      <c r="N4" s="17" t="s">
        <v>30</v>
      </c>
      <c r="O4" s="17" t="s">
        <v>30</v>
      </c>
      <c r="P4" s="17" t="s">
        <v>30</v>
      </c>
      <c r="Q4" s="16" t="s">
        <v>30</v>
      </c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x14ac:dyDescent="0.25">
      <c r="A5" s="11" t="s">
        <v>1</v>
      </c>
      <c r="B5" s="12">
        <v>1.6035839099651557E-2</v>
      </c>
      <c r="C5" s="12">
        <v>4.478422155628276E-3</v>
      </c>
      <c r="D5" s="12">
        <v>3.4805400318049227E-3</v>
      </c>
      <c r="E5" s="12">
        <v>0.77519662553006297</v>
      </c>
      <c r="F5" s="12">
        <v>-0.11517839376267981</v>
      </c>
      <c r="G5" s="12">
        <v>3.2689409621242158E-2</v>
      </c>
      <c r="H5" s="12">
        <v>0.27387173828811401</v>
      </c>
      <c r="J5" s="18" t="s">
        <v>1</v>
      </c>
      <c r="K5">
        <f>(B5/1000)/22.9898</f>
        <v>6.9751973047401699E-7</v>
      </c>
      <c r="L5">
        <f>(C5/1000)/24.305</f>
        <v>1.8425929461544029E-7</v>
      </c>
      <c r="M5">
        <f>(D5/1000)/30.973762</f>
        <v>1.1237059391768177E-7</v>
      </c>
      <c r="N5">
        <f>(E5/1000)/32.065</f>
        <v>2.4175787479496743E-5</v>
      </c>
      <c r="O5">
        <f>(F5/1000)/39.0983</f>
        <v>-2.9458670520887046E-6</v>
      </c>
      <c r="P5">
        <f>(G5/1000)/40.078</f>
        <v>8.1564473330111665E-7</v>
      </c>
      <c r="Q5" s="28">
        <f t="shared" ref="Q5:Q14" si="0">(H5/1000000)/47.867</f>
        <v>5.7215145776445992E-9</v>
      </c>
    </row>
    <row r="6" spans="1:35" x14ac:dyDescent="0.25">
      <c r="A6" s="11" t="s">
        <v>2</v>
      </c>
      <c r="B6" s="12">
        <v>1.5193006589855407E-3</v>
      </c>
      <c r="C6" s="12">
        <v>2.9422207250526262E-3</v>
      </c>
      <c r="D6" s="12">
        <v>2.539138477503174E-3</v>
      </c>
      <c r="E6" s="12">
        <v>0.81096399697510801</v>
      </c>
      <c r="F6" s="12">
        <v>-0.12361864363725306</v>
      </c>
      <c r="G6" s="12">
        <v>3.401956050910953E-2</v>
      </c>
      <c r="H6" s="12">
        <v>0.17030206588860844</v>
      </c>
      <c r="J6" s="18" t="s">
        <v>2</v>
      </c>
      <c r="K6" s="14">
        <f t="shared" ref="K6:K14" si="1">(B6/1000)/22.9898</f>
        <v>6.6085858032063812E-8</v>
      </c>
      <c r="L6" s="14">
        <f t="shared" ref="L6:L14" si="2">(C6/1000)/24.305</f>
        <v>1.2105413392522634E-7</v>
      </c>
      <c r="M6" s="14">
        <f t="shared" ref="M6:M14" si="3">(D6/1000)/30.973762</f>
        <v>8.1977077163025078E-8</v>
      </c>
      <c r="N6" s="14">
        <f t="shared" ref="N6:N14" si="4">(E6/1000)/32.065</f>
        <v>2.5291252049746081E-5</v>
      </c>
      <c r="O6" s="14">
        <f t="shared" ref="O6:O14" si="5">(F6/1000)/39.0983</f>
        <v>-3.1617396059995719E-6</v>
      </c>
      <c r="P6" s="14">
        <f t="shared" ref="P6:P14" si="6">(G6/1000)/40.078</f>
        <v>8.4883378684339365E-7</v>
      </c>
      <c r="Q6" s="28">
        <f t="shared" si="0"/>
        <v>3.5578178262395481E-9</v>
      </c>
    </row>
    <row r="7" spans="1:35" x14ac:dyDescent="0.25">
      <c r="A7" s="11" t="s">
        <v>3</v>
      </c>
      <c r="B7" s="12">
        <v>-1.3131909472542148E-3</v>
      </c>
      <c r="C7" s="12">
        <v>2.1462752202157545E-3</v>
      </c>
      <c r="D7" s="12">
        <v>-4.5864053528687311E-4</v>
      </c>
      <c r="E7" s="12">
        <v>0.78545218335255085</v>
      </c>
      <c r="F7" s="12">
        <v>-0.12884006556132557</v>
      </c>
      <c r="G7" s="12">
        <v>1.7401785038776443E-2</v>
      </c>
      <c r="H7" s="12">
        <v>0.12917937491904968</v>
      </c>
      <c r="J7" s="18" t="s">
        <v>3</v>
      </c>
      <c r="K7" s="14">
        <f t="shared" si="1"/>
        <v>-5.7120590316323535E-8</v>
      </c>
      <c r="L7" s="14">
        <f t="shared" si="2"/>
        <v>8.8305913195464088E-8</v>
      </c>
      <c r="M7" s="14">
        <f t="shared" si="3"/>
        <v>-1.4807388759779102E-8</v>
      </c>
      <c r="N7" s="14">
        <f t="shared" si="4"/>
        <v>2.4495623993530358E-5</v>
      </c>
      <c r="O7" s="14">
        <f t="shared" si="5"/>
        <v>-3.2952856150094906E-6</v>
      </c>
      <c r="P7" s="14">
        <f t="shared" si="6"/>
        <v>4.3419793998643747E-7</v>
      </c>
      <c r="Q7" s="28">
        <f t="shared" si="0"/>
        <v>2.6987146660340044E-9</v>
      </c>
    </row>
    <row r="8" spans="1:35" x14ac:dyDescent="0.25">
      <c r="A8" s="11" t="s">
        <v>4</v>
      </c>
      <c r="B8" s="12">
        <v>2.1350852694805747E-3</v>
      </c>
      <c r="C8" s="12">
        <v>3.865459065631089E-3</v>
      </c>
      <c r="D8" s="12">
        <v>5.9390055223775178E-3</v>
      </c>
      <c r="E8" s="12">
        <v>0.75488197495914033</v>
      </c>
      <c r="F8" s="12">
        <v>-0.12588283090534505</v>
      </c>
      <c r="G8" s="12">
        <v>3.9883613975154525E-2</v>
      </c>
      <c r="H8" s="12">
        <v>0.24581447330634984</v>
      </c>
      <c r="J8" s="18" t="s">
        <v>4</v>
      </c>
      <c r="K8" s="14">
        <f t="shared" si="1"/>
        <v>9.2870980586197997E-8</v>
      </c>
      <c r="L8" s="14">
        <f t="shared" si="2"/>
        <v>1.5903966532117216E-7</v>
      </c>
      <c r="M8" s="14">
        <f t="shared" si="3"/>
        <v>1.9174311219856076E-7</v>
      </c>
      <c r="N8" s="14">
        <f t="shared" si="4"/>
        <v>2.354224153934634E-5</v>
      </c>
      <c r="O8" s="14">
        <f t="shared" si="5"/>
        <v>-3.219649726595403E-6</v>
      </c>
      <c r="P8" s="14">
        <f t="shared" si="6"/>
        <v>9.9514980725471631E-7</v>
      </c>
      <c r="Q8" s="28">
        <f t="shared" si="0"/>
        <v>5.1353640985720815E-9</v>
      </c>
    </row>
    <row r="9" spans="1:35" x14ac:dyDescent="0.25">
      <c r="A9" s="1" t="s">
        <v>5</v>
      </c>
      <c r="B9" s="2">
        <v>5.0824310060832554</v>
      </c>
      <c r="C9" s="2">
        <v>3.175780560984106E-2</v>
      </c>
      <c r="D9" s="2">
        <v>0.61413969551380154</v>
      </c>
      <c r="E9" s="2">
        <v>0.73754458307816206</v>
      </c>
      <c r="F9" s="2">
        <v>0.47128310374245369</v>
      </c>
      <c r="G9" s="2">
        <v>5.6044753771051753E-2</v>
      </c>
      <c r="H9" s="2">
        <v>0.28992547536802821</v>
      </c>
      <c r="J9" s="1" t="s">
        <v>5</v>
      </c>
      <c r="K9" s="6">
        <f t="shared" si="1"/>
        <v>2.210733023377E-4</v>
      </c>
      <c r="L9" s="6">
        <f t="shared" si="2"/>
        <v>1.3066367253586118E-6</v>
      </c>
      <c r="M9" s="6">
        <f t="shared" si="3"/>
        <v>1.9827739862978271E-5</v>
      </c>
      <c r="N9" s="6">
        <f t="shared" si="4"/>
        <v>2.3001546330209329E-5</v>
      </c>
      <c r="O9" s="6">
        <f t="shared" si="5"/>
        <v>1.2053800388826461E-5</v>
      </c>
      <c r="P9" s="6">
        <f t="shared" si="6"/>
        <v>1.3983919799154586E-6</v>
      </c>
      <c r="Q9" s="29">
        <f t="shared" si="0"/>
        <v>6.0568967214997429E-9</v>
      </c>
    </row>
    <row r="10" spans="1:35" x14ac:dyDescent="0.25">
      <c r="A10" s="11" t="s">
        <v>6</v>
      </c>
      <c r="B10" s="12">
        <v>3316.4092324863595</v>
      </c>
      <c r="C10" s="12">
        <v>4.1658197824824796</v>
      </c>
      <c r="D10" s="12">
        <v>225.35483838452782</v>
      </c>
      <c r="E10" s="12">
        <v>37.632473106344939</v>
      </c>
      <c r="F10" s="12">
        <v>178.27390301922637</v>
      </c>
      <c r="G10" s="12">
        <v>10.663379889792985</v>
      </c>
      <c r="H10" s="12">
        <v>8.7806948467720112</v>
      </c>
      <c r="J10" s="18" t="s">
        <v>6</v>
      </c>
      <c r="K10" s="14">
        <f t="shared" si="1"/>
        <v>0.14425568001837161</v>
      </c>
      <c r="L10" s="14">
        <f t="shared" si="2"/>
        <v>1.7139764585404152E-4</v>
      </c>
      <c r="M10" s="14">
        <f t="shared" si="3"/>
        <v>7.2756689479478737E-3</v>
      </c>
      <c r="N10" s="14">
        <f t="shared" si="4"/>
        <v>1.1736308469154823E-3</v>
      </c>
      <c r="O10" s="14">
        <f t="shared" si="5"/>
        <v>4.5596331047443586E-3</v>
      </c>
      <c r="P10" s="14">
        <f t="shared" si="6"/>
        <v>2.6606566918990429E-4</v>
      </c>
      <c r="Q10" s="28">
        <f t="shared" si="0"/>
        <v>1.8343942270817079E-7</v>
      </c>
    </row>
    <row r="11" spans="1:35" x14ac:dyDescent="0.25">
      <c r="A11" s="11" t="s">
        <v>7</v>
      </c>
      <c r="B11" s="12">
        <v>3120.6534054289896</v>
      </c>
      <c r="C11" s="12">
        <v>4.3900097264465243</v>
      </c>
      <c r="D11" s="12">
        <v>191.08965879225252</v>
      </c>
      <c r="E11" s="12">
        <v>59.376898006508192</v>
      </c>
      <c r="F11" s="12">
        <v>161.18671012331365</v>
      </c>
      <c r="G11" s="12">
        <v>11.341879755415562</v>
      </c>
      <c r="H11" s="12">
        <v>38.096634987453378</v>
      </c>
      <c r="J11" s="18" t="s">
        <v>7</v>
      </c>
      <c r="K11" s="14">
        <f t="shared" si="1"/>
        <v>0.13574078093019468</v>
      </c>
      <c r="L11" s="14">
        <f t="shared" si="2"/>
        <v>1.8062167152629191E-4</v>
      </c>
      <c r="M11" s="14">
        <f t="shared" si="3"/>
        <v>6.1694042458340223E-3</v>
      </c>
      <c r="N11" s="14">
        <f t="shared" si="4"/>
        <v>1.8517666616718602E-3</v>
      </c>
      <c r="O11" s="14">
        <f t="shared" si="5"/>
        <v>4.1226014973365505E-3</v>
      </c>
      <c r="P11" s="14">
        <f t="shared" si="6"/>
        <v>2.8299515333638306E-4</v>
      </c>
      <c r="Q11" s="28">
        <f t="shared" si="0"/>
        <v>7.9588516070473134E-7</v>
      </c>
    </row>
    <row r="12" spans="1:35" x14ac:dyDescent="0.25">
      <c r="A12" s="3" t="s">
        <v>8</v>
      </c>
      <c r="B12" s="4">
        <v>5.3423691888968996</v>
      </c>
      <c r="C12" s="4">
        <v>3.5992878480074021E-2</v>
      </c>
      <c r="D12" s="4">
        <v>0.76408143234256387</v>
      </c>
      <c r="E12" s="4">
        <v>0.62096620373479727</v>
      </c>
      <c r="F12" s="4">
        <v>0.6506190168468835</v>
      </c>
      <c r="G12" s="4">
        <v>4.5938524402321691E-2</v>
      </c>
      <c r="H12" s="4">
        <v>6.1587151073352144</v>
      </c>
      <c r="J12" s="3" t="s">
        <v>8</v>
      </c>
      <c r="K12" s="5">
        <f t="shared" si="1"/>
        <v>2.3237997672432556E-4</v>
      </c>
      <c r="L12" s="5">
        <f t="shared" si="2"/>
        <v>1.4808837062363309E-6</v>
      </c>
      <c r="M12" s="5">
        <f t="shared" si="3"/>
        <v>2.4668667381849317E-5</v>
      </c>
      <c r="N12" s="5">
        <f t="shared" si="4"/>
        <v>1.9365856969742627E-5</v>
      </c>
      <c r="O12" s="5">
        <f t="shared" si="5"/>
        <v>1.6640596057805161E-5</v>
      </c>
      <c r="P12" s="5">
        <f t="shared" si="6"/>
        <v>1.1462279655252678E-6</v>
      </c>
      <c r="Q12" s="30">
        <f t="shared" si="0"/>
        <v>1.2866306865555006E-7</v>
      </c>
      <c r="V12" s="31" t="s">
        <v>54</v>
      </c>
    </row>
    <row r="13" spans="1:35" x14ac:dyDescent="0.25">
      <c r="A13" s="11" t="s">
        <v>9</v>
      </c>
      <c r="B13" s="12">
        <v>3378.8845297002931</v>
      </c>
      <c r="C13" s="12">
        <v>4.3584235636835524</v>
      </c>
      <c r="D13" s="12">
        <v>222.97831222921559</v>
      </c>
      <c r="E13" s="12">
        <v>611.91546919485063</v>
      </c>
      <c r="F13" s="12">
        <v>180.70080795373971</v>
      </c>
      <c r="G13" s="12">
        <v>10.942187410877773</v>
      </c>
      <c r="H13" s="12">
        <v>544.24336012251422</v>
      </c>
      <c r="J13" s="18" t="s">
        <v>9</v>
      </c>
      <c r="K13" s="14">
        <f t="shared" si="1"/>
        <v>0.14697320245066478</v>
      </c>
      <c r="L13" s="14">
        <f t="shared" si="2"/>
        <v>1.7932209683947962E-4</v>
      </c>
      <c r="M13" s="14">
        <f t="shared" si="3"/>
        <v>7.1989418730994187E-3</v>
      </c>
      <c r="N13" s="14">
        <f t="shared" si="4"/>
        <v>1.9083594860279142E-2</v>
      </c>
      <c r="O13" s="14">
        <f t="shared" si="5"/>
        <v>4.6217049834325202E-3</v>
      </c>
      <c r="P13" s="14">
        <f t="shared" si="6"/>
        <v>2.730222918029286E-4</v>
      </c>
      <c r="Q13" s="28">
        <f t="shared" si="0"/>
        <v>1.1369907454457439E-5</v>
      </c>
      <c r="T13">
        <f>(15/1000)*Q13</f>
        <v>1.7054861181686157E-7</v>
      </c>
      <c r="V13">
        <f>(30/1000000)*(5/1000)</f>
        <v>1.5000000000000002E-7</v>
      </c>
    </row>
    <row r="14" spans="1:35" x14ac:dyDescent="0.25">
      <c r="A14" s="11" t="s">
        <v>10</v>
      </c>
      <c r="B14" s="12">
        <v>3056.6378776088727</v>
      </c>
      <c r="C14" s="12">
        <v>4.4897766594153543</v>
      </c>
      <c r="D14" s="12">
        <v>194.08269705264118</v>
      </c>
      <c r="E14" s="12">
        <v>596.5669873046653</v>
      </c>
      <c r="F14" s="12">
        <v>156.0988352588241</v>
      </c>
      <c r="G14" s="12">
        <v>10.953513593539853</v>
      </c>
      <c r="H14" s="12">
        <v>534.34850513391348</v>
      </c>
      <c r="J14" s="18" t="s">
        <v>10</v>
      </c>
      <c r="K14" s="14">
        <f t="shared" si="1"/>
        <v>0.13295626223842194</v>
      </c>
      <c r="L14" s="14">
        <f t="shared" si="2"/>
        <v>1.8472646202079217E-4</v>
      </c>
      <c r="M14" s="14">
        <f t="shared" si="3"/>
        <v>6.2660356547145019E-3</v>
      </c>
      <c r="N14" s="14">
        <f t="shared" si="4"/>
        <v>1.8604927095108852E-2</v>
      </c>
      <c r="O14" s="14">
        <f t="shared" si="5"/>
        <v>3.9924711626547465E-3</v>
      </c>
      <c r="P14" s="14">
        <f t="shared" si="6"/>
        <v>2.7330489529267559E-4</v>
      </c>
      <c r="Q14" s="28">
        <f t="shared" si="0"/>
        <v>1.1163191867756774E-5</v>
      </c>
      <c r="T14" s="14">
        <f>(15/1000)*Q14</f>
        <v>1.6744787801635161E-7</v>
      </c>
      <c r="V14" s="14">
        <f>(30/1000000)*(5/1000)</f>
        <v>1.5000000000000002E-7</v>
      </c>
    </row>
    <row r="16" spans="1:35" s="13" customFormat="1" x14ac:dyDescent="0.25">
      <c r="A16" s="40" t="s">
        <v>11</v>
      </c>
      <c r="B16" s="40"/>
      <c r="C16" s="40"/>
      <c r="D16" s="40"/>
      <c r="E16" s="40"/>
      <c r="F16" s="40"/>
      <c r="G16" s="40"/>
      <c r="H16" s="40"/>
      <c r="J16" s="8" t="s">
        <v>32</v>
      </c>
      <c r="K16" s="7"/>
      <c r="L16" s="7"/>
      <c r="M16" s="7"/>
      <c r="O16" s="33">
        <f>(15/1000)*Q9</f>
        <v>9.0853450822496136E-11</v>
      </c>
      <c r="P16" s="7"/>
      <c r="Q16" s="7"/>
      <c r="V16" s="39"/>
    </row>
    <row r="17" spans="1:18" s="13" customFormat="1" ht="30" customHeight="1" x14ac:dyDescent="0.25">
      <c r="A17" s="41" t="s">
        <v>53</v>
      </c>
      <c r="B17" s="41"/>
      <c r="C17" s="41"/>
      <c r="D17" s="41"/>
      <c r="E17" s="41"/>
      <c r="F17" s="41"/>
      <c r="G17" s="41"/>
      <c r="H17" s="41"/>
      <c r="J17" s="7" t="s">
        <v>33</v>
      </c>
      <c r="K17" s="7"/>
      <c r="L17" s="7"/>
      <c r="M17" s="7"/>
      <c r="N17" s="7"/>
      <c r="O17" s="34">
        <v>260000</v>
      </c>
      <c r="P17" s="7"/>
      <c r="Q17" s="7"/>
    </row>
    <row r="18" spans="1:18" ht="15" customHeight="1" x14ac:dyDescent="0.25">
      <c r="F18" s="9"/>
      <c r="G18" s="9"/>
      <c r="H18" s="9"/>
      <c r="J18" t="s">
        <v>31</v>
      </c>
      <c r="O18" s="35">
        <f>O16/O17</f>
        <v>3.4943634931729283E-16</v>
      </c>
      <c r="Q18" s="24">
        <f>O18*1000000000000000</f>
        <v>0.34943634931729284</v>
      </c>
      <c r="R18" s="28" t="s">
        <v>52</v>
      </c>
    </row>
    <row r="19" spans="1:18" x14ac:dyDescent="0.25">
      <c r="A19" s="10" t="s">
        <v>12</v>
      </c>
      <c r="B19" s="9"/>
      <c r="C19" s="9"/>
      <c r="D19" s="9"/>
      <c r="E19" s="9"/>
      <c r="O19" s="28"/>
    </row>
    <row r="20" spans="1:18" x14ac:dyDescent="0.25">
      <c r="A20" s="10" t="s">
        <v>13</v>
      </c>
      <c r="J20" s="32" t="s">
        <v>55</v>
      </c>
      <c r="K20" s="7"/>
      <c r="L20" s="7"/>
      <c r="M20" s="7"/>
      <c r="N20" s="13"/>
      <c r="O20" s="33">
        <f>(15/1000)*Q12</f>
        <v>1.929946029833251E-9</v>
      </c>
    </row>
    <row r="21" spans="1:18" x14ac:dyDescent="0.25">
      <c r="A21" s="10" t="s">
        <v>14</v>
      </c>
      <c r="J21" s="7" t="s">
        <v>33</v>
      </c>
      <c r="K21" s="7"/>
      <c r="L21" s="7"/>
      <c r="M21" s="7"/>
      <c r="N21" s="7"/>
      <c r="O21" s="34">
        <v>580000</v>
      </c>
    </row>
    <row r="22" spans="1:18" x14ac:dyDescent="0.25">
      <c r="A22" s="10" t="s">
        <v>15</v>
      </c>
      <c r="J22" s="14" t="s">
        <v>31</v>
      </c>
      <c r="K22" s="14"/>
      <c r="L22" s="14"/>
      <c r="M22" s="14"/>
      <c r="N22" s="14"/>
      <c r="O22" s="36">
        <f>O20/O21</f>
        <v>3.3274931548849156E-15</v>
      </c>
      <c r="Q22" s="24">
        <f>O22*1000000000000000</f>
        <v>3.3274931548849156</v>
      </c>
      <c r="R22" s="28" t="s">
        <v>52</v>
      </c>
    </row>
    <row r="23" spans="1:18" x14ac:dyDescent="0.25">
      <c r="A23" s="10" t="s">
        <v>16</v>
      </c>
      <c r="G23" s="25"/>
    </row>
    <row r="24" spans="1:18" x14ac:dyDescent="0.25">
      <c r="A24" s="10" t="s">
        <v>17</v>
      </c>
      <c r="G24" s="25"/>
      <c r="H24" s="25"/>
    </row>
    <row r="25" spans="1:18" x14ac:dyDescent="0.25">
      <c r="A25" s="10" t="s">
        <v>18</v>
      </c>
      <c r="J25" s="20" t="s">
        <v>46</v>
      </c>
      <c r="K25" s="20"/>
      <c r="L25" s="20"/>
      <c r="M25" s="20"/>
      <c r="N25" s="21"/>
      <c r="O25" s="21">
        <f>O22*79.866</f>
        <v>2.6575356830803866E-13</v>
      </c>
      <c r="P25" s="20" t="s">
        <v>34</v>
      </c>
    </row>
    <row r="26" spans="1:18" x14ac:dyDescent="0.25">
      <c r="B26" s="23" t="s">
        <v>47</v>
      </c>
      <c r="C26" s="23"/>
      <c r="D26" s="23"/>
      <c r="E26" s="23"/>
      <c r="J26" s="20"/>
      <c r="K26" s="20"/>
      <c r="L26" s="20"/>
      <c r="M26" s="20"/>
      <c r="N26" s="20"/>
      <c r="O26" s="20"/>
      <c r="P26" s="20"/>
    </row>
    <row r="27" spans="1:18" x14ac:dyDescent="0.25">
      <c r="J27" s="20" t="s">
        <v>35</v>
      </c>
      <c r="K27" s="20"/>
      <c r="L27" s="20"/>
      <c r="M27" s="20"/>
      <c r="N27" s="20"/>
      <c r="O27" s="21">
        <f>O25/4.23</f>
        <v>6.2825902673295182E-14</v>
      </c>
      <c r="P27" s="20" t="s">
        <v>36</v>
      </c>
    </row>
    <row r="28" spans="1:18" x14ac:dyDescent="0.25">
      <c r="B28" s="26" t="s">
        <v>49</v>
      </c>
      <c r="C28" s="27"/>
      <c r="D28" s="27"/>
      <c r="E28" s="27"/>
      <c r="F28" s="27" t="s">
        <v>50</v>
      </c>
      <c r="J28" s="20" t="s">
        <v>35</v>
      </c>
      <c r="K28" s="20"/>
      <c r="L28" s="20"/>
      <c r="M28" s="20"/>
      <c r="N28" s="20"/>
      <c r="O28" s="21">
        <f>O27/1000000</f>
        <v>6.2825902673295177E-20</v>
      </c>
      <c r="P28" s="20" t="s">
        <v>37</v>
      </c>
    </row>
    <row r="29" spans="1:18" x14ac:dyDescent="0.25">
      <c r="B29" s="27">
        <f>(15/1000)*H9*0.000001</f>
        <v>4.3488821305204221E-9</v>
      </c>
      <c r="C29" s="27" t="s">
        <v>48</v>
      </c>
      <c r="D29" s="27"/>
      <c r="E29" s="27">
        <f>B29*(1000000/260000)</f>
        <v>1.6726469732770854E-8</v>
      </c>
      <c r="F29" s="27">
        <f>E29*1000000000</f>
        <v>16.726469732770855</v>
      </c>
      <c r="J29" s="22" t="s">
        <v>45</v>
      </c>
      <c r="K29" s="20"/>
      <c r="L29" s="20"/>
      <c r="M29" s="20"/>
      <c r="N29" s="20"/>
      <c r="O29" s="20"/>
      <c r="P29" s="20"/>
    </row>
    <row r="30" spans="1:18" s="14" customFormat="1" x14ac:dyDescent="0.25">
      <c r="B30" s="27"/>
      <c r="C30" s="27"/>
      <c r="D30" s="27"/>
      <c r="E30" s="27"/>
      <c r="F30" s="27"/>
      <c r="J30" s="22"/>
      <c r="K30" s="20"/>
      <c r="L30" s="20"/>
      <c r="M30" s="20"/>
      <c r="N30" s="20"/>
      <c r="O30" s="20"/>
      <c r="P30" s="20"/>
    </row>
    <row r="31" spans="1:18" x14ac:dyDescent="0.25">
      <c r="B31" s="27">
        <f>(15/1000)*H12*0.000001</f>
        <v>9.2380726610028216E-8</v>
      </c>
      <c r="C31" s="27" t="s">
        <v>48</v>
      </c>
      <c r="D31" s="27"/>
      <c r="E31" s="27">
        <f>B31*(1000000/580000)</f>
        <v>1.5927711484487624E-7</v>
      </c>
      <c r="F31" s="27">
        <f>E31*1000000000</f>
        <v>159.27711484487622</v>
      </c>
      <c r="J31" s="20" t="s">
        <v>40</v>
      </c>
      <c r="K31" s="20"/>
      <c r="L31" s="20"/>
      <c r="M31" s="20"/>
      <c r="N31" s="20"/>
      <c r="O31" s="20">
        <f>(O28)^0.3333</f>
        <v>3.9812517548297453E-7</v>
      </c>
      <c r="P31" s="20" t="s">
        <v>38</v>
      </c>
    </row>
    <row r="32" spans="1:18" x14ac:dyDescent="0.25">
      <c r="J32" s="20"/>
      <c r="K32" s="20"/>
      <c r="L32" s="20"/>
      <c r="M32" s="20"/>
      <c r="N32" s="20"/>
      <c r="O32" s="20"/>
      <c r="P32" s="20"/>
    </row>
    <row r="33" spans="10:16" x14ac:dyDescent="0.25">
      <c r="J33" s="20" t="s">
        <v>39</v>
      </c>
      <c r="K33" s="20"/>
      <c r="L33" s="20"/>
      <c r="M33" s="20"/>
      <c r="N33" s="20"/>
      <c r="O33" s="20">
        <f>(O28/1000)^0.3333</f>
        <v>3.9821685774730109E-8</v>
      </c>
      <c r="P33" s="20" t="s">
        <v>38</v>
      </c>
    </row>
    <row r="34" spans="10:16" x14ac:dyDescent="0.25">
      <c r="J34" s="20"/>
      <c r="K34" s="20"/>
      <c r="L34" s="20"/>
      <c r="M34" s="20"/>
      <c r="N34" s="20"/>
      <c r="O34" s="20"/>
      <c r="P34" s="20"/>
    </row>
    <row r="35" spans="10:16" x14ac:dyDescent="0.25">
      <c r="J35" s="20" t="s">
        <v>41</v>
      </c>
      <c r="K35" s="20"/>
      <c r="L35" s="20"/>
      <c r="M35" s="20"/>
      <c r="N35" s="20"/>
      <c r="O35" s="20">
        <f>(O28/10000)^0.3333</f>
        <v>1.8485007925106021E-8</v>
      </c>
      <c r="P35" s="20" t="s">
        <v>38</v>
      </c>
    </row>
    <row r="36" spans="10:16" x14ac:dyDescent="0.25">
      <c r="J36" s="20"/>
      <c r="K36" s="20"/>
      <c r="L36" s="20"/>
      <c r="M36" s="20"/>
      <c r="N36" s="20"/>
      <c r="O36" s="20"/>
      <c r="P36" s="20"/>
    </row>
    <row r="37" spans="10:16" x14ac:dyDescent="0.25">
      <c r="J37" s="20" t="s">
        <v>42</v>
      </c>
      <c r="K37" s="20"/>
      <c r="L37" s="20"/>
      <c r="M37" s="20"/>
      <c r="N37" s="20"/>
      <c r="O37" s="20">
        <f>(O28/100000)^0.3333</f>
        <v>8.5806392005650107E-9</v>
      </c>
      <c r="P37" s="20" t="s">
        <v>38</v>
      </c>
    </row>
    <row r="38" spans="10:16" x14ac:dyDescent="0.25">
      <c r="J38" s="20"/>
      <c r="K38" s="20"/>
      <c r="L38" s="20"/>
      <c r="M38" s="20"/>
      <c r="N38" s="20"/>
      <c r="O38" s="20"/>
      <c r="P38" s="20"/>
    </row>
    <row r="39" spans="10:16" x14ac:dyDescent="0.25">
      <c r="J39" s="38" t="s">
        <v>43</v>
      </c>
      <c r="K39" s="38"/>
      <c r="L39" s="38"/>
      <c r="M39" s="38"/>
      <c r="N39" s="38"/>
      <c r="O39" s="38">
        <f>(O28/1000000)^0.3333</f>
        <v>3.983085611246805E-9</v>
      </c>
      <c r="P39" s="38" t="s">
        <v>38</v>
      </c>
    </row>
    <row r="40" spans="10:16" x14ac:dyDescent="0.25">
      <c r="J40" s="38"/>
      <c r="K40" s="38"/>
      <c r="L40" s="38"/>
      <c r="M40" s="38"/>
      <c r="N40" s="38"/>
      <c r="O40" s="38"/>
      <c r="P40" s="38"/>
    </row>
    <row r="41" spans="10:16" x14ac:dyDescent="0.25">
      <c r="J41" s="37" t="s">
        <v>44</v>
      </c>
      <c r="K41" s="37"/>
      <c r="L41" s="37"/>
      <c r="M41" s="37"/>
      <c r="N41" s="37"/>
      <c r="O41" s="37">
        <f>(O28/10000000)^0.3333</f>
        <v>1.8489264745541015E-9</v>
      </c>
      <c r="P41" s="37" t="s">
        <v>38</v>
      </c>
    </row>
    <row r="42" spans="10:16" x14ac:dyDescent="0.25">
      <c r="J42" s="20"/>
      <c r="K42" s="20"/>
      <c r="L42" s="20"/>
      <c r="M42" s="20"/>
      <c r="N42" s="20"/>
      <c r="O42" s="20"/>
      <c r="P42" s="20"/>
    </row>
    <row r="43" spans="10:16" x14ac:dyDescent="0.25">
      <c r="J43" s="20" t="s">
        <v>44</v>
      </c>
      <c r="K43" s="20"/>
      <c r="L43" s="20"/>
      <c r="M43" s="20"/>
      <c r="N43" s="20"/>
      <c r="O43" s="20">
        <f>(O28/100000000)^0.3333</f>
        <v>8.5826151932419782E-10</v>
      </c>
      <c r="P43" s="20" t="s">
        <v>38</v>
      </c>
    </row>
    <row r="45" spans="10:16" x14ac:dyDescent="0.25">
      <c r="J45" s="20" t="s">
        <v>51</v>
      </c>
      <c r="K45" s="20"/>
      <c r="L45" s="20"/>
      <c r="M45" s="20"/>
      <c r="N45" s="20"/>
      <c r="O45" s="20">
        <f>(O28/100000000000)^0.3333</f>
        <v>8.5845916409604912E-11</v>
      </c>
      <c r="P45" s="20" t="s">
        <v>38</v>
      </c>
    </row>
  </sheetData>
  <mergeCells count="2">
    <mergeCell ref="A16:H16"/>
    <mergeCell ref="A17:H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Nottingham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UoN User</dc:creator>
  <cp:lastModifiedBy>Bradshaw Tracey</cp:lastModifiedBy>
  <dcterms:created xsi:type="dcterms:W3CDTF">2015-06-07T08:52:06Z</dcterms:created>
  <dcterms:modified xsi:type="dcterms:W3CDTF">2016-01-08T11:39:25Z</dcterms:modified>
</cp:coreProperties>
</file>