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\Desktop\Triphos results and paper\Supporting Information\"/>
    </mc:Choice>
  </mc:AlternateContent>
  <bookViews>
    <workbookView xWindow="-15" yWindow="-15" windowWidth="24240" windowHeight="12780" activeTab="2"/>
  </bookViews>
  <sheets>
    <sheet name="H2 in Water Kirov" sheetId="1" r:id="rId1"/>
    <sheet name="H2 in Water Minnich" sheetId="3" r:id="rId2"/>
    <sheet name="H2 in 1,4-dioxane" sheetId="6" r:id="rId3"/>
  </sheets>
  <calcPr calcId="162913"/>
</workbook>
</file>

<file path=xl/calcChain.xml><?xml version="1.0" encoding="utf-8"?>
<calcChain xmlns="http://schemas.openxmlformats.org/spreadsheetml/2006/main">
  <c r="Q37" i="6" l="1"/>
  <c r="V30" i="1" l="1"/>
  <c r="V31" i="1"/>
  <c r="V32" i="1"/>
  <c r="V33" i="1"/>
  <c r="V34" i="1"/>
  <c r="V29" i="1"/>
  <c r="U30" i="1"/>
  <c r="U31" i="1"/>
  <c r="U32" i="1"/>
  <c r="U33" i="1"/>
  <c r="U34" i="1"/>
  <c r="U29" i="1"/>
  <c r="P8" i="1" l="1"/>
  <c r="Q8" i="1"/>
  <c r="R8" i="1"/>
  <c r="S8" i="1"/>
  <c r="T8" i="1"/>
  <c r="U8" i="1"/>
  <c r="V8" i="1"/>
  <c r="W8" i="1"/>
  <c r="X8" i="1"/>
  <c r="Q9" i="1"/>
  <c r="R9" i="1"/>
  <c r="S9" i="1"/>
  <c r="T9" i="1"/>
  <c r="U9" i="1"/>
  <c r="V9" i="1"/>
  <c r="W9" i="1"/>
  <c r="X9" i="1"/>
  <c r="Q10" i="1"/>
  <c r="R10" i="1"/>
  <c r="S10" i="1"/>
  <c r="T10" i="1"/>
  <c r="U10" i="1"/>
  <c r="V10" i="1"/>
  <c r="W10" i="1"/>
  <c r="X10" i="1"/>
  <c r="Q11" i="1"/>
  <c r="R11" i="1"/>
  <c r="S11" i="1"/>
  <c r="T11" i="1"/>
  <c r="U11" i="1"/>
  <c r="V11" i="1"/>
  <c r="W11" i="1"/>
  <c r="X11" i="1"/>
  <c r="Q12" i="1"/>
  <c r="R12" i="1"/>
  <c r="S12" i="1"/>
  <c r="T12" i="1"/>
  <c r="U12" i="1"/>
  <c r="V12" i="1"/>
  <c r="W12" i="1"/>
  <c r="X12" i="1"/>
  <c r="Q13" i="1"/>
  <c r="R13" i="1"/>
  <c r="S13" i="1"/>
  <c r="T13" i="1"/>
  <c r="U13" i="1"/>
  <c r="V13" i="1"/>
  <c r="W13" i="1"/>
  <c r="X13" i="1"/>
  <c r="Q14" i="1"/>
  <c r="R14" i="1"/>
  <c r="S14" i="1"/>
  <c r="T14" i="1"/>
  <c r="U14" i="1"/>
  <c r="V14" i="1"/>
  <c r="W14" i="1"/>
  <c r="X14" i="1"/>
  <c r="Q15" i="1"/>
  <c r="R15" i="1"/>
  <c r="S15" i="1"/>
  <c r="T15" i="1"/>
  <c r="U15" i="1"/>
  <c r="V15" i="1"/>
  <c r="W15" i="1"/>
  <c r="X15" i="1"/>
  <c r="Q16" i="1"/>
  <c r="R16" i="1"/>
  <c r="S16" i="1"/>
  <c r="T16" i="1"/>
  <c r="U16" i="1"/>
  <c r="V16" i="1"/>
  <c r="W16" i="1"/>
  <c r="X16" i="1"/>
  <c r="Q17" i="1"/>
  <c r="R17" i="1"/>
  <c r="S17" i="1"/>
  <c r="T17" i="1"/>
  <c r="U17" i="1"/>
  <c r="V17" i="1"/>
  <c r="W17" i="1"/>
  <c r="X17" i="1"/>
  <c r="Q18" i="1"/>
  <c r="R18" i="1"/>
  <c r="S18" i="1"/>
  <c r="T18" i="1"/>
  <c r="U18" i="1"/>
  <c r="V18" i="1"/>
  <c r="W18" i="1"/>
  <c r="X18" i="1"/>
  <c r="P9" i="1"/>
  <c r="P10" i="1"/>
  <c r="P11" i="1"/>
  <c r="P12" i="1"/>
  <c r="P13" i="1"/>
  <c r="P14" i="1"/>
  <c r="P15" i="1"/>
  <c r="P16" i="1"/>
  <c r="P17" i="1"/>
  <c r="P18" i="1"/>
  <c r="R18" i="6" l="1"/>
  <c r="R19" i="6"/>
  <c r="R20" i="6"/>
  <c r="R21" i="6"/>
  <c r="R22" i="6"/>
  <c r="R23" i="6"/>
  <c r="R24" i="6"/>
  <c r="R25" i="6"/>
  <c r="R26" i="6"/>
  <c r="R27" i="6"/>
  <c r="R28" i="6"/>
  <c r="R29" i="6"/>
  <c r="R17" i="6"/>
  <c r="O36" i="6"/>
  <c r="I17" i="6"/>
  <c r="V17" i="6" s="1"/>
  <c r="J17" i="6"/>
  <c r="I18" i="6"/>
  <c r="V18" i="6" s="1"/>
  <c r="J18" i="6"/>
  <c r="X18" i="6" s="1"/>
  <c r="I19" i="6"/>
  <c r="V19" i="6" s="1"/>
  <c r="J19" i="6"/>
  <c r="I20" i="6"/>
  <c r="V20" i="6" s="1"/>
  <c r="W20" i="6" s="1"/>
  <c r="I21" i="6"/>
  <c r="V21" i="6" s="1"/>
  <c r="W21" i="6" s="1"/>
  <c r="J21" i="6"/>
  <c r="I22" i="6"/>
  <c r="V22" i="6" s="1"/>
  <c r="W22" i="6" s="1"/>
  <c r="J22" i="6"/>
  <c r="X22" i="6" s="1"/>
  <c r="Y22" i="6" s="1"/>
  <c r="I23" i="6"/>
  <c r="V23" i="6" s="1"/>
  <c r="W23" i="6" s="1"/>
  <c r="J23" i="6"/>
  <c r="I24" i="6"/>
  <c r="V24" i="6" s="1"/>
  <c r="W24" i="6" s="1"/>
  <c r="J24" i="6"/>
  <c r="X24" i="6" s="1"/>
  <c r="Y24" i="6" s="1"/>
  <c r="I25" i="6"/>
  <c r="V25" i="6" s="1"/>
  <c r="W25" i="6" s="1"/>
  <c r="J25" i="6"/>
  <c r="I26" i="6"/>
  <c r="V26" i="6" s="1"/>
  <c r="W26" i="6" s="1"/>
  <c r="J26" i="6"/>
  <c r="X26" i="6" s="1"/>
  <c r="Y26" i="6" s="1"/>
  <c r="I27" i="6"/>
  <c r="V27" i="6" s="1"/>
  <c r="W27" i="6" s="1"/>
  <c r="J27" i="6"/>
  <c r="I28" i="6"/>
  <c r="V28" i="6" s="1"/>
  <c r="W28" i="6" s="1"/>
  <c r="J28" i="6"/>
  <c r="X28" i="6" s="1"/>
  <c r="Y28" i="6" s="1"/>
  <c r="I29" i="6"/>
  <c r="V29" i="6" s="1"/>
  <c r="W29" i="6" s="1"/>
  <c r="J29" i="6"/>
  <c r="H18" i="6"/>
  <c r="T18" i="6" s="1"/>
  <c r="H19" i="6"/>
  <c r="T19" i="6" s="1"/>
  <c r="H21" i="6"/>
  <c r="H22" i="6"/>
  <c r="T22" i="6" s="1"/>
  <c r="U22" i="6" s="1"/>
  <c r="H23" i="6"/>
  <c r="T23" i="6" s="1"/>
  <c r="U23" i="6" s="1"/>
  <c r="H24" i="6"/>
  <c r="T24" i="6" s="1"/>
  <c r="U24" i="6" s="1"/>
  <c r="H25" i="6"/>
  <c r="H26" i="6"/>
  <c r="T26" i="6" s="1"/>
  <c r="U26" i="6" s="1"/>
  <c r="H27" i="6"/>
  <c r="T27" i="6" s="1"/>
  <c r="U27" i="6" s="1"/>
  <c r="H28" i="6"/>
  <c r="T28" i="6" s="1"/>
  <c r="U28" i="6" s="1"/>
  <c r="H29" i="6"/>
  <c r="H17" i="6"/>
  <c r="T17" i="6" s="1"/>
  <c r="J14" i="6"/>
  <c r="I14" i="6"/>
  <c r="H14" i="6"/>
  <c r="V10" i="6"/>
  <c r="X14" i="6"/>
  <c r="V14" i="6"/>
  <c r="T14" i="6"/>
  <c r="O20" i="6"/>
  <c r="P20" i="6"/>
  <c r="O19" i="6"/>
  <c r="P19" i="6"/>
  <c r="N19" i="6"/>
  <c r="N20" i="6" s="1"/>
  <c r="X19" i="6" s="1"/>
  <c r="P14" i="6"/>
  <c r="O14" i="6"/>
  <c r="N14" i="6"/>
  <c r="E20" i="6"/>
  <c r="J20" i="6" s="1"/>
  <c r="X20" i="6" s="1"/>
  <c r="D20" i="6"/>
  <c r="C20" i="6"/>
  <c r="H20" i="6" s="1"/>
  <c r="T20" i="6" s="1"/>
  <c r="U20" i="6" s="1"/>
  <c r="D14" i="6"/>
  <c r="E14" i="6"/>
  <c r="C14" i="6"/>
  <c r="B14" i="3"/>
  <c r="B15" i="3"/>
  <c r="B16" i="3"/>
  <c r="B17" i="3"/>
  <c r="B13" i="3"/>
  <c r="I11" i="3"/>
  <c r="D9" i="3"/>
  <c r="D11" i="3" s="1"/>
  <c r="E9" i="3"/>
  <c r="E11" i="3" s="1"/>
  <c r="F9" i="3"/>
  <c r="F11" i="3" s="1"/>
  <c r="G9" i="3"/>
  <c r="G11" i="3" s="1"/>
  <c r="H9" i="3"/>
  <c r="H11" i="3" s="1"/>
  <c r="I9" i="3"/>
  <c r="J9" i="3"/>
  <c r="J11" i="3" s="1"/>
  <c r="K9" i="3"/>
  <c r="K11" i="3" s="1"/>
  <c r="C9" i="3"/>
  <c r="C11" i="3" s="1"/>
  <c r="O37" i="6" l="1"/>
  <c r="Y20" i="6"/>
  <c r="T25" i="6"/>
  <c r="U25" i="6" s="1"/>
  <c r="X29" i="6"/>
  <c r="Y29" i="6" s="1"/>
  <c r="X25" i="6"/>
  <c r="Y25" i="6" s="1"/>
  <c r="X21" i="6"/>
  <c r="Y21" i="6" s="1"/>
  <c r="X17" i="6"/>
  <c r="T29" i="6"/>
  <c r="U29" i="6" s="1"/>
  <c r="T21" i="6"/>
  <c r="U21" i="6" s="1"/>
  <c r="X27" i="6"/>
  <c r="Y27" i="6" s="1"/>
  <c r="X23" i="6"/>
  <c r="Y23" i="6" s="1"/>
  <c r="N12" i="1"/>
  <c r="O12" i="1" s="1"/>
  <c r="W25" i="1"/>
  <c r="N9" i="1" l="1"/>
  <c r="N10" i="1"/>
  <c r="O10" i="1" s="1"/>
  <c r="N11" i="1"/>
  <c r="N13" i="1"/>
  <c r="N14" i="1"/>
  <c r="O14" i="1" s="1"/>
  <c r="N15" i="1"/>
  <c r="N16" i="1"/>
  <c r="O16" i="1" s="1"/>
  <c r="N17" i="1"/>
  <c r="N18" i="1"/>
  <c r="O18" i="1" s="1"/>
  <c r="N8" i="1"/>
  <c r="O8" i="1" s="1"/>
  <c r="B43" i="1"/>
  <c r="B45" i="1"/>
  <c r="B47" i="1"/>
  <c r="S25" i="1"/>
  <c r="S26" i="1" s="1"/>
  <c r="Q6" i="1"/>
  <c r="R6" i="1"/>
  <c r="S6" i="1"/>
  <c r="T6" i="1"/>
  <c r="U6" i="1"/>
  <c r="V6" i="1"/>
  <c r="W6" i="1"/>
  <c r="X6" i="1"/>
  <c r="P6" i="1"/>
  <c r="B39" i="1" l="1"/>
  <c r="B49" i="1"/>
  <c r="B41" i="1"/>
  <c r="B44" i="1"/>
  <c r="O13" i="1"/>
  <c r="B42" i="1"/>
  <c r="O11" i="1"/>
  <c r="B46" i="1"/>
  <c r="O15" i="1"/>
  <c r="B48" i="1"/>
  <c r="O17" i="1"/>
  <c r="B40" i="1"/>
  <c r="O9" i="1"/>
</calcChain>
</file>

<file path=xl/sharedStrings.xml><?xml version="1.0" encoding="utf-8"?>
<sst xmlns="http://schemas.openxmlformats.org/spreadsheetml/2006/main" count="145" uniqueCount="66">
  <si>
    <t>P(vapour + gas) [MPa]</t>
  </si>
  <si>
    <t>[°]</t>
  </si>
  <si>
    <r>
      <t>[</t>
    </r>
    <r>
      <rPr>
        <b/>
        <i/>
        <sz val="11"/>
        <color theme="1"/>
        <rFont val="Calibri"/>
        <family val="2"/>
      </rPr>
      <t>°]</t>
    </r>
  </si>
  <si>
    <r>
      <t>[cm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/g]</t>
    </r>
  </si>
  <si>
    <t>Column1</t>
  </si>
  <si>
    <t>0</t>
  </si>
  <si>
    <t>50</t>
  </si>
  <si>
    <t>100</t>
  </si>
  <si>
    <t>150</t>
  </si>
  <si>
    <t>200</t>
  </si>
  <si>
    <t>250</t>
  </si>
  <si>
    <t>300</t>
  </si>
  <si>
    <t>350</t>
  </si>
  <si>
    <t>370</t>
  </si>
  <si>
    <t>Column2</t>
  </si>
  <si>
    <t>P(vapour + gas) [Pa]</t>
  </si>
  <si>
    <t>[J/(k*mol)]</t>
  </si>
  <si>
    <t>R</t>
  </si>
  <si>
    <t>1 psi = Pa</t>
  </si>
  <si>
    <t>[Pa/psi]</t>
  </si>
  <si>
    <t>1 ccm</t>
  </si>
  <si>
    <t>L</t>
  </si>
  <si>
    <t>K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</si>
  <si>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</si>
  <si>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t>Conversion factors:</t>
  </si>
  <si>
    <t>[mmol]</t>
  </si>
  <si>
    <t>Mass</t>
  </si>
  <si>
    <t>g</t>
  </si>
  <si>
    <t>kg</t>
  </si>
  <si>
    <t>tons</t>
  </si>
  <si>
    <t>Catalyst</t>
  </si>
  <si>
    <t>mmol/L</t>
  </si>
  <si>
    <t>Concentration</t>
  </si>
  <si>
    <t>Absolute mmols</t>
  </si>
  <si>
    <t>Check for diffusion limitation:</t>
  </si>
  <si>
    <t>Molar Ratio H2/cat</t>
  </si>
  <si>
    <t>psi</t>
  </si>
  <si>
    <t>Pressure H2 [psi]</t>
  </si>
  <si>
    <t>Pressure H2 [MPa]</t>
  </si>
  <si>
    <t>T [°C]</t>
  </si>
  <si>
    <t>T [K]</t>
  </si>
  <si>
    <r>
      <t>T [</t>
    </r>
    <r>
      <rPr>
        <b/>
        <sz val="11"/>
        <color theme="1"/>
        <rFont val="Calibri"/>
        <family val="2"/>
      </rPr>
      <t>°F]</t>
    </r>
  </si>
  <si>
    <t>p [MPa]</t>
  </si>
  <si>
    <r>
      <t>T [</t>
    </r>
    <r>
      <rPr>
        <sz val="11"/>
        <color theme="1"/>
        <rFont val="Calibri"/>
        <family val="2"/>
      </rPr>
      <t>°C]</t>
    </r>
  </si>
  <si>
    <t>1,4-dioxane MW</t>
  </si>
  <si>
    <t>[g/mol]</t>
  </si>
  <si>
    <t>Density [g/ccm]</t>
  </si>
  <si>
    <t>Volume [ccm]</t>
  </si>
  <si>
    <t>1,4-dioxane [g]</t>
  </si>
  <si>
    <t>1,4-dioxane[mmol]</t>
  </si>
  <si>
    <t xml:space="preserve">mmol of hydrogen in </t>
  </si>
  <si>
    <t>mL of 1,4-dioxane</t>
  </si>
  <si>
    <t>Mole Fractions * 10^2</t>
  </si>
  <si>
    <t>Mole Fractions actual</t>
  </si>
  <si>
    <t>p [psi]</t>
  </si>
  <si>
    <t>Volume</t>
  </si>
  <si>
    <t>[cm^3/mmol]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</si>
  <si>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</si>
  <si>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1 L</t>
  </si>
  <si>
    <t>Catalyst Concentration</t>
  </si>
  <si>
    <t>Catalyst Absolute mmols</t>
  </si>
  <si>
    <t>Mass/ Volume</t>
  </si>
  <si>
    <t>Total Pressure</t>
  </si>
  <si>
    <r>
      <t>Molar Ratio H</t>
    </r>
    <r>
      <rPr>
        <b/>
        <vertAlign val="subscript"/>
        <sz val="11"/>
        <color rgb="FFFF0000"/>
        <rFont val="Calibri"/>
        <family val="2"/>
        <scheme val="minor"/>
      </rPr>
      <t>2</t>
    </r>
    <r>
      <rPr>
        <b/>
        <sz val="11"/>
        <color rgb="FFFF0000"/>
        <rFont val="Calibri"/>
        <family val="2"/>
        <scheme val="minor"/>
      </rPr>
      <t>/catalyst</t>
    </r>
  </si>
  <si>
    <r>
      <t>p(H</t>
    </r>
    <r>
      <rPr>
        <b/>
        <vertAlign val="subscript"/>
        <sz val="11"/>
        <color rgb="FFFF0000"/>
        <rFont val="Calibri"/>
        <family val="2"/>
        <scheme val="minor"/>
      </rPr>
      <t>2</t>
    </r>
    <r>
      <rPr>
        <b/>
        <sz val="11"/>
        <color rgb="FFFF0000"/>
        <rFont val="Calibri"/>
        <family val="2"/>
        <scheme val="minor"/>
      </rPr>
      <t>) [psi]</t>
    </r>
  </si>
  <si>
    <t>at pressure: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</si>
</sst>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2" xfId="0" applyFont="1" applyBorder="1"/>
    <xf numFmtId="0" fontId="2" fillId="0" borderId="3" xfId="0" applyFont="1" applyBorder="1"/>
    <xf numFmtId="0" fontId="7" fillId="2" borderId="4" xfId="0" applyFont="1" applyFill="1" applyBorder="1"/>
    <xf numFmtId="0" fontId="8" fillId="2" borderId="5" xfId="0" applyFont="1" applyFill="1" applyBorder="1"/>
    <xf numFmtId="0" fontId="7" fillId="2" borderId="6" xfId="0" applyFont="1" applyFill="1" applyBorder="1"/>
    <xf numFmtId="0" fontId="2" fillId="3" borderId="4" xfId="0" applyFont="1" applyFill="1" applyBorder="1" applyAlignment="1">
      <alignment wrapText="1"/>
    </xf>
    <xf numFmtId="0" fontId="4" fillId="3" borderId="5" xfId="0" applyFont="1" applyFill="1" applyBorder="1"/>
    <xf numFmtId="0" fontId="2" fillId="3" borderId="6" xfId="0" applyFont="1" applyFill="1" applyBorder="1"/>
    <xf numFmtId="0" fontId="3" fillId="0" borderId="4" xfId="0" applyFont="1" applyBorder="1"/>
    <xf numFmtId="0" fontId="0" fillId="0" borderId="5" xfId="0" applyFont="1" applyBorder="1"/>
    <xf numFmtId="0" fontId="1" fillId="0" borderId="5" xfId="0" applyFont="1" applyBorder="1"/>
    <xf numFmtId="0" fontId="2" fillId="0" borderId="6" xfId="0" applyFont="1" applyBorder="1"/>
    <xf numFmtId="0" fontId="3" fillId="3" borderId="4" xfId="0" applyFont="1" applyFill="1" applyBorder="1"/>
    <xf numFmtId="0" fontId="0" fillId="3" borderId="5" xfId="0" applyFont="1" applyFill="1" applyBorder="1"/>
    <xf numFmtId="0" fontId="1" fillId="3" borderId="5" xfId="0" applyFont="1" applyFill="1" applyBorder="1"/>
    <xf numFmtId="0" fontId="0" fillId="0" borderId="0" xfId="0" applyFont="1"/>
    <xf numFmtId="0" fontId="0" fillId="0" borderId="0" xfId="0" applyAlignment="1">
      <alignment horizontal="center"/>
    </xf>
    <xf numFmtId="0" fontId="8" fillId="2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1" fontId="3" fillId="0" borderId="4" xfId="0" applyNumberFormat="1" applyFont="1" applyBorder="1"/>
    <xf numFmtId="11" fontId="0" fillId="0" borderId="0" xfId="0" applyNumberFormat="1"/>
    <xf numFmtId="0" fontId="7" fillId="2" borderId="5" xfId="0" applyFont="1" applyFill="1" applyBorder="1"/>
    <xf numFmtId="0" fontId="2" fillId="3" borderId="5" xfId="0" applyFont="1" applyFill="1" applyBorder="1" applyAlignment="1">
      <alignment wrapText="1"/>
    </xf>
    <xf numFmtId="0" fontId="3" fillId="0" borderId="5" xfId="0" applyFont="1" applyBorder="1"/>
    <xf numFmtId="0" fontId="3" fillId="0" borderId="0" xfId="0" applyFont="1" applyBorder="1"/>
    <xf numFmtId="1" fontId="3" fillId="0" borderId="5" xfId="0" applyNumberFormat="1" applyFont="1" applyBorder="1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2" fontId="0" fillId="0" borderId="0" xfId="0" applyNumberFormat="1" applyAlignment="1"/>
    <xf numFmtId="165" fontId="1" fillId="0" borderId="0" xfId="0" applyNumberFormat="1" applyFont="1"/>
    <xf numFmtId="2" fontId="2" fillId="0" borderId="0" xfId="0" applyNumberFormat="1" applyFont="1"/>
    <xf numFmtId="166" fontId="1" fillId="0" borderId="0" xfId="0" applyNumberFormat="1" applyFont="1"/>
    <xf numFmtId="0" fontId="11" fillId="0" borderId="0" xfId="0" applyFont="1" applyAlignment="1">
      <alignment wrapText="1"/>
    </xf>
    <xf numFmtId="0" fontId="15" fillId="0" borderId="0" xfId="0" applyFont="1"/>
    <xf numFmtId="165" fontId="15" fillId="0" borderId="0" xfId="0" applyNumberFormat="1" applyFont="1"/>
    <xf numFmtId="0" fontId="2" fillId="0" borderId="0" xfId="0" applyFont="1" applyBorder="1"/>
    <xf numFmtId="0" fontId="10" fillId="0" borderId="0" xfId="0" applyFont="1" applyBorder="1"/>
    <xf numFmtId="0" fontId="16" fillId="0" borderId="0" xfId="0" applyFont="1" applyBorder="1"/>
    <xf numFmtId="0" fontId="12" fillId="0" borderId="0" xfId="0" applyFont="1" applyBorder="1"/>
    <xf numFmtId="0" fontId="16" fillId="0" borderId="0" xfId="0" applyFont="1" applyBorder="1" applyAlignment="1"/>
    <xf numFmtId="49" fontId="12" fillId="0" borderId="0" xfId="0" applyNumberFormat="1" applyFont="1"/>
    <xf numFmtId="0" fontId="7" fillId="2" borderId="6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 wrapText="1"/>
    </xf>
    <xf numFmtId="1" fontId="18" fillId="0" borderId="0" xfId="0" applyNumberFormat="1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Molar Ratio H2/cat</a:t>
            </a:r>
            <a:r>
              <a:rPr lang="en-US" baseline="0"/>
              <a:t> vs p [psi]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'H2 in Water Kirov'!$U$29:$U$34</c:f>
              <c:numCache>
                <c:formatCode>0</c:formatCode>
                <c:ptCount val="6"/>
                <c:pt idx="0">
                  <c:v>145.03773800721814</c:v>
                </c:pt>
                <c:pt idx="1">
                  <c:v>362.59434501804537</c:v>
                </c:pt>
                <c:pt idx="2">
                  <c:v>725.18869003609075</c:v>
                </c:pt>
                <c:pt idx="3">
                  <c:v>1450.3773800721815</c:v>
                </c:pt>
                <c:pt idx="4">
                  <c:v>2175.566070108272</c:v>
                </c:pt>
                <c:pt idx="5">
                  <c:v>2900.754760144363</c:v>
                </c:pt>
              </c:numCache>
            </c:numRef>
          </c:xVal>
          <c:yVal>
            <c:numRef>
              <c:f>'H2 in Water Kirov'!$V$29:$V$34</c:f>
              <c:numCache>
                <c:formatCode>General</c:formatCode>
                <c:ptCount val="6"/>
                <c:pt idx="0">
                  <c:v>4.6428571428571432</c:v>
                </c:pt>
                <c:pt idx="1">
                  <c:v>18.794642857142858</c:v>
                </c:pt>
                <c:pt idx="2">
                  <c:v>42.053571428571423</c:v>
                </c:pt>
                <c:pt idx="3">
                  <c:v>88.973214285714278</c:v>
                </c:pt>
                <c:pt idx="4">
                  <c:v>135.80357142857142</c:v>
                </c:pt>
                <c:pt idx="5">
                  <c:v>181.875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F4-4CE9-8134-8E9A6625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356896"/>
        <c:axId val="355358536"/>
      </c:scatterChart>
      <c:valAx>
        <c:axId val="35535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358536"/>
        <c:crosses val="autoZero"/>
        <c:crossBetween val="midCat"/>
      </c:valAx>
      <c:valAx>
        <c:axId val="35535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356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9</xdr:col>
      <xdr:colOff>0</xdr:colOff>
      <xdr:row>30</xdr:row>
      <xdr:rowOff>9525</xdr:rowOff>
    </xdr:to>
    <xdr:sp macro="" textlink="">
      <xdr:nvSpPr>
        <xdr:cNvPr id="2" name="TextBox 1"/>
        <xdr:cNvSpPr txBox="1"/>
      </xdr:nvSpPr>
      <xdr:spPr>
        <a:xfrm>
          <a:off x="733425" y="3552825"/>
          <a:ext cx="487680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Data from: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smtClean="0"/>
            <a:t>Baranenko, V. I.; Kirov, V. S., SOLUBILITY OF HYDROGEN IN WATER IN A BROAD TEMPERATURE AND PRESSURE RANGE. </a:t>
          </a:r>
          <a:r>
            <a:rPr lang="en-US" sz="1100" b="1" i="1" smtClean="0"/>
            <a:t>Soviet Atomic Energy </a:t>
          </a:r>
          <a:r>
            <a:rPr lang="en-US" sz="1100" b="1" i="0" smtClean="0"/>
            <a:t>1989, </a:t>
          </a:r>
          <a:r>
            <a:rPr lang="en-US" sz="1100" b="1" i="1" smtClean="0"/>
            <a:t>66</a:t>
          </a:r>
          <a:r>
            <a:rPr lang="en-US" sz="1100" b="1" i="0" smtClean="0"/>
            <a:t> (1), 30-34.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smtClean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smtClean="0">
              <a:solidFill>
                <a:srgbClr val="FF0000"/>
              </a:solidFill>
            </a:rPr>
            <a:t>For red values </a:t>
          </a:r>
          <a:r>
            <a:rPr lang="en-US" sz="1100" b="1" i="0" baseline="0" smtClean="0">
              <a:solidFill>
                <a:srgbClr val="FF0000"/>
              </a:solidFill>
            </a:rPr>
            <a:t> the vapour pressure of water exceeds </a:t>
          </a:r>
          <a:r>
            <a:rPr 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p(H2</a:t>
          </a:r>
          <a:r>
            <a:rPr 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) </a:t>
          </a:r>
          <a:r>
            <a:rPr lang="en-US" sz="1100" b="1" i="0" baseline="0" smtClean="0">
              <a:solidFill>
                <a:srgbClr val="FF0000"/>
              </a:solidFill>
            </a:rPr>
            <a:t>at that temperature, i.e., there is only steam and no hydrogen gas can disolve in water under these conditions.</a:t>
          </a:r>
          <a:endParaRPr lang="en-US" sz="1100" b="1" i="0" smtClean="0">
            <a:solidFill>
              <a:srgbClr val="FF0000"/>
            </a:solidFill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33</xdr:row>
      <xdr:rowOff>11907</xdr:rowOff>
    </xdr:from>
    <xdr:to>
      <xdr:col>13</xdr:col>
      <xdr:colOff>11907</xdr:colOff>
      <xdr:row>36</xdr:row>
      <xdr:rowOff>11907</xdr:rowOff>
    </xdr:to>
    <xdr:sp macro="" textlink="">
      <xdr:nvSpPr>
        <xdr:cNvPr id="5" name="TextBox 4"/>
        <xdr:cNvSpPr txBox="1"/>
      </xdr:nvSpPr>
      <xdr:spPr>
        <a:xfrm>
          <a:off x="738188" y="6762751"/>
          <a:ext cx="74295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Density of water</a:t>
          </a:r>
          <a:r>
            <a:rPr lang="en-US" sz="1100" b="1" baseline="0"/>
            <a:t> at temperature and pressure (from : https://www.irc.wisc.edu/properties/) and/or http://www.peacesoftware.de/einigewerte/calc_dampf.php5</a:t>
          </a:r>
          <a:endParaRPr lang="en-US" sz="1100" b="1"/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10</xdr:col>
      <xdr:colOff>723900</xdr:colOff>
      <xdr:row>4</xdr:row>
      <xdr:rowOff>180975</xdr:rowOff>
    </xdr:to>
    <xdr:sp macro="" textlink="">
      <xdr:nvSpPr>
        <xdr:cNvPr id="7" name="TextBox 6"/>
        <xdr:cNvSpPr txBox="1"/>
      </xdr:nvSpPr>
      <xdr:spPr>
        <a:xfrm>
          <a:off x="9525" y="9525"/>
          <a:ext cx="69342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600" b="1"/>
        </a:p>
        <a:p>
          <a:pPr algn="ctr"/>
          <a:r>
            <a:rPr lang="en-US" sz="1400" b="1"/>
            <a:t>Volume [ccm/g]</a:t>
          </a:r>
          <a:r>
            <a:rPr lang="en-US" sz="1400" b="1" baseline="0"/>
            <a:t> </a:t>
          </a:r>
          <a:r>
            <a:rPr lang="en-US" sz="1400" b="1"/>
            <a:t>of hydrogen gas dissolved</a:t>
          </a:r>
          <a:r>
            <a:rPr lang="en-US" sz="1400" b="1" baseline="0"/>
            <a:t> in water at temperature and pressure.</a:t>
          </a:r>
        </a:p>
        <a:p>
          <a:pPr algn="ctr"/>
          <a:r>
            <a:rPr lang="en-US" sz="1400" b="1" i="1" baseline="0"/>
            <a:t>([ccm] of hydrogen at STP !)</a:t>
          </a:r>
          <a:endParaRPr lang="en-US" sz="1400" b="1" i="1"/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25</xdr:col>
      <xdr:colOff>0</xdr:colOff>
      <xdr:row>4</xdr:row>
      <xdr:rowOff>180974</xdr:rowOff>
    </xdr:to>
    <xdr:sp macro="" textlink="">
      <xdr:nvSpPr>
        <xdr:cNvPr id="8" name="TextBox 7"/>
        <xdr:cNvSpPr txBox="1"/>
      </xdr:nvSpPr>
      <xdr:spPr>
        <a:xfrm>
          <a:off x="8172450" y="0"/>
          <a:ext cx="6705600" cy="942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600" b="1"/>
        </a:p>
        <a:p>
          <a:pPr algn="ctr"/>
          <a:r>
            <a:rPr lang="en-US" sz="1400" b="1"/>
            <a:t>mmol of hydrogen gas dissolved</a:t>
          </a:r>
          <a:r>
            <a:rPr lang="en-US" sz="1400" b="1" baseline="0"/>
            <a:t> in defined </a:t>
          </a:r>
          <a:r>
            <a:rPr lang="en-US" sz="1400" b="1" baseline="0">
              <a:solidFill>
                <a:srgbClr val="92D050"/>
              </a:solidFill>
            </a:rPr>
            <a:t> mass</a:t>
          </a:r>
          <a:r>
            <a:rPr lang="en-US" sz="1400" b="1" baseline="0"/>
            <a:t> </a:t>
          </a:r>
        </a:p>
        <a:p>
          <a:pPr algn="ctr"/>
          <a:r>
            <a:rPr lang="en-US" sz="1400" b="1" baseline="0"/>
            <a:t>of water at temperature and pressure.</a:t>
          </a:r>
        </a:p>
        <a:p>
          <a:pPr algn="ctr"/>
          <a:r>
            <a:rPr lang="en-US" sz="1100" b="1" baseline="0"/>
            <a:t>(taking into account density of water at T &amp; p and treatinghydrogenb as an ideal gas)</a:t>
          </a:r>
          <a:endParaRPr lang="en-US" sz="1100" b="1"/>
        </a:p>
      </xdr:txBody>
    </xdr:sp>
    <xdr:clientData/>
  </xdr:twoCellAnchor>
  <xdr:twoCellAnchor>
    <xdr:from>
      <xdr:col>17</xdr:col>
      <xdr:colOff>142875</xdr:colOff>
      <xdr:row>35</xdr:row>
      <xdr:rowOff>45244</xdr:rowOff>
    </xdr:from>
    <xdr:to>
      <xdr:col>24</xdr:col>
      <xdr:colOff>130968</xdr:colOff>
      <xdr:row>45</xdr:row>
      <xdr:rowOff>145256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600075</xdr:colOff>
      <xdr:row>4</xdr:row>
      <xdr:rowOff>180975</xdr:rowOff>
    </xdr:to>
    <xdr:sp macro="" textlink="">
      <xdr:nvSpPr>
        <xdr:cNvPr id="2" name="TextBox 1"/>
        <xdr:cNvSpPr txBox="1"/>
      </xdr:nvSpPr>
      <xdr:spPr>
        <a:xfrm>
          <a:off x="942975" y="190500"/>
          <a:ext cx="64960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Data from </a:t>
          </a:r>
          <a:r>
            <a:rPr lang="en-US" sz="1100" b="1" smtClean="0"/>
            <a:t>Pray, H. A.; Schweickert, C. E.; Minnich, B. H., SOLUBILITY OF HYDROGEN, OXYGEN, NITROGEN, AND HELIUM IN WATER - AT ELEVATED TEMPERATURES. </a:t>
          </a:r>
          <a:r>
            <a:rPr lang="en-US" sz="1100" b="1" i="1" smtClean="0"/>
            <a:t>Ind. Eng. Chem. </a:t>
          </a:r>
          <a:r>
            <a:rPr lang="en-US" sz="1100" b="1" i="0" smtClean="0"/>
            <a:t>1952, </a:t>
          </a:r>
          <a:r>
            <a:rPr lang="en-US" sz="1100" b="1" i="1" smtClean="0"/>
            <a:t>44</a:t>
          </a:r>
          <a:r>
            <a:rPr lang="en-US" sz="1100" b="1" i="0" smtClean="0"/>
            <a:t> (5), 1146-1151.</a:t>
          </a:r>
        </a:p>
        <a:p>
          <a:pPr algn="ctr"/>
          <a:r>
            <a:rPr lang="en-US" sz="1100" b="1">
              <a:solidFill>
                <a:srgbClr val="FF0000"/>
              </a:solidFill>
            </a:rPr>
            <a:t>(Solubilty</a:t>
          </a:r>
          <a:r>
            <a:rPr lang="en-US" sz="1100" b="1" baseline="0">
              <a:solidFill>
                <a:srgbClr val="FF0000"/>
              </a:solidFill>
            </a:rPr>
            <a:t> Values in ccm/g of water at STP !)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12</xdr:col>
      <xdr:colOff>0</xdr:colOff>
      <xdr:row>7</xdr:row>
      <xdr:rowOff>180975</xdr:rowOff>
    </xdr:to>
    <xdr:sp macro="" textlink="">
      <xdr:nvSpPr>
        <xdr:cNvPr id="2" name="TextBox 1"/>
        <xdr:cNvSpPr txBox="1"/>
      </xdr:nvSpPr>
      <xdr:spPr>
        <a:xfrm>
          <a:off x="619125" y="381000"/>
          <a:ext cx="6696075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Data from </a:t>
          </a:r>
          <a:r>
            <a:rPr lang="en-US" sz="1100" b="1" smtClean="0"/>
            <a:t>Brunner, E., Solubility of hydrogen in 10 organic solvents at 298.15, 323.15, and 373.15 K. </a:t>
          </a:r>
          <a:r>
            <a:rPr lang="en-US" sz="1100" b="1" i="1" smtClean="0"/>
            <a:t>Journal of Chemical &amp; Engineering Data </a:t>
          </a:r>
          <a:r>
            <a:rPr lang="en-US" sz="1100" b="1" i="0" smtClean="0"/>
            <a:t>1985, </a:t>
          </a:r>
          <a:r>
            <a:rPr lang="en-US" sz="1100" b="1" i="1" smtClean="0"/>
            <a:t>30</a:t>
          </a:r>
          <a:r>
            <a:rPr lang="en-US" sz="1100" b="1" i="0" smtClean="0"/>
            <a:t> (3), 269-273.</a:t>
          </a:r>
        </a:p>
        <a:p>
          <a:endParaRPr lang="en-US" sz="1100" b="1"/>
        </a:p>
        <a:p>
          <a:pPr algn="ctr"/>
          <a:r>
            <a:rPr lang="en-US" sz="1100" b="1">
              <a:solidFill>
                <a:srgbClr val="FF0000"/>
              </a:solidFill>
            </a:rPr>
            <a:t>(Solubility</a:t>
          </a:r>
          <a:r>
            <a:rPr lang="en-US" sz="1100" b="1" baseline="0">
              <a:solidFill>
                <a:srgbClr val="FF0000"/>
              </a:solidFill>
            </a:rPr>
            <a:t> Values  are for 1,4-dioxane in mole fractions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 10^2</a:t>
          </a:r>
          <a:r>
            <a:rPr lang="en-US" sz="1100" b="1" baseline="0">
              <a:solidFill>
                <a:srgbClr val="FF0000"/>
              </a:solidFill>
            </a:rPr>
            <a:t>) 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49"/>
  <sheetViews>
    <sheetView topLeftCell="A31" zoomScale="80" zoomScaleNormal="80" workbookViewId="0">
      <selection activeCell="AB39" sqref="AB39"/>
    </sheetView>
  </sheetViews>
  <sheetFormatPr defaultRowHeight="15" x14ac:dyDescent="0.25"/>
  <cols>
    <col min="1" max="1" width="11" customWidth="1"/>
    <col min="11" max="11" width="11" customWidth="1"/>
    <col min="14" max="15" width="12.85546875" customWidth="1"/>
    <col min="16" max="16" width="13" bestFit="1" customWidth="1"/>
    <col min="22" max="22" width="14.140625" customWidth="1"/>
  </cols>
  <sheetData>
    <row r="5" spans="1:28" x14ac:dyDescent="0.25">
      <c r="B5" s="19"/>
      <c r="C5" s="19"/>
      <c r="D5" s="19"/>
      <c r="E5" s="19"/>
      <c r="F5" s="19"/>
      <c r="G5" s="19"/>
      <c r="H5" s="19"/>
      <c r="I5" s="19"/>
      <c r="J5" s="19"/>
    </row>
    <row r="6" spans="1:28" x14ac:dyDescent="0.25">
      <c r="A6" s="5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7" t="s">
        <v>14</v>
      </c>
      <c r="N6" s="5" t="s">
        <v>4</v>
      </c>
      <c r="O6" s="25"/>
      <c r="P6" s="6">
        <f>B6+273.15</f>
        <v>273.14999999999998</v>
      </c>
      <c r="Q6" s="6">
        <f t="shared" ref="Q6:X6" si="0">C6+273.15</f>
        <v>323.14999999999998</v>
      </c>
      <c r="R6" s="6">
        <f t="shared" si="0"/>
        <v>373.15</v>
      </c>
      <c r="S6" s="6">
        <f t="shared" si="0"/>
        <v>423.15</v>
      </c>
      <c r="T6" s="6">
        <f t="shared" si="0"/>
        <v>473.15</v>
      </c>
      <c r="U6" s="6">
        <f t="shared" si="0"/>
        <v>523.15</v>
      </c>
      <c r="V6" s="6">
        <f t="shared" si="0"/>
        <v>573.15</v>
      </c>
      <c r="W6" s="6">
        <f t="shared" si="0"/>
        <v>623.15</v>
      </c>
      <c r="X6" s="6">
        <f t="shared" si="0"/>
        <v>643.15</v>
      </c>
      <c r="Y6" s="7" t="s">
        <v>14</v>
      </c>
    </row>
    <row r="7" spans="1:28" s="1" customFormat="1" ht="30" x14ac:dyDescent="0.25">
      <c r="A7" s="8" t="s">
        <v>0</v>
      </c>
      <c r="B7" s="9" t="s">
        <v>2</v>
      </c>
      <c r="C7" s="9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10"/>
      <c r="N7" s="8" t="s">
        <v>15</v>
      </c>
      <c r="O7" s="26" t="s">
        <v>36</v>
      </c>
      <c r="P7" s="9" t="s">
        <v>22</v>
      </c>
      <c r="Q7" s="9" t="s">
        <v>22</v>
      </c>
      <c r="R7" s="9" t="s">
        <v>22</v>
      </c>
      <c r="S7" s="9" t="s">
        <v>22</v>
      </c>
      <c r="T7" s="9" t="s">
        <v>22</v>
      </c>
      <c r="U7" s="9" t="s">
        <v>22</v>
      </c>
      <c r="V7" s="9" t="s">
        <v>22</v>
      </c>
      <c r="W7" s="9" t="s">
        <v>22</v>
      </c>
      <c r="X7" s="9" t="s">
        <v>22</v>
      </c>
      <c r="Y7" s="10"/>
    </row>
    <row r="8" spans="1:28" ht="17.25" x14ac:dyDescent="0.25">
      <c r="A8" s="11">
        <v>0.1</v>
      </c>
      <c r="B8" s="12">
        <v>2.12E-2</v>
      </c>
      <c r="C8" s="12">
        <v>1.2699999999999999E-2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4" t="s">
        <v>3</v>
      </c>
      <c r="N8" s="23">
        <f>A8*1000000</f>
        <v>100000</v>
      </c>
      <c r="O8" s="29">
        <f>N8/$P$25</f>
        <v>14.503773800721815</v>
      </c>
      <c r="P8" s="12">
        <f>(B8*$S$24)/$P$23</f>
        <v>4.7321428571428577E-2</v>
      </c>
      <c r="Q8" s="12">
        <f t="shared" ref="Q8:X18" si="1">C8*$S$24/$P$23</f>
        <v>2.8348214285714289E-2</v>
      </c>
      <c r="R8" s="12">
        <f t="shared" si="1"/>
        <v>0</v>
      </c>
      <c r="S8" s="13">
        <f t="shared" si="1"/>
        <v>0</v>
      </c>
      <c r="T8" s="12">
        <f t="shared" si="1"/>
        <v>0</v>
      </c>
      <c r="U8" s="12">
        <f t="shared" si="1"/>
        <v>0</v>
      </c>
      <c r="V8" s="12">
        <f t="shared" si="1"/>
        <v>0</v>
      </c>
      <c r="W8" s="12">
        <f t="shared" si="1"/>
        <v>0</v>
      </c>
      <c r="X8" s="12">
        <f t="shared" si="1"/>
        <v>0</v>
      </c>
      <c r="Y8" s="14" t="s">
        <v>25</v>
      </c>
    </row>
    <row r="9" spans="1:28" ht="17.25" x14ac:dyDescent="0.25">
      <c r="A9" s="15">
        <v>0.5</v>
      </c>
      <c r="B9" s="16">
        <v>0.106</v>
      </c>
      <c r="C9" s="16">
        <v>7.8899999999999998E-2</v>
      </c>
      <c r="D9" s="16">
        <v>6.4500000000000002E-2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0" t="s">
        <v>3</v>
      </c>
      <c r="N9" s="23">
        <f t="shared" ref="N9:N18" si="2">A9*1000000</f>
        <v>500000</v>
      </c>
      <c r="O9" s="29">
        <f t="shared" ref="O9:O18" si="3">N9/$P$25</f>
        <v>72.518869003609069</v>
      </c>
      <c r="P9" s="12">
        <f t="shared" ref="P9:P18" si="4">B9*$S$24/$P$23</f>
        <v>0.23660714285714288</v>
      </c>
      <c r="Q9" s="12">
        <f t="shared" si="1"/>
        <v>0.17611607142857144</v>
      </c>
      <c r="R9" s="12">
        <f t="shared" si="1"/>
        <v>0.1439732142857143</v>
      </c>
      <c r="S9" s="13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0</v>
      </c>
      <c r="Y9" s="14" t="s">
        <v>25</v>
      </c>
    </row>
    <row r="10" spans="1:28" ht="17.25" x14ac:dyDescent="0.25">
      <c r="A10" s="11">
        <v>1</v>
      </c>
      <c r="B10" s="12">
        <v>0.218</v>
      </c>
      <c r="C10" s="12">
        <v>0.156</v>
      </c>
      <c r="D10" s="12">
        <v>0.14799999999999999</v>
      </c>
      <c r="E10" s="12">
        <v>0.104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4" t="s">
        <v>3</v>
      </c>
      <c r="N10" s="23">
        <f t="shared" si="2"/>
        <v>1000000</v>
      </c>
      <c r="O10" s="29">
        <f t="shared" si="3"/>
        <v>145.03773800721814</v>
      </c>
      <c r="P10" s="12">
        <f t="shared" si="4"/>
        <v>0.4866071428571429</v>
      </c>
      <c r="Q10" s="12">
        <f t="shared" si="1"/>
        <v>0.34821428571428575</v>
      </c>
      <c r="R10" s="12">
        <f t="shared" si="1"/>
        <v>0.33035714285714285</v>
      </c>
      <c r="S10" s="13">
        <f t="shared" si="1"/>
        <v>0.23214285714285718</v>
      </c>
      <c r="T10" s="12">
        <f t="shared" si="1"/>
        <v>0</v>
      </c>
      <c r="U10" s="12">
        <f t="shared" si="1"/>
        <v>0</v>
      </c>
      <c r="V10" s="12">
        <f t="shared" si="1"/>
        <v>0</v>
      </c>
      <c r="W10" s="12">
        <f t="shared" si="1"/>
        <v>0</v>
      </c>
      <c r="X10" s="12">
        <f t="shared" si="1"/>
        <v>0</v>
      </c>
      <c r="Y10" s="14" t="s">
        <v>25</v>
      </c>
    </row>
    <row r="11" spans="1:28" ht="17.25" x14ac:dyDescent="0.25">
      <c r="A11" s="15">
        <v>2.5</v>
      </c>
      <c r="B11" s="16">
        <v>0.53700000000000003</v>
      </c>
      <c r="C11" s="16">
        <v>0.40799999999999997</v>
      </c>
      <c r="D11" s="16">
        <v>0.39300000000000002</v>
      </c>
      <c r="E11" s="16">
        <v>0.42099999999999999</v>
      </c>
      <c r="F11" s="16">
        <v>0.27</v>
      </c>
      <c r="G11" s="17">
        <v>0</v>
      </c>
      <c r="H11" s="17">
        <v>0</v>
      </c>
      <c r="I11" s="17">
        <v>0</v>
      </c>
      <c r="J11" s="17">
        <v>0</v>
      </c>
      <c r="K11" s="10" t="s">
        <v>3</v>
      </c>
      <c r="N11" s="23">
        <f t="shared" si="2"/>
        <v>2500000</v>
      </c>
      <c r="O11" s="29">
        <f t="shared" si="3"/>
        <v>362.59434501804537</v>
      </c>
      <c r="P11" s="12">
        <f t="shared" si="4"/>
        <v>1.1986607142857144</v>
      </c>
      <c r="Q11" s="12">
        <f t="shared" si="1"/>
        <v>0.9107142857142857</v>
      </c>
      <c r="R11" s="12">
        <f t="shared" si="1"/>
        <v>0.87723214285714302</v>
      </c>
      <c r="S11" s="13">
        <f t="shared" si="1"/>
        <v>0.9397321428571429</v>
      </c>
      <c r="T11" s="12">
        <f t="shared" si="1"/>
        <v>0.60267857142857151</v>
      </c>
      <c r="U11" s="12">
        <f t="shared" si="1"/>
        <v>0</v>
      </c>
      <c r="V11" s="12">
        <f t="shared" si="1"/>
        <v>0</v>
      </c>
      <c r="W11" s="12">
        <f t="shared" si="1"/>
        <v>0</v>
      </c>
      <c r="X11" s="12">
        <f t="shared" si="1"/>
        <v>0</v>
      </c>
      <c r="Y11" s="14" t="s">
        <v>25</v>
      </c>
    </row>
    <row r="12" spans="1:28" ht="17.25" x14ac:dyDescent="0.25">
      <c r="A12" s="11">
        <v>5</v>
      </c>
      <c r="B12" s="12">
        <v>1.069</v>
      </c>
      <c r="C12" s="12">
        <v>0.81399999999999995</v>
      </c>
      <c r="D12" s="12">
        <v>0.81</v>
      </c>
      <c r="E12" s="12">
        <v>0.94199999999999995</v>
      </c>
      <c r="F12" s="12">
        <v>0.98199999999999998</v>
      </c>
      <c r="G12" s="12">
        <v>0.40100000000000002</v>
      </c>
      <c r="H12" s="13">
        <v>0</v>
      </c>
      <c r="I12" s="13">
        <v>0</v>
      </c>
      <c r="J12" s="13">
        <v>0</v>
      </c>
      <c r="K12" s="14" t="s">
        <v>3</v>
      </c>
      <c r="N12" s="23">
        <f t="shared" si="2"/>
        <v>5000000</v>
      </c>
      <c r="O12" s="29">
        <f t="shared" si="3"/>
        <v>725.18869003609075</v>
      </c>
      <c r="P12" s="12">
        <f t="shared" si="4"/>
        <v>2.3861607142857144</v>
      </c>
      <c r="Q12" s="12">
        <f t="shared" si="1"/>
        <v>1.8169642857142856</v>
      </c>
      <c r="R12" s="12">
        <f t="shared" si="1"/>
        <v>1.8080357142857144</v>
      </c>
      <c r="S12" s="13">
        <f t="shared" si="1"/>
        <v>2.1026785714285712</v>
      </c>
      <c r="T12" s="12">
        <f t="shared" si="1"/>
        <v>2.191964285714286</v>
      </c>
      <c r="U12" s="12">
        <f t="shared" si="1"/>
        <v>0.89508928571428581</v>
      </c>
      <c r="V12" s="12">
        <f t="shared" si="1"/>
        <v>0</v>
      </c>
      <c r="W12" s="12">
        <f t="shared" si="1"/>
        <v>0</v>
      </c>
      <c r="X12" s="12">
        <f t="shared" si="1"/>
        <v>0</v>
      </c>
      <c r="Y12" s="14" t="s">
        <v>25</v>
      </c>
    </row>
    <row r="13" spans="1:28" ht="17.25" x14ac:dyDescent="0.25">
      <c r="A13" s="15">
        <v>10</v>
      </c>
      <c r="B13" s="16">
        <v>2.1360000000000001</v>
      </c>
      <c r="C13" s="16">
        <v>1.629</v>
      </c>
      <c r="D13" s="16">
        <v>1.6379999999999999</v>
      </c>
      <c r="E13" s="16">
        <v>1.9930000000000001</v>
      </c>
      <c r="F13" s="16">
        <v>2.4140000000000001</v>
      </c>
      <c r="G13" s="16">
        <v>2.5939999999999999</v>
      </c>
      <c r="H13" s="16">
        <v>1.0900000000000001</v>
      </c>
      <c r="I13" s="17">
        <v>0</v>
      </c>
      <c r="J13" s="17">
        <v>0</v>
      </c>
      <c r="K13" s="10" t="s">
        <v>3</v>
      </c>
      <c r="N13" s="23">
        <f t="shared" si="2"/>
        <v>10000000</v>
      </c>
      <c r="O13" s="29">
        <f t="shared" si="3"/>
        <v>1450.3773800721815</v>
      </c>
      <c r="P13" s="12">
        <f t="shared" si="4"/>
        <v>4.7678571428571432</v>
      </c>
      <c r="Q13" s="12">
        <f t="shared" si="1"/>
        <v>3.6361607142857149</v>
      </c>
      <c r="R13" s="12">
        <f t="shared" si="1"/>
        <v>3.65625</v>
      </c>
      <c r="S13" s="13">
        <f t="shared" si="1"/>
        <v>4.4486607142857144</v>
      </c>
      <c r="T13" s="12">
        <f t="shared" si="1"/>
        <v>5.3883928571428577</v>
      </c>
      <c r="U13" s="12">
        <f t="shared" si="1"/>
        <v>5.7901785714285712</v>
      </c>
      <c r="V13" s="12">
        <f t="shared" si="1"/>
        <v>2.4330357142857149</v>
      </c>
      <c r="W13" s="12">
        <f t="shared" si="1"/>
        <v>0</v>
      </c>
      <c r="X13" s="12">
        <f t="shared" si="1"/>
        <v>0</v>
      </c>
      <c r="Y13" s="14" t="s">
        <v>25</v>
      </c>
    </row>
    <row r="14" spans="1:28" ht="17.25" x14ac:dyDescent="0.25">
      <c r="A14" s="11">
        <v>15</v>
      </c>
      <c r="B14" s="12">
        <v>3.1709999999999998</v>
      </c>
      <c r="C14" s="12">
        <v>2.4710000000000001</v>
      </c>
      <c r="D14" s="12">
        <v>2.4409999999999998</v>
      </c>
      <c r="E14" s="12">
        <v>3.0419999999999998</v>
      </c>
      <c r="F14" s="12">
        <v>3.8250000000000002</v>
      </c>
      <c r="G14" s="12">
        <v>4.7350000000000003</v>
      </c>
      <c r="H14" s="12">
        <v>4.8049999999999997</v>
      </c>
      <c r="I14" s="13">
        <v>0</v>
      </c>
      <c r="J14" s="13">
        <v>0</v>
      </c>
      <c r="K14" s="14" t="s">
        <v>3</v>
      </c>
      <c r="N14" s="23">
        <f t="shared" si="2"/>
        <v>15000000</v>
      </c>
      <c r="O14" s="29">
        <f t="shared" si="3"/>
        <v>2175.566070108272</v>
      </c>
      <c r="P14" s="12">
        <f t="shared" si="4"/>
        <v>7.078125</v>
      </c>
      <c r="Q14" s="12">
        <f t="shared" si="1"/>
        <v>5.5156250000000009</v>
      </c>
      <c r="R14" s="12">
        <f t="shared" si="1"/>
        <v>5.4486607142857144</v>
      </c>
      <c r="S14" s="13">
        <f t="shared" si="1"/>
        <v>6.7901785714285712</v>
      </c>
      <c r="T14" s="12">
        <f t="shared" si="1"/>
        <v>8.5379464285714288</v>
      </c>
      <c r="U14" s="12">
        <f t="shared" si="1"/>
        <v>10.569196428571431</v>
      </c>
      <c r="V14" s="12">
        <f t="shared" si="1"/>
        <v>10.725446428571429</v>
      </c>
      <c r="W14" s="12">
        <f t="shared" si="1"/>
        <v>0</v>
      </c>
      <c r="X14" s="12">
        <f t="shared" si="1"/>
        <v>0</v>
      </c>
      <c r="Y14" s="14" t="s">
        <v>25</v>
      </c>
    </row>
    <row r="15" spans="1:28" ht="17.25" x14ac:dyDescent="0.25">
      <c r="A15" s="15">
        <v>20</v>
      </c>
      <c r="B15" s="16">
        <v>4.1900000000000004</v>
      </c>
      <c r="C15" s="16">
        <v>3.2090000000000001</v>
      </c>
      <c r="D15" s="16">
        <v>3.2469999999999999</v>
      </c>
      <c r="E15" s="16">
        <v>4.0739999999999998</v>
      </c>
      <c r="F15" s="16">
        <v>5.2469999999999999</v>
      </c>
      <c r="G15" s="16">
        <v>6.85</v>
      </c>
      <c r="H15" s="16">
        <v>8.4130000000000003</v>
      </c>
      <c r="I15" s="16">
        <v>5.7210000000000001</v>
      </c>
      <c r="J15" s="17">
        <v>0</v>
      </c>
      <c r="K15" s="10" t="s">
        <v>3</v>
      </c>
      <c r="N15" s="23">
        <f t="shared" si="2"/>
        <v>20000000</v>
      </c>
      <c r="O15" s="29">
        <f t="shared" si="3"/>
        <v>2900.754760144363</v>
      </c>
      <c r="P15" s="12">
        <f t="shared" si="4"/>
        <v>9.352678571428573</v>
      </c>
      <c r="Q15" s="12">
        <f t="shared" si="1"/>
        <v>7.1629464285714297</v>
      </c>
      <c r="R15" s="12">
        <f t="shared" si="1"/>
        <v>7.2477678571428577</v>
      </c>
      <c r="S15" s="13">
        <f t="shared" si="1"/>
        <v>9.09375</v>
      </c>
      <c r="T15" s="12">
        <f t="shared" si="1"/>
        <v>11.712053571428573</v>
      </c>
      <c r="U15" s="12">
        <f t="shared" si="1"/>
        <v>15.290178571428573</v>
      </c>
      <c r="V15" s="12">
        <f t="shared" si="1"/>
        <v>18.779017857142861</v>
      </c>
      <c r="W15" s="12">
        <f t="shared" si="1"/>
        <v>12.770089285714286</v>
      </c>
      <c r="X15" s="12">
        <f t="shared" si="1"/>
        <v>0</v>
      </c>
      <c r="Y15" s="14" t="s">
        <v>25</v>
      </c>
      <c r="AB15" s="24"/>
    </row>
    <row r="16" spans="1:28" ht="17.25" x14ac:dyDescent="0.25">
      <c r="A16" s="11">
        <v>30</v>
      </c>
      <c r="B16" s="12">
        <v>6.1719999999999997</v>
      </c>
      <c r="C16" s="12">
        <v>4.726</v>
      </c>
      <c r="D16" s="12">
        <v>4.8259999999999996</v>
      </c>
      <c r="E16" s="12">
        <v>6.1449999999999996</v>
      </c>
      <c r="F16" s="12">
        <v>8.2349999999999994</v>
      </c>
      <c r="G16" s="12">
        <v>11.097</v>
      </c>
      <c r="H16" s="12">
        <v>15.426</v>
      </c>
      <c r="I16" s="12">
        <v>19.231000000000002</v>
      </c>
      <c r="J16" s="12">
        <v>18.157</v>
      </c>
      <c r="K16" s="14" t="s">
        <v>3</v>
      </c>
      <c r="N16" s="23">
        <f t="shared" si="2"/>
        <v>30000000</v>
      </c>
      <c r="O16" s="29">
        <f t="shared" si="3"/>
        <v>4351.132140216544</v>
      </c>
      <c r="P16" s="12">
        <f t="shared" si="4"/>
        <v>13.776785714285714</v>
      </c>
      <c r="Q16" s="12">
        <f t="shared" si="1"/>
        <v>10.549107142857144</v>
      </c>
      <c r="R16" s="12">
        <f t="shared" si="1"/>
        <v>10.772321428571429</v>
      </c>
      <c r="S16" s="13">
        <f t="shared" si="1"/>
        <v>13.716517857142858</v>
      </c>
      <c r="T16" s="12">
        <f t="shared" si="1"/>
        <v>18.381696428571431</v>
      </c>
      <c r="U16" s="12">
        <f t="shared" si="1"/>
        <v>24.770089285714288</v>
      </c>
      <c r="V16" s="12">
        <f t="shared" si="1"/>
        <v>34.433035714285715</v>
      </c>
      <c r="W16" s="12">
        <f t="shared" si="1"/>
        <v>42.926339285714292</v>
      </c>
      <c r="X16" s="12">
        <f t="shared" si="1"/>
        <v>40.529017857142861</v>
      </c>
      <c r="Y16" s="14" t="s">
        <v>25</v>
      </c>
    </row>
    <row r="17" spans="1:25" ht="17.25" x14ac:dyDescent="0.25">
      <c r="A17" s="15">
        <v>40</v>
      </c>
      <c r="B17" s="16">
        <v>8.0549999999999997</v>
      </c>
      <c r="C17" s="16">
        <v>6.2140000000000004</v>
      </c>
      <c r="D17" s="16">
        <v>6.367</v>
      </c>
      <c r="E17" s="16">
        <v>8.2319999999999993</v>
      </c>
      <c r="F17" s="16">
        <v>10.993</v>
      </c>
      <c r="G17" s="16">
        <v>15.398</v>
      </c>
      <c r="H17" s="16">
        <v>22.254999999999999</v>
      </c>
      <c r="I17" s="16">
        <v>33.383000000000003</v>
      </c>
      <c r="J17" s="16">
        <v>36.744</v>
      </c>
      <c r="K17" s="10" t="s">
        <v>3</v>
      </c>
      <c r="N17" s="23">
        <f t="shared" si="2"/>
        <v>40000000</v>
      </c>
      <c r="O17" s="29">
        <f t="shared" si="3"/>
        <v>5801.509520288726</v>
      </c>
      <c r="P17" s="12">
        <f t="shared" si="4"/>
        <v>17.979910714285715</v>
      </c>
      <c r="Q17" s="12">
        <f t="shared" si="1"/>
        <v>13.870535714285717</v>
      </c>
      <c r="R17" s="12">
        <f t="shared" si="1"/>
        <v>14.212053571428573</v>
      </c>
      <c r="S17" s="13">
        <f t="shared" si="1"/>
        <v>18.375</v>
      </c>
      <c r="T17" s="12">
        <f t="shared" si="1"/>
        <v>24.537946428571431</v>
      </c>
      <c r="U17" s="12">
        <f t="shared" si="1"/>
        <v>34.370535714285715</v>
      </c>
      <c r="V17" s="12">
        <f t="shared" si="1"/>
        <v>49.676339285714292</v>
      </c>
      <c r="W17" s="12">
        <f t="shared" si="1"/>
        <v>74.515625000000014</v>
      </c>
      <c r="X17" s="12">
        <f t="shared" si="1"/>
        <v>82.017857142857153</v>
      </c>
      <c r="Y17" s="14" t="s">
        <v>25</v>
      </c>
    </row>
    <row r="18" spans="1:25" ht="17.25" x14ac:dyDescent="0.25">
      <c r="A18" s="2">
        <v>50</v>
      </c>
      <c r="B18" s="3">
        <v>9.8390000000000004</v>
      </c>
      <c r="C18" s="3">
        <v>7.64</v>
      </c>
      <c r="D18" s="3">
        <v>7.8570000000000002</v>
      </c>
      <c r="E18" s="3">
        <v>10.313000000000001</v>
      </c>
      <c r="F18" s="3">
        <v>13.826000000000001</v>
      </c>
      <c r="G18" s="3">
        <v>19.876999999999999</v>
      </c>
      <c r="H18" s="3">
        <v>30.565000000000001</v>
      </c>
      <c r="I18" s="3">
        <v>50.218000000000004</v>
      </c>
      <c r="J18" s="3">
        <v>62.030999999999999</v>
      </c>
      <c r="K18" s="4" t="s">
        <v>3</v>
      </c>
      <c r="N18" s="23">
        <f t="shared" si="2"/>
        <v>50000000</v>
      </c>
      <c r="O18" s="29">
        <f t="shared" si="3"/>
        <v>7251.886900360907</v>
      </c>
      <c r="P18" s="12">
        <f t="shared" si="4"/>
        <v>21.962053571428577</v>
      </c>
      <c r="Q18" s="12">
        <f t="shared" si="1"/>
        <v>17.053571428571431</v>
      </c>
      <c r="R18" s="12">
        <f t="shared" si="1"/>
        <v>17.537946428571431</v>
      </c>
      <c r="S18" s="13">
        <f t="shared" si="1"/>
        <v>23.020089285714285</v>
      </c>
      <c r="T18" s="12">
        <f t="shared" si="1"/>
        <v>30.861607142857149</v>
      </c>
      <c r="U18" s="12">
        <f t="shared" si="1"/>
        <v>44.368303571428569</v>
      </c>
      <c r="V18" s="12">
        <f t="shared" si="1"/>
        <v>68.225446428571431</v>
      </c>
      <c r="W18" s="12">
        <f t="shared" si="1"/>
        <v>112.09375000000001</v>
      </c>
      <c r="X18" s="12">
        <f t="shared" si="1"/>
        <v>138.46205357142856</v>
      </c>
      <c r="Y18" s="14" t="s">
        <v>25</v>
      </c>
    </row>
    <row r="19" spans="1:25" x14ac:dyDescent="0.25">
      <c r="P19" s="12"/>
    </row>
    <row r="21" spans="1:25" x14ac:dyDescent="0.25">
      <c r="N21" s="43" t="s">
        <v>24</v>
      </c>
      <c r="O21" s="43"/>
      <c r="P21" s="43"/>
      <c r="Q21" s="43"/>
      <c r="R21" s="43"/>
      <c r="V21" s="45"/>
      <c r="W21" s="45"/>
      <c r="X21" s="45"/>
    </row>
    <row r="22" spans="1:25" x14ac:dyDescent="0.25">
      <c r="N22" s="43"/>
      <c r="O22" s="43"/>
      <c r="P22" s="43"/>
      <c r="Q22" s="43"/>
      <c r="R22" s="43"/>
      <c r="S22" s="44"/>
      <c r="T22" s="44"/>
      <c r="U22" s="45"/>
      <c r="V22" s="45"/>
      <c r="W22" s="45"/>
      <c r="X22" s="45"/>
    </row>
    <row r="23" spans="1:25" ht="14.25" customHeight="1" x14ac:dyDescent="0.25">
      <c r="N23" s="43" t="s">
        <v>55</v>
      </c>
      <c r="O23" s="43"/>
      <c r="P23" s="43">
        <v>22.4</v>
      </c>
      <c r="Q23" s="43" t="s">
        <v>56</v>
      </c>
      <c r="R23" s="43"/>
      <c r="S23" s="44" t="s">
        <v>26</v>
      </c>
      <c r="T23" s="44"/>
      <c r="U23" s="45" t="s">
        <v>30</v>
      </c>
      <c r="V23" s="45"/>
      <c r="W23" s="45"/>
      <c r="X23" s="45"/>
    </row>
    <row r="24" spans="1:25" x14ac:dyDescent="0.25">
      <c r="N24" s="43" t="s">
        <v>17</v>
      </c>
      <c r="O24" s="43"/>
      <c r="P24" s="43">
        <v>8.3144597999999998</v>
      </c>
      <c r="Q24" s="43" t="s">
        <v>16</v>
      </c>
      <c r="R24" s="43"/>
      <c r="S24" s="44">
        <v>50</v>
      </c>
      <c r="T24" s="44" t="s">
        <v>27</v>
      </c>
      <c r="U24" s="47" t="s">
        <v>59</v>
      </c>
      <c r="V24" s="45"/>
      <c r="W24" s="45">
        <v>1</v>
      </c>
      <c r="X24" s="45" t="s">
        <v>31</v>
      </c>
    </row>
    <row r="25" spans="1:25" x14ac:dyDescent="0.25">
      <c r="N25" s="45" t="s">
        <v>18</v>
      </c>
      <c r="O25" s="45"/>
      <c r="P25" s="45">
        <v>6894.7572799999998</v>
      </c>
      <c r="Q25" s="45" t="s">
        <v>19</v>
      </c>
      <c r="R25" s="43"/>
      <c r="S25" s="44">
        <f>S24/1000</f>
        <v>0.05</v>
      </c>
      <c r="T25" s="44" t="s">
        <v>28</v>
      </c>
      <c r="U25" s="45" t="s">
        <v>60</v>
      </c>
      <c r="V25" s="45"/>
      <c r="W25" s="45">
        <f>S24*W24/1000</f>
        <v>0.05</v>
      </c>
      <c r="X25" s="45" t="s">
        <v>31</v>
      </c>
    </row>
    <row r="26" spans="1:25" x14ac:dyDescent="0.25">
      <c r="N26" s="43" t="s">
        <v>20</v>
      </c>
      <c r="O26" s="43"/>
      <c r="P26" s="43">
        <v>1E-3</v>
      </c>
      <c r="Q26" s="43" t="s">
        <v>21</v>
      </c>
      <c r="R26" s="43"/>
      <c r="S26" s="44">
        <f>S25/1000</f>
        <v>5.0000000000000002E-5</v>
      </c>
      <c r="T26" s="44" t="s">
        <v>29</v>
      </c>
      <c r="U26" s="1"/>
      <c r="X26" s="48"/>
      <c r="Y26" s="18"/>
    </row>
    <row r="27" spans="1:25" ht="17.25" x14ac:dyDescent="0.25">
      <c r="N27" s="43" t="s">
        <v>58</v>
      </c>
      <c r="O27" s="43"/>
      <c r="P27" s="43">
        <v>1E-3</v>
      </c>
      <c r="Q27" s="43" t="s">
        <v>57</v>
      </c>
      <c r="R27" s="43"/>
      <c r="S27" s="43"/>
      <c r="T27" s="43"/>
      <c r="U27" s="22" t="s">
        <v>34</v>
      </c>
      <c r="V27" s="46"/>
      <c r="W27" s="46"/>
      <c r="X27" s="43"/>
      <c r="Y27" s="18"/>
    </row>
    <row r="28" spans="1:25" ht="34.5" x14ac:dyDescent="0.35">
      <c r="P28" s="30"/>
      <c r="U28" s="54" t="s">
        <v>64</v>
      </c>
      <c r="V28" s="54" t="s">
        <v>63</v>
      </c>
      <c r="W28" s="51"/>
    </row>
    <row r="29" spans="1:25" x14ac:dyDescent="0.25">
      <c r="U29" s="53">
        <f>$O10</f>
        <v>145.03773800721814</v>
      </c>
      <c r="V29" s="52">
        <f>S10/$W$25</f>
        <v>4.6428571428571432</v>
      </c>
      <c r="W29" s="51"/>
    </row>
    <row r="30" spans="1:25" x14ac:dyDescent="0.25">
      <c r="U30" s="53">
        <f t="shared" ref="U30:U34" si="5">$O11</f>
        <v>362.59434501804537</v>
      </c>
      <c r="V30" s="52">
        <f t="shared" ref="V30:V34" si="6">S11/$W$25</f>
        <v>18.794642857142858</v>
      </c>
      <c r="W30" s="51"/>
    </row>
    <row r="31" spans="1:25" x14ac:dyDescent="0.25">
      <c r="U31" s="53">
        <f t="shared" si="5"/>
        <v>725.18869003609075</v>
      </c>
      <c r="V31" s="52">
        <f t="shared" si="6"/>
        <v>42.053571428571423</v>
      </c>
      <c r="W31" s="51"/>
    </row>
    <row r="32" spans="1:25" x14ac:dyDescent="0.25">
      <c r="U32" s="53">
        <f t="shared" si="5"/>
        <v>1450.3773800721815</v>
      </c>
      <c r="V32" s="52">
        <f t="shared" si="6"/>
        <v>88.973214285714278</v>
      </c>
      <c r="W32" s="51"/>
    </row>
    <row r="33" spans="2:23" x14ac:dyDescent="0.25">
      <c r="U33" s="53">
        <f t="shared" si="5"/>
        <v>2175.566070108272</v>
      </c>
      <c r="V33" s="52">
        <f t="shared" si="6"/>
        <v>135.80357142857142</v>
      </c>
      <c r="W33" s="51"/>
    </row>
    <row r="34" spans="2:23" x14ac:dyDescent="0.25">
      <c r="U34" s="53">
        <f t="shared" si="5"/>
        <v>2900.754760144363</v>
      </c>
      <c r="V34" s="52">
        <f t="shared" si="6"/>
        <v>181.875</v>
      </c>
      <c r="W34" s="51"/>
    </row>
    <row r="35" spans="2:23" x14ac:dyDescent="0.25">
      <c r="U35" s="33"/>
    </row>
    <row r="36" spans="2:23" x14ac:dyDescent="0.25">
      <c r="U36" s="33"/>
    </row>
    <row r="37" spans="2:23" ht="30" x14ac:dyDescent="0.25">
      <c r="B37" s="50" t="s">
        <v>62</v>
      </c>
      <c r="C37" s="25"/>
      <c r="D37" s="6">
        <v>273.14999999999998</v>
      </c>
      <c r="E37" s="6">
        <v>323.14999999999998</v>
      </c>
      <c r="F37" s="6">
        <v>373.15</v>
      </c>
      <c r="G37" s="6">
        <v>423.15</v>
      </c>
      <c r="H37" s="6">
        <v>473.15</v>
      </c>
      <c r="I37" s="6">
        <v>523.15</v>
      </c>
      <c r="J37" s="6">
        <v>573.15</v>
      </c>
      <c r="K37" s="6">
        <v>623.15</v>
      </c>
      <c r="L37" s="6">
        <v>643.15</v>
      </c>
      <c r="M37" s="49" t="s">
        <v>61</v>
      </c>
    </row>
    <row r="38" spans="2:23" ht="45" x14ac:dyDescent="0.25">
      <c r="B38" s="8" t="s">
        <v>15</v>
      </c>
      <c r="C38" s="26"/>
      <c r="D38" s="9" t="s">
        <v>22</v>
      </c>
      <c r="E38" s="9" t="s">
        <v>22</v>
      </c>
      <c r="F38" s="9" t="s">
        <v>22</v>
      </c>
      <c r="G38" s="9" t="s">
        <v>22</v>
      </c>
      <c r="H38" s="9" t="s">
        <v>22</v>
      </c>
      <c r="I38" s="9" t="s">
        <v>22</v>
      </c>
      <c r="J38" s="9" t="s">
        <v>22</v>
      </c>
      <c r="K38" s="9" t="s">
        <v>22</v>
      </c>
      <c r="L38" s="9" t="s">
        <v>22</v>
      </c>
      <c r="M38" s="10"/>
    </row>
    <row r="39" spans="2:23" ht="17.25" x14ac:dyDescent="0.25">
      <c r="B39" s="11">
        <f t="shared" ref="B39:B49" si="7">N8</f>
        <v>100000</v>
      </c>
      <c r="C39" s="27"/>
      <c r="D39" s="12">
        <v>999.84363318866997</v>
      </c>
      <c r="E39">
        <v>988.04690057895004</v>
      </c>
      <c r="F39" s="13"/>
      <c r="G39" s="13"/>
      <c r="H39" s="13"/>
      <c r="I39" s="13"/>
      <c r="J39" s="13"/>
      <c r="K39" s="13"/>
      <c r="L39" s="13"/>
      <c r="M39" s="14" t="s">
        <v>23</v>
      </c>
    </row>
    <row r="40" spans="2:23" ht="17.25" x14ac:dyDescent="0.25">
      <c r="B40" s="11">
        <f t="shared" si="7"/>
        <v>500000</v>
      </c>
      <c r="C40" s="28"/>
      <c r="D40">
        <v>1000.0470312965</v>
      </c>
      <c r="E40">
        <v>988.22080202123004</v>
      </c>
      <c r="F40">
        <v>958.54102552974996</v>
      </c>
      <c r="H40" s="17"/>
      <c r="I40" s="17"/>
      <c r="J40" s="17"/>
      <c r="K40" s="17"/>
      <c r="L40" s="17"/>
      <c r="M40" s="14" t="s">
        <v>23</v>
      </c>
    </row>
    <row r="41" spans="2:23" ht="17.25" x14ac:dyDescent="0.25">
      <c r="B41" s="11">
        <f t="shared" si="7"/>
        <v>1000000</v>
      </c>
      <c r="C41" s="28"/>
      <c r="D41">
        <v>1000.3010165791</v>
      </c>
      <c r="E41">
        <v>988.43797646115001</v>
      </c>
      <c r="F41">
        <v>958.77499626703002</v>
      </c>
      <c r="G41">
        <v>917.30421677160996</v>
      </c>
      <c r="H41" s="13"/>
      <c r="I41" s="13"/>
      <c r="J41" s="13"/>
      <c r="K41" s="13"/>
      <c r="L41" s="13"/>
      <c r="M41" s="14" t="s">
        <v>23</v>
      </c>
    </row>
    <row r="42" spans="2:23" ht="17.25" x14ac:dyDescent="0.25">
      <c r="B42" s="11">
        <f t="shared" si="7"/>
        <v>2500000</v>
      </c>
      <c r="C42" s="28"/>
      <c r="D42">
        <v>1001.0612259660001</v>
      </c>
      <c r="E42">
        <v>989.08815438306999</v>
      </c>
      <c r="F42">
        <v>959.47494983042998</v>
      </c>
      <c r="G42">
        <v>918.15279178100002</v>
      </c>
      <c r="H42">
        <v>865.38766915271003</v>
      </c>
      <c r="I42" s="17"/>
      <c r="J42" s="17"/>
      <c r="K42" s="17"/>
      <c r="L42" s="17"/>
      <c r="M42" s="14" t="s">
        <v>23</v>
      </c>
    </row>
    <row r="43" spans="2:23" ht="17.25" x14ac:dyDescent="0.25">
      <c r="B43" s="11">
        <f t="shared" si="7"/>
        <v>5000000</v>
      </c>
      <c r="C43" s="28"/>
      <c r="D43">
        <v>1002.322436177</v>
      </c>
      <c r="E43">
        <v>990.16732231152002</v>
      </c>
      <c r="F43">
        <v>960.63507932928997</v>
      </c>
      <c r="G43">
        <v>917.58766406772997</v>
      </c>
      <c r="H43">
        <v>867.27049867971004</v>
      </c>
      <c r="I43">
        <v>800.08142872599001</v>
      </c>
      <c r="J43" s="13"/>
      <c r="K43" s="13"/>
      <c r="L43" s="13"/>
      <c r="M43" s="14" t="s">
        <v>23</v>
      </c>
    </row>
    <row r="44" spans="2:23" ht="17.25" x14ac:dyDescent="0.25">
      <c r="B44" s="11">
        <f t="shared" si="7"/>
        <v>10000000</v>
      </c>
      <c r="C44" s="28"/>
      <c r="D44">
        <v>1004.8232092437</v>
      </c>
      <c r="E44">
        <v>992.30909172166002</v>
      </c>
      <c r="F44">
        <v>962.93160982793995</v>
      </c>
      <c r="G44">
        <v>919.55546785971001</v>
      </c>
      <c r="H44">
        <v>870.94654570108003</v>
      </c>
      <c r="I44">
        <v>805.70105659921001</v>
      </c>
      <c r="J44">
        <v>715.28955863298995</v>
      </c>
      <c r="K44" s="17"/>
      <c r="L44" s="17"/>
      <c r="M44" s="14" t="s">
        <v>23</v>
      </c>
    </row>
    <row r="45" spans="2:23" ht="17.25" x14ac:dyDescent="0.25">
      <c r="B45" s="11">
        <f t="shared" si="7"/>
        <v>15000000</v>
      </c>
      <c r="C45" s="28"/>
      <c r="D45">
        <v>1007.2953533373</v>
      </c>
      <c r="E45">
        <v>994.42906842478999</v>
      </c>
      <c r="F45">
        <v>965.19736410517999</v>
      </c>
      <c r="G45">
        <v>925.02855025451004</v>
      </c>
      <c r="H45">
        <v>874.51144816007002</v>
      </c>
      <c r="I45">
        <v>811.02408541955003</v>
      </c>
      <c r="J45">
        <v>725.55327522717005</v>
      </c>
      <c r="K45" s="13"/>
      <c r="L45" s="13"/>
      <c r="M45" s="14" t="s">
        <v>23</v>
      </c>
    </row>
    <row r="46" spans="2:23" ht="17.25" x14ac:dyDescent="0.25">
      <c r="B46" s="11">
        <f t="shared" si="7"/>
        <v>20000000</v>
      </c>
      <c r="C46" s="28"/>
      <c r="D46">
        <v>1009.7391593965</v>
      </c>
      <c r="E46">
        <v>996.52759293825</v>
      </c>
      <c r="F46">
        <v>967.43330087678999</v>
      </c>
      <c r="G46">
        <v>927.68761483659</v>
      </c>
      <c r="H46">
        <v>877.97408902434995</v>
      </c>
      <c r="I46">
        <v>816.08744528322995</v>
      </c>
      <c r="J46">
        <v>734.70622205714005</v>
      </c>
      <c r="K46">
        <v>600.64866185693995</v>
      </c>
      <c r="L46" s="17"/>
      <c r="M46" s="14" t="s">
        <v>23</v>
      </c>
    </row>
    <row r="47" spans="2:23" ht="17.25" x14ac:dyDescent="0.25">
      <c r="B47" s="11">
        <f t="shared" si="7"/>
        <v>30000000</v>
      </c>
      <c r="C47" s="28"/>
      <c r="D47">
        <v>1014.5429810482</v>
      </c>
      <c r="E47">
        <v>1000.6615816773</v>
      </c>
      <c r="F47">
        <v>971.81919290434996</v>
      </c>
      <c r="G47">
        <v>932.86328522989004</v>
      </c>
      <c r="H47">
        <v>884.62260830483001</v>
      </c>
      <c r="I47">
        <v>825.55133165508005</v>
      </c>
      <c r="J47">
        <v>750.64423396846996</v>
      </c>
      <c r="K47">
        <v>643.95453443258998</v>
      </c>
      <c r="L47">
        <v>579.02222896491003</v>
      </c>
      <c r="M47" s="14" t="s">
        <v>23</v>
      </c>
    </row>
    <row r="48" spans="2:23" ht="17.25" x14ac:dyDescent="0.25">
      <c r="B48" s="11">
        <f t="shared" si="7"/>
        <v>40000000</v>
      </c>
      <c r="C48" s="28"/>
      <c r="D48">
        <v>1019.2372480753</v>
      </c>
      <c r="E48">
        <v>1004.713558573</v>
      </c>
      <c r="F48">
        <v>976.09565434125</v>
      </c>
      <c r="G48">
        <v>937.86285069670998</v>
      </c>
      <c r="H48">
        <v>890.94313623773996</v>
      </c>
      <c r="I48">
        <v>834.27938533941995</v>
      </c>
      <c r="J48">
        <v>764.34479998520999</v>
      </c>
      <c r="K48">
        <v>671.86451312740996</v>
      </c>
      <c r="L48">
        <v>623.15038619426002</v>
      </c>
      <c r="M48" s="14" t="s">
        <v>23</v>
      </c>
    </row>
    <row r="49" spans="2:13" ht="17.25" x14ac:dyDescent="0.25">
      <c r="B49" s="11">
        <f t="shared" si="7"/>
        <v>50000000</v>
      </c>
      <c r="C49" s="28"/>
      <c r="D49">
        <v>1023.8247459304</v>
      </c>
      <c r="E49">
        <v>1008.6859322025</v>
      </c>
      <c r="F49">
        <v>980.26835115878998</v>
      </c>
      <c r="G49">
        <v>942.7004067263</v>
      </c>
      <c r="H49">
        <v>896.97503478471003</v>
      </c>
      <c r="I49">
        <v>842.40371188967003</v>
      </c>
      <c r="J49">
        <v>776.46214763459</v>
      </c>
      <c r="K49">
        <v>693.27107712137001</v>
      </c>
      <c r="L49">
        <v>652.34486183052002</v>
      </c>
      <c r="M49" s="14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H27" sqref="H27"/>
    </sheetView>
  </sheetViews>
  <sheetFormatPr defaultRowHeight="15" x14ac:dyDescent="0.25"/>
  <cols>
    <col min="1" max="1" width="14.140625" customWidth="1"/>
    <col min="2" max="2" width="12.28515625" customWidth="1"/>
    <col min="3" max="3" width="14.85546875" customWidth="1"/>
  </cols>
  <sheetData>
    <row r="1" spans="1:11" x14ac:dyDescent="0.25">
      <c r="A1" t="s">
        <v>18</v>
      </c>
      <c r="B1">
        <v>6894.7572799999998</v>
      </c>
      <c r="C1" t="s">
        <v>19</v>
      </c>
    </row>
    <row r="6" spans="1:11" s="1" customFormat="1" x14ac:dyDescent="0.25">
      <c r="C6" s="1" t="s">
        <v>41</v>
      </c>
    </row>
    <row r="7" spans="1:11" s="1" customFormat="1" x14ac:dyDescent="0.25">
      <c r="C7" s="1">
        <v>75</v>
      </c>
      <c r="D7" s="1">
        <v>125</v>
      </c>
      <c r="E7" s="1">
        <v>300</v>
      </c>
      <c r="F7" s="1">
        <v>345</v>
      </c>
      <c r="G7" s="1">
        <v>390</v>
      </c>
      <c r="H7" s="1">
        <v>435</v>
      </c>
      <c r="I7" s="1">
        <v>500</v>
      </c>
      <c r="J7" s="1">
        <v>600</v>
      </c>
      <c r="K7" s="1">
        <v>650</v>
      </c>
    </row>
    <row r="8" spans="1:11" x14ac:dyDescent="0.25">
      <c r="C8" t="s">
        <v>39</v>
      </c>
    </row>
    <row r="9" spans="1:11" x14ac:dyDescent="0.25">
      <c r="C9" s="33">
        <f>CONVERT(C7,"fah","cel")</f>
        <v>23.888888888888889</v>
      </c>
      <c r="D9" s="33">
        <f t="shared" ref="D9:K9" si="0">CONVERT(D7,"fah","cel")</f>
        <v>51.666666666666664</v>
      </c>
      <c r="E9" s="33">
        <f t="shared" si="0"/>
        <v>148.88888888888889</v>
      </c>
      <c r="F9" s="33">
        <f t="shared" si="0"/>
        <v>173.88888888888889</v>
      </c>
      <c r="G9" s="33">
        <f t="shared" si="0"/>
        <v>198.88888888888889</v>
      </c>
      <c r="H9" s="33">
        <f t="shared" si="0"/>
        <v>223.88888888888889</v>
      </c>
      <c r="I9" s="33">
        <f t="shared" si="0"/>
        <v>260</v>
      </c>
      <c r="J9" s="33">
        <f t="shared" si="0"/>
        <v>315.55555555555554</v>
      </c>
      <c r="K9" s="33">
        <f t="shared" si="0"/>
        <v>343.33333333333331</v>
      </c>
    </row>
    <row r="10" spans="1:11" x14ac:dyDescent="0.25">
      <c r="C10" s="33" t="s">
        <v>40</v>
      </c>
      <c r="D10" s="33"/>
      <c r="E10" s="33"/>
      <c r="F10" s="33"/>
      <c r="G10" s="33"/>
      <c r="H10" s="33"/>
      <c r="I10" s="33"/>
      <c r="J10" s="33"/>
      <c r="K10" s="33"/>
    </row>
    <row r="11" spans="1:11" x14ac:dyDescent="0.25">
      <c r="C11" s="33">
        <f>C9+273.15</f>
        <v>297.03888888888889</v>
      </c>
      <c r="D11" s="33">
        <f t="shared" ref="D11:K11" si="1">D9+273.15</f>
        <v>324.81666666666666</v>
      </c>
      <c r="E11" s="33">
        <f t="shared" si="1"/>
        <v>422.03888888888889</v>
      </c>
      <c r="F11" s="33">
        <f t="shared" si="1"/>
        <v>447.03888888888889</v>
      </c>
      <c r="G11" s="33">
        <f t="shared" si="1"/>
        <v>472.03888888888889</v>
      </c>
      <c r="H11" s="33">
        <f t="shared" si="1"/>
        <v>497.03888888888889</v>
      </c>
      <c r="I11" s="33">
        <f t="shared" si="1"/>
        <v>533.15</v>
      </c>
      <c r="J11" s="33">
        <f t="shared" si="1"/>
        <v>588.70555555555552</v>
      </c>
      <c r="K11" s="33">
        <f t="shared" si="1"/>
        <v>616.48333333333335</v>
      </c>
    </row>
    <row r="12" spans="1:11" ht="30" x14ac:dyDescent="0.25">
      <c r="A12" s="32" t="s">
        <v>37</v>
      </c>
      <c r="B12" s="32" t="s">
        <v>38</v>
      </c>
    </row>
    <row r="13" spans="1:11" x14ac:dyDescent="0.25">
      <c r="A13" s="35">
        <v>100</v>
      </c>
      <c r="B13" s="36">
        <f>(A13*$B$1)/1000000</f>
        <v>0.68947572800000001</v>
      </c>
      <c r="E13">
        <v>0.13</v>
      </c>
      <c r="F13">
        <v>0.15</v>
      </c>
      <c r="G13">
        <v>0.18</v>
      </c>
      <c r="H13">
        <v>0.22</v>
      </c>
      <c r="I13">
        <v>0.39</v>
      </c>
      <c r="J13">
        <v>0.65</v>
      </c>
      <c r="K13">
        <v>1.4</v>
      </c>
    </row>
    <row r="14" spans="1:11" x14ac:dyDescent="0.25">
      <c r="A14" s="35">
        <v>200</v>
      </c>
      <c r="B14" s="36">
        <f t="shared" ref="B14:B17" si="2">(A14*$B$1)/1000000</f>
        <v>1.378951456</v>
      </c>
      <c r="D14">
        <v>0.33</v>
      </c>
      <c r="E14">
        <v>0.28000000000000003</v>
      </c>
      <c r="F14">
        <v>0.3</v>
      </c>
      <c r="G14">
        <v>0.34</v>
      </c>
      <c r="H14">
        <v>0.49</v>
      </c>
      <c r="I14">
        <v>0.91</v>
      </c>
      <c r="J14">
        <v>1.32</v>
      </c>
    </row>
    <row r="15" spans="1:11" x14ac:dyDescent="0.25">
      <c r="A15" s="35">
        <v>300</v>
      </c>
      <c r="B15" s="36">
        <f t="shared" si="2"/>
        <v>2.0684271839999999</v>
      </c>
      <c r="C15">
        <v>0.32</v>
      </c>
      <c r="D15">
        <v>0.41</v>
      </c>
      <c r="E15">
        <v>0.4</v>
      </c>
      <c r="F15">
        <v>0.43</v>
      </c>
      <c r="G15">
        <v>0.52</v>
      </c>
      <c r="H15">
        <v>0.75</v>
      </c>
      <c r="I15">
        <v>1.25</v>
      </c>
      <c r="J15">
        <v>2.0099999999999998</v>
      </c>
    </row>
    <row r="16" spans="1:11" x14ac:dyDescent="0.25">
      <c r="A16" s="35">
        <v>375</v>
      </c>
      <c r="B16" s="36">
        <f t="shared" si="2"/>
        <v>2.5855339800000001</v>
      </c>
      <c r="D16">
        <v>0.45</v>
      </c>
      <c r="E16">
        <v>0.52</v>
      </c>
      <c r="F16">
        <v>0.56000000000000005</v>
      </c>
      <c r="G16">
        <v>0.68</v>
      </c>
      <c r="H16">
        <v>0.94</v>
      </c>
    </row>
    <row r="17" spans="1:8" x14ac:dyDescent="0.25">
      <c r="A17" s="35">
        <v>500</v>
      </c>
      <c r="B17" s="36">
        <f t="shared" si="2"/>
        <v>3.4473786400000002</v>
      </c>
      <c r="E17">
        <v>0.7</v>
      </c>
      <c r="F17">
        <v>0.75</v>
      </c>
      <c r="H17">
        <v>1.26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topLeftCell="A7" workbookViewId="0">
      <selection activeCell="K38" sqref="K38"/>
    </sheetView>
  </sheetViews>
  <sheetFormatPr defaultRowHeight="15" x14ac:dyDescent="0.25"/>
  <cols>
    <col min="7" max="7" width="17.7109375" customWidth="1"/>
    <col min="13" max="13" width="21.140625" customWidth="1"/>
    <col min="14" max="14" width="10.7109375" customWidth="1"/>
    <col min="16" max="16" width="11.85546875" customWidth="1"/>
  </cols>
  <sheetData>
    <row r="1" spans="1:25" x14ac:dyDescent="0.25">
      <c r="A1" t="s">
        <v>18</v>
      </c>
      <c r="B1">
        <v>6894.7572799999998</v>
      </c>
      <c r="C1" t="s">
        <v>19</v>
      </c>
    </row>
    <row r="10" spans="1:25" s="1" customFormat="1" x14ac:dyDescent="0.25">
      <c r="B10" s="1" t="s">
        <v>52</v>
      </c>
      <c r="G10" s="1" t="s">
        <v>53</v>
      </c>
      <c r="N10" s="1" t="s">
        <v>44</v>
      </c>
      <c r="P10" s="1">
        <v>88.106999999999999</v>
      </c>
      <c r="Q10" s="1" t="s">
        <v>45</v>
      </c>
      <c r="S10" s="1" t="s">
        <v>50</v>
      </c>
      <c r="V10" s="1">
        <f>N18</f>
        <v>50</v>
      </c>
      <c r="X10" s="1" t="s">
        <v>51</v>
      </c>
    </row>
    <row r="13" spans="1:25" x14ac:dyDescent="0.25">
      <c r="C13" t="s">
        <v>43</v>
      </c>
      <c r="H13" t="s">
        <v>43</v>
      </c>
      <c r="N13" t="s">
        <v>43</v>
      </c>
      <c r="T13" t="s">
        <v>43</v>
      </c>
    </row>
    <row r="14" spans="1:25" x14ac:dyDescent="0.25">
      <c r="C14">
        <f>C16-273.15</f>
        <v>25</v>
      </c>
      <c r="D14">
        <f t="shared" ref="D14:E14" si="0">D16-273.15</f>
        <v>50</v>
      </c>
      <c r="E14">
        <f t="shared" si="0"/>
        <v>100</v>
      </c>
      <c r="H14">
        <f>H16-273.15</f>
        <v>25</v>
      </c>
      <c r="I14">
        <f t="shared" ref="I14:J14" si="1">I16-273.15</f>
        <v>50</v>
      </c>
      <c r="J14">
        <f t="shared" si="1"/>
        <v>100</v>
      </c>
      <c r="N14">
        <f>N16-273.15</f>
        <v>25</v>
      </c>
      <c r="O14">
        <f t="shared" ref="O14:P14" si="2">O16-273.15</f>
        <v>50</v>
      </c>
      <c r="P14">
        <f t="shared" si="2"/>
        <v>100</v>
      </c>
      <c r="T14">
        <f>T16-273.15</f>
        <v>25</v>
      </c>
      <c r="V14">
        <f t="shared" ref="V14:X14" si="3">V16-273.15</f>
        <v>50</v>
      </c>
      <c r="X14">
        <f t="shared" si="3"/>
        <v>100</v>
      </c>
    </row>
    <row r="15" spans="1:25" ht="45" x14ac:dyDescent="0.25">
      <c r="C15" t="s">
        <v>40</v>
      </c>
      <c r="H15" t="s">
        <v>40</v>
      </c>
      <c r="N15" t="s">
        <v>40</v>
      </c>
      <c r="T15" t="s">
        <v>40</v>
      </c>
      <c r="U15" s="40" t="s">
        <v>35</v>
      </c>
      <c r="W15" s="40" t="s">
        <v>35</v>
      </c>
      <c r="Y15" s="40" t="s">
        <v>35</v>
      </c>
    </row>
    <row r="16" spans="1:25" x14ac:dyDescent="0.25">
      <c r="B16" s="31" t="s">
        <v>42</v>
      </c>
      <c r="C16">
        <v>298.14999999999998</v>
      </c>
      <c r="D16">
        <v>323.14999999999998</v>
      </c>
      <c r="E16">
        <v>373.15</v>
      </c>
      <c r="G16" s="31" t="s">
        <v>42</v>
      </c>
      <c r="H16">
        <v>298.14999999999998</v>
      </c>
      <c r="I16">
        <v>323.14999999999998</v>
      </c>
      <c r="J16">
        <v>373.15</v>
      </c>
      <c r="N16">
        <v>298.14999999999998</v>
      </c>
      <c r="O16">
        <v>323.14999999999998</v>
      </c>
      <c r="P16">
        <v>373.15</v>
      </c>
      <c r="R16" t="s">
        <v>54</v>
      </c>
      <c r="S16" s="31" t="s">
        <v>42</v>
      </c>
      <c r="T16">
        <v>298.14999999999998</v>
      </c>
      <c r="U16" s="41"/>
      <c r="V16">
        <v>323.14999999999998</v>
      </c>
      <c r="W16" s="41"/>
      <c r="X16">
        <v>373.15</v>
      </c>
      <c r="Y16" s="41"/>
    </row>
    <row r="17" spans="2:25" x14ac:dyDescent="0.25">
      <c r="B17">
        <v>1.6000000000000001E-3</v>
      </c>
      <c r="C17" s="37"/>
      <c r="D17" s="37">
        <v>0</v>
      </c>
      <c r="E17" s="37"/>
      <c r="G17">
        <v>1.6000000000000001E-3</v>
      </c>
      <c r="H17" s="39">
        <f>C17/100</f>
        <v>0</v>
      </c>
      <c r="I17" s="39">
        <f t="shared" ref="I17:J29" si="4">D17/100</f>
        <v>0</v>
      </c>
      <c r="J17" s="39">
        <f t="shared" si="4"/>
        <v>0</v>
      </c>
      <c r="M17" t="s">
        <v>46</v>
      </c>
      <c r="N17" s="34">
        <v>1.028</v>
      </c>
      <c r="O17" s="34">
        <v>0.99939999999999996</v>
      </c>
      <c r="P17" s="34">
        <v>0.94169999999999998</v>
      </c>
      <c r="R17" s="33">
        <f>S17*1000000/$B$1</f>
        <v>0.23206038081154903</v>
      </c>
      <c r="S17">
        <v>1.6000000000000001E-3</v>
      </c>
      <c r="T17" s="37">
        <f>(H17*$N$20)/(1-H17)</f>
        <v>0</v>
      </c>
      <c r="U17" s="42"/>
      <c r="V17" s="37">
        <f t="shared" ref="V17:V29" si="5">(I17*$N$20)/(1-I17)</f>
        <v>0</v>
      </c>
      <c r="W17" s="42"/>
      <c r="X17" s="37">
        <f t="shared" ref="X17:X29" si="6">(J17*$N$20)/(1-J17)</f>
        <v>0</v>
      </c>
      <c r="Y17" s="41"/>
    </row>
    <row r="18" spans="2:25" x14ac:dyDescent="0.25">
      <c r="B18">
        <v>4.8999999999999998E-3</v>
      </c>
      <c r="C18" s="37">
        <v>0</v>
      </c>
      <c r="D18" s="37"/>
      <c r="E18" s="37"/>
      <c r="G18">
        <v>4.8999999999999998E-3</v>
      </c>
      <c r="H18" s="39">
        <f t="shared" ref="H18:H29" si="7">C18/100</f>
        <v>0</v>
      </c>
      <c r="I18" s="39">
        <f t="shared" si="4"/>
        <v>0</v>
      </c>
      <c r="J18" s="39">
        <f t="shared" si="4"/>
        <v>0</v>
      </c>
      <c r="M18" t="s">
        <v>47</v>
      </c>
      <c r="N18" s="34">
        <v>50</v>
      </c>
      <c r="O18" s="34"/>
      <c r="P18" s="34"/>
      <c r="R18" s="33">
        <f t="shared" ref="R18:R29" si="8">S18*1000000/$B$1</f>
        <v>0.71068491623536889</v>
      </c>
      <c r="S18">
        <v>4.8999999999999998E-3</v>
      </c>
      <c r="T18" s="37">
        <f t="shared" ref="T18:T29" si="9">(H18*$N$20)/(1-H18)</f>
        <v>0</v>
      </c>
      <c r="U18" s="42"/>
      <c r="V18" s="37">
        <f t="shared" si="5"/>
        <v>0</v>
      </c>
      <c r="W18" s="42"/>
      <c r="X18" s="37">
        <f t="shared" si="6"/>
        <v>0</v>
      </c>
      <c r="Y18" s="41"/>
    </row>
    <row r="19" spans="2:25" x14ac:dyDescent="0.25">
      <c r="B19">
        <v>0.09</v>
      </c>
      <c r="C19" s="37"/>
      <c r="D19" s="37"/>
      <c r="E19" s="37">
        <v>0</v>
      </c>
      <c r="G19">
        <v>0.09</v>
      </c>
      <c r="H19" s="39">
        <f t="shared" si="7"/>
        <v>0</v>
      </c>
      <c r="I19" s="39">
        <f t="shared" si="4"/>
        <v>0</v>
      </c>
      <c r="J19" s="39">
        <f t="shared" si="4"/>
        <v>0</v>
      </c>
      <c r="M19" t="s">
        <v>48</v>
      </c>
      <c r="N19" s="34">
        <f>N17*$N$18</f>
        <v>51.4</v>
      </c>
      <c r="O19" s="34">
        <f>O17*$N$18</f>
        <v>49.97</v>
      </c>
      <c r="P19" s="34">
        <f>P17*$N$18</f>
        <v>47.085000000000001</v>
      </c>
      <c r="R19" s="33">
        <f t="shared" si="8"/>
        <v>13.053396420649634</v>
      </c>
      <c r="S19">
        <v>0.09</v>
      </c>
      <c r="T19" s="37">
        <f t="shared" si="9"/>
        <v>0</v>
      </c>
      <c r="U19" s="42"/>
      <c r="V19" s="37">
        <f t="shared" si="5"/>
        <v>0</v>
      </c>
      <c r="W19" s="42"/>
      <c r="X19" s="37">
        <f t="shared" si="6"/>
        <v>0</v>
      </c>
      <c r="Y19" s="41"/>
    </row>
    <row r="20" spans="2:25" x14ac:dyDescent="0.25">
      <c r="B20">
        <v>0.101325</v>
      </c>
      <c r="C20" s="37">
        <f>1.84/100</f>
        <v>1.84E-2</v>
      </c>
      <c r="D20" s="37">
        <f>2.29/100</f>
        <v>2.29E-2</v>
      </c>
      <c r="E20" s="37">
        <f>3.29/100</f>
        <v>3.2899999999999999E-2</v>
      </c>
      <c r="G20">
        <v>0.101325</v>
      </c>
      <c r="H20" s="39">
        <f t="shared" si="7"/>
        <v>1.84E-4</v>
      </c>
      <c r="I20" s="39">
        <f t="shared" si="4"/>
        <v>2.2900000000000001E-4</v>
      </c>
      <c r="J20" s="39">
        <f t="shared" si="4"/>
        <v>3.2899999999999997E-4</v>
      </c>
      <c r="M20" s="1" t="s">
        <v>49</v>
      </c>
      <c r="N20" s="38">
        <f>N19/$P$10*1000</f>
        <v>583.38157013631155</v>
      </c>
      <c r="O20" s="38">
        <f>O19/$P$10*1000</f>
        <v>567.15130466364758</v>
      </c>
      <c r="P20" s="38">
        <f>P19/$P$10*1000</f>
        <v>534.40702781844811</v>
      </c>
      <c r="R20" s="33">
        <f t="shared" si="8"/>
        <v>14.695948803581379</v>
      </c>
      <c r="S20">
        <v>0.101325</v>
      </c>
      <c r="T20" s="37">
        <f t="shared" si="9"/>
        <v>0.1073619635063665</v>
      </c>
      <c r="U20" s="42">
        <f>T20/$O$36</f>
        <v>2.1472392701273297</v>
      </c>
      <c r="V20" s="37">
        <f t="shared" si="5"/>
        <v>0.13362497968156242</v>
      </c>
      <c r="W20" s="42">
        <f>V20/$O$36</f>
        <v>2.6724995936312483</v>
      </c>
      <c r="X20" s="37">
        <f t="shared" si="6"/>
        <v>0.19199570316118653</v>
      </c>
      <c r="Y20" s="41">
        <f>X20/$O$36</f>
        <v>3.8399140632237305</v>
      </c>
    </row>
    <row r="21" spans="2:25" x14ac:dyDescent="0.25">
      <c r="B21">
        <v>1.895</v>
      </c>
      <c r="C21" s="37">
        <v>0.34499999999999997</v>
      </c>
      <c r="D21" s="37"/>
      <c r="E21" s="37"/>
      <c r="G21">
        <v>1.895</v>
      </c>
      <c r="H21" s="39">
        <f t="shared" si="7"/>
        <v>3.4499999999999999E-3</v>
      </c>
      <c r="I21" s="39">
        <f t="shared" si="4"/>
        <v>0</v>
      </c>
      <c r="J21" s="39">
        <f t="shared" si="4"/>
        <v>0</v>
      </c>
      <c r="R21" s="33">
        <f t="shared" si="8"/>
        <v>274.84651352367837</v>
      </c>
      <c r="S21">
        <v>1.895</v>
      </c>
      <c r="T21" s="37">
        <f t="shared" si="9"/>
        <v>2.0196341548043502</v>
      </c>
      <c r="U21" s="42">
        <f t="shared" ref="U21:U29" si="10">T21/$O$36</f>
        <v>40.392683096086998</v>
      </c>
      <c r="V21" s="37">
        <f t="shared" si="5"/>
        <v>0</v>
      </c>
      <c r="W21" s="42">
        <f t="shared" ref="W21:W29" si="11">V21/$O$36</f>
        <v>0</v>
      </c>
      <c r="X21" s="37">
        <f t="shared" si="6"/>
        <v>0</v>
      </c>
      <c r="Y21" s="41">
        <f t="shared" ref="Y21:Y29" si="12">X21/$O$36</f>
        <v>0</v>
      </c>
    </row>
    <row r="22" spans="2:25" x14ac:dyDescent="0.25">
      <c r="B22">
        <v>2.78</v>
      </c>
      <c r="C22" s="37"/>
      <c r="D22" s="37"/>
      <c r="E22" s="37">
        <v>0.89600000000000002</v>
      </c>
      <c r="G22">
        <v>2.78</v>
      </c>
      <c r="H22" s="39">
        <f t="shared" si="7"/>
        <v>0</v>
      </c>
      <c r="I22" s="39">
        <f t="shared" si="4"/>
        <v>0</v>
      </c>
      <c r="J22" s="39">
        <f t="shared" si="4"/>
        <v>8.9600000000000009E-3</v>
      </c>
      <c r="R22" s="33">
        <f t="shared" si="8"/>
        <v>403.20491166006644</v>
      </c>
      <c r="S22">
        <v>2.78</v>
      </c>
      <c r="T22" s="37">
        <f t="shared" si="9"/>
        <v>0</v>
      </c>
      <c r="U22" s="42">
        <f t="shared" si="10"/>
        <v>0</v>
      </c>
      <c r="V22" s="37">
        <f t="shared" si="5"/>
        <v>0</v>
      </c>
      <c r="W22" s="42">
        <f t="shared" si="11"/>
        <v>0</v>
      </c>
      <c r="X22" s="37">
        <f t="shared" si="6"/>
        <v>5.274357108110018</v>
      </c>
      <c r="Y22" s="41">
        <f t="shared" si="12"/>
        <v>105.48714216220036</v>
      </c>
    </row>
    <row r="23" spans="2:25" x14ac:dyDescent="0.25">
      <c r="B23">
        <v>2.86</v>
      </c>
      <c r="C23" s="37"/>
      <c r="D23" s="37">
        <v>0.64800000000000002</v>
      </c>
      <c r="E23" s="37"/>
      <c r="G23">
        <v>2.86</v>
      </c>
      <c r="H23" s="39">
        <f t="shared" si="7"/>
        <v>0</v>
      </c>
      <c r="I23" s="39">
        <f t="shared" si="4"/>
        <v>6.4800000000000005E-3</v>
      </c>
      <c r="J23" s="39">
        <f t="shared" si="4"/>
        <v>0</v>
      </c>
      <c r="R23" s="33">
        <f t="shared" si="8"/>
        <v>414.80793070064391</v>
      </c>
      <c r="S23">
        <v>2.86</v>
      </c>
      <c r="T23" s="37">
        <f t="shared" si="9"/>
        <v>0</v>
      </c>
      <c r="U23" s="42">
        <f t="shared" si="10"/>
        <v>0</v>
      </c>
      <c r="V23" s="37">
        <f t="shared" si="5"/>
        <v>3.8049687721266801</v>
      </c>
      <c r="W23" s="42">
        <f t="shared" si="11"/>
        <v>76.099375442533599</v>
      </c>
      <c r="X23" s="37">
        <f t="shared" si="6"/>
        <v>0</v>
      </c>
      <c r="Y23" s="41">
        <f t="shared" si="12"/>
        <v>0</v>
      </c>
    </row>
    <row r="24" spans="2:25" x14ac:dyDescent="0.25">
      <c r="B24">
        <v>5.71</v>
      </c>
      <c r="C24" s="37"/>
      <c r="D24" s="37">
        <v>1.2969999999999999</v>
      </c>
      <c r="E24" s="37"/>
      <c r="G24">
        <v>5.71</v>
      </c>
      <c r="H24" s="39">
        <f t="shared" si="7"/>
        <v>0</v>
      </c>
      <c r="I24" s="39">
        <f t="shared" si="4"/>
        <v>1.2969999999999999E-2</v>
      </c>
      <c r="J24" s="39">
        <f t="shared" si="4"/>
        <v>0</v>
      </c>
      <c r="R24" s="33">
        <f t="shared" si="8"/>
        <v>828.16548402121566</v>
      </c>
      <c r="S24">
        <v>5.71</v>
      </c>
      <c r="T24" s="37">
        <f t="shared" si="9"/>
        <v>0</v>
      </c>
      <c r="U24" s="42">
        <f t="shared" si="10"/>
        <v>0</v>
      </c>
      <c r="V24" s="37">
        <f t="shared" si="5"/>
        <v>7.6658854995977439</v>
      </c>
      <c r="W24" s="42">
        <f t="shared" si="11"/>
        <v>153.31770999195487</v>
      </c>
      <c r="X24" s="37">
        <f t="shared" si="6"/>
        <v>0</v>
      </c>
      <c r="Y24" s="41">
        <f t="shared" si="12"/>
        <v>0</v>
      </c>
    </row>
    <row r="25" spans="2:25" x14ac:dyDescent="0.25">
      <c r="B25">
        <v>6.38</v>
      </c>
      <c r="C25" s="37"/>
      <c r="D25" s="37"/>
      <c r="E25" s="37">
        <v>2.0489999999999999</v>
      </c>
      <c r="G25">
        <v>6.38</v>
      </c>
      <c r="H25" s="39">
        <f t="shared" si="7"/>
        <v>0</v>
      </c>
      <c r="I25" s="39">
        <f t="shared" si="4"/>
        <v>0</v>
      </c>
      <c r="J25" s="39">
        <f t="shared" si="4"/>
        <v>2.0489999999999998E-2</v>
      </c>
      <c r="R25" s="33">
        <f t="shared" si="8"/>
        <v>925.34076848605184</v>
      </c>
      <c r="S25">
        <v>6.38</v>
      </c>
      <c r="T25" s="37">
        <f t="shared" si="9"/>
        <v>0</v>
      </c>
      <c r="U25" s="42">
        <f t="shared" si="10"/>
        <v>0</v>
      </c>
      <c r="V25" s="37">
        <f t="shared" si="5"/>
        <v>0</v>
      </c>
      <c r="W25" s="42">
        <f t="shared" si="11"/>
        <v>0</v>
      </c>
      <c r="X25" s="37">
        <f t="shared" si="6"/>
        <v>12.203538883822548</v>
      </c>
      <c r="Y25" s="41">
        <f t="shared" si="12"/>
        <v>244.07077767645094</v>
      </c>
    </row>
    <row r="26" spans="2:25" x14ac:dyDescent="0.25">
      <c r="B26">
        <v>6.585</v>
      </c>
      <c r="C26" s="37">
        <v>1.2050000000000001</v>
      </c>
      <c r="D26" s="37"/>
      <c r="E26" s="37"/>
      <c r="G26">
        <v>6.585</v>
      </c>
      <c r="H26" s="39">
        <f t="shared" si="7"/>
        <v>1.205E-2</v>
      </c>
      <c r="I26" s="39">
        <f t="shared" si="4"/>
        <v>0</v>
      </c>
      <c r="J26" s="39">
        <f t="shared" si="4"/>
        <v>0</v>
      </c>
      <c r="R26" s="33">
        <f t="shared" si="8"/>
        <v>955.07350477753153</v>
      </c>
      <c r="S26">
        <v>6.585</v>
      </c>
      <c r="T26" s="37">
        <f t="shared" si="9"/>
        <v>7.1154895694544811</v>
      </c>
      <c r="U26" s="42">
        <f t="shared" si="10"/>
        <v>142.30979138908961</v>
      </c>
      <c r="V26" s="37">
        <f t="shared" si="5"/>
        <v>0</v>
      </c>
      <c r="W26" s="42">
        <f t="shared" si="11"/>
        <v>0</v>
      </c>
      <c r="X26" s="37">
        <f t="shared" si="6"/>
        <v>0</v>
      </c>
      <c r="Y26" s="41">
        <f t="shared" si="12"/>
        <v>0</v>
      </c>
    </row>
    <row r="27" spans="2:25" x14ac:dyDescent="0.25">
      <c r="B27">
        <v>9.1199999999999992</v>
      </c>
      <c r="C27" s="37"/>
      <c r="D27" s="37"/>
      <c r="E27" s="37">
        <v>2.9140000000000001</v>
      </c>
      <c r="G27">
        <v>9.1199999999999992</v>
      </c>
      <c r="H27" s="39">
        <f t="shared" si="7"/>
        <v>0</v>
      </c>
      <c r="I27" s="39">
        <f t="shared" si="4"/>
        <v>0</v>
      </c>
      <c r="J27" s="39">
        <f t="shared" si="4"/>
        <v>2.9140000000000003E-2</v>
      </c>
      <c r="R27" s="33">
        <f t="shared" si="8"/>
        <v>1322.7441706258296</v>
      </c>
      <c r="S27">
        <v>9.1199999999999992</v>
      </c>
      <c r="T27" s="37">
        <f t="shared" si="9"/>
        <v>0</v>
      </c>
      <c r="U27" s="42">
        <f t="shared" si="10"/>
        <v>0</v>
      </c>
      <c r="V27" s="37">
        <f t="shared" si="5"/>
        <v>0</v>
      </c>
      <c r="W27" s="42">
        <f t="shared" si="11"/>
        <v>0</v>
      </c>
      <c r="X27" s="37">
        <f t="shared" si="6"/>
        <v>17.509979764097935</v>
      </c>
      <c r="Y27" s="41">
        <f t="shared" si="12"/>
        <v>350.19959528195869</v>
      </c>
    </row>
    <row r="28" spans="2:25" x14ac:dyDescent="0.25">
      <c r="B28">
        <v>9.4600000000000009</v>
      </c>
      <c r="C28" s="37">
        <v>1.7070000000000001</v>
      </c>
      <c r="D28" s="37"/>
      <c r="E28" s="37"/>
      <c r="G28">
        <v>9.4600000000000009</v>
      </c>
      <c r="H28" s="39">
        <f t="shared" si="7"/>
        <v>1.7070000000000002E-2</v>
      </c>
      <c r="I28" s="39">
        <f t="shared" si="4"/>
        <v>0</v>
      </c>
      <c r="J28" s="39">
        <f t="shared" si="4"/>
        <v>0</v>
      </c>
      <c r="R28" s="33">
        <f t="shared" si="8"/>
        <v>1372.0570015482838</v>
      </c>
      <c r="S28">
        <v>9.4600000000000009</v>
      </c>
      <c r="T28" s="37">
        <f t="shared" si="9"/>
        <v>10.131264080073697</v>
      </c>
      <c r="U28" s="42">
        <f t="shared" si="10"/>
        <v>202.62528160147392</v>
      </c>
      <c r="V28" s="37">
        <f t="shared" si="5"/>
        <v>0</v>
      </c>
      <c r="W28" s="42">
        <f t="shared" si="11"/>
        <v>0</v>
      </c>
      <c r="X28" s="37">
        <f t="shared" si="6"/>
        <v>0</v>
      </c>
      <c r="Y28" s="41">
        <f t="shared" si="12"/>
        <v>0</v>
      </c>
    </row>
    <row r="29" spans="2:25" x14ac:dyDescent="0.25">
      <c r="B29">
        <v>9.94</v>
      </c>
      <c r="C29" s="37"/>
      <c r="D29" s="37">
        <v>2.2480000000000002</v>
      </c>
      <c r="E29" s="37"/>
      <c r="G29">
        <v>9.94</v>
      </c>
      <c r="H29" s="39">
        <f t="shared" si="7"/>
        <v>0</v>
      </c>
      <c r="I29" s="39">
        <f t="shared" si="4"/>
        <v>2.2480000000000003E-2</v>
      </c>
      <c r="J29" s="39">
        <f t="shared" si="4"/>
        <v>0</v>
      </c>
      <c r="R29" s="33">
        <f t="shared" si="8"/>
        <v>1441.6751157917483</v>
      </c>
      <c r="S29">
        <v>9.94</v>
      </c>
      <c r="T29" s="37">
        <f t="shared" si="9"/>
        <v>0</v>
      </c>
      <c r="U29" s="42">
        <f t="shared" si="10"/>
        <v>0</v>
      </c>
      <c r="V29" s="37">
        <f t="shared" si="5"/>
        <v>13.41600959229917</v>
      </c>
      <c r="W29" s="42">
        <f t="shared" si="11"/>
        <v>268.3201918459834</v>
      </c>
      <c r="X29" s="37">
        <f t="shared" si="6"/>
        <v>0</v>
      </c>
      <c r="Y29" s="41">
        <f t="shared" si="12"/>
        <v>0</v>
      </c>
    </row>
    <row r="32" spans="2:25" x14ac:dyDescent="0.25">
      <c r="M32" s="22" t="s">
        <v>34</v>
      </c>
    </row>
    <row r="33" spans="13:18" x14ac:dyDescent="0.25">
      <c r="M33" s="21" t="s">
        <v>30</v>
      </c>
      <c r="N33" s="21"/>
      <c r="O33" s="21"/>
      <c r="P33" s="21"/>
    </row>
    <row r="34" spans="13:18" x14ac:dyDescent="0.25">
      <c r="M34" s="21"/>
      <c r="N34" s="21"/>
      <c r="O34" s="21"/>
      <c r="P34" s="21"/>
    </row>
    <row r="35" spans="13:18" x14ac:dyDescent="0.25">
      <c r="M35" s="21" t="s">
        <v>32</v>
      </c>
      <c r="N35" s="21"/>
      <c r="O35" s="21">
        <v>1</v>
      </c>
      <c r="P35" s="21" t="s">
        <v>31</v>
      </c>
    </row>
    <row r="36" spans="13:18" x14ac:dyDescent="0.25">
      <c r="M36" s="21" t="s">
        <v>33</v>
      </c>
      <c r="N36" s="21"/>
      <c r="O36" s="21">
        <f>N18*0.001</f>
        <v>0.05</v>
      </c>
      <c r="P36" s="21" t="s">
        <v>31</v>
      </c>
    </row>
    <row r="37" spans="13:18" x14ac:dyDescent="0.25">
      <c r="M37" s="21" t="s">
        <v>35</v>
      </c>
      <c r="N37" s="21"/>
      <c r="O37" s="21">
        <f>X20/O36</f>
        <v>3.8399140632237305</v>
      </c>
      <c r="P37" s="21" t="s">
        <v>65</v>
      </c>
      <c r="Q37" s="55">
        <f>R20</f>
        <v>14.695948803581379</v>
      </c>
      <c r="R37" s="56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H2 in Water Kirov</vt:lpstr>
      <vt:lpstr>H2 in Water Minnich</vt:lpstr>
      <vt:lpstr>H2 in 1,4-dioxane</vt:lpstr>
    </vt:vector>
  </TitlesOfParts>
  <Company>University of Guelph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Schlaf</dc:creator>
  <cp:lastModifiedBy>Marcel Schlaf</cp:lastModifiedBy>
  <dcterms:created xsi:type="dcterms:W3CDTF">2016-04-18T15:23:05Z</dcterms:created>
  <dcterms:modified xsi:type="dcterms:W3CDTF">2017-05-02T13:03:34Z</dcterms:modified>
</cp:coreProperties>
</file>