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emf" ContentType="image/x-emf"/>
  <Override PartName="/xl/embeddings/oleObject3.bin" ContentType="application/vnd.openxmlformats-officedocument.oleObject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xl/charts/chart1.xml" ContentType="application/vnd.openxmlformats-officedocument.drawingml.chart+xml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156" windowWidth="14292" windowHeight="8952"/>
  </bookViews>
  <sheets>
    <sheet name="Title_page" sheetId="3" r:id="rId1"/>
    <sheet name="pKa" sheetId="1" r:id="rId2"/>
    <sheet name="Rate_constant_ratios" sheetId="2" r:id="rId3"/>
  </sheets>
  <calcPr calcId="125725"/>
</workbook>
</file>

<file path=xl/calcChain.xml><?xml version="1.0" encoding="utf-8"?>
<calcChain xmlns="http://schemas.openxmlformats.org/spreadsheetml/2006/main">
  <c r="H16" i="2"/>
  <c r="J16" l="1"/>
  <c r="J19" s="1"/>
  <c r="I19"/>
  <c r="I16"/>
  <c r="K16" s="1"/>
  <c r="H19" s="1"/>
  <c r="E39" i="1" l="1"/>
  <c r="E38"/>
  <c r="D6"/>
  <c r="B15" i="2" l="1"/>
  <c r="D14" i="1"/>
  <c r="D13"/>
  <c r="D12"/>
  <c r="D11"/>
  <c r="D10"/>
  <c r="D9"/>
  <c r="D8"/>
  <c r="D7"/>
  <c r="C14" i="2"/>
  <c r="C16" s="1"/>
  <c r="B14"/>
  <c r="D15" l="1"/>
  <c r="B16"/>
  <c r="I22"/>
  <c r="I21"/>
  <c r="I23"/>
  <c r="E15"/>
  <c r="D14"/>
  <c r="E14"/>
  <c r="E40" i="1"/>
  <c r="D16" i="2" l="1"/>
  <c r="D19" s="1"/>
  <c r="C19"/>
  <c r="E16"/>
  <c r="B19" s="1"/>
  <c r="B23" s="1"/>
  <c r="H22"/>
  <c r="H23"/>
  <c r="H21"/>
  <c r="I25"/>
  <c r="C22"/>
  <c r="D23"/>
  <c r="J22"/>
  <c r="J23"/>
  <c r="J21"/>
  <c r="B22"/>
  <c r="B21"/>
  <c r="H25" l="1"/>
  <c r="D21"/>
  <c r="C23"/>
  <c r="C21"/>
  <c r="D22"/>
  <c r="J25"/>
  <c r="J26" s="1"/>
  <c r="J27" s="1"/>
  <c r="I26"/>
  <c r="I27" s="1"/>
  <c r="C25" l="1"/>
  <c r="C26" s="1"/>
  <c r="C27" s="1"/>
  <c r="D25"/>
  <c r="D26" s="1"/>
  <c r="D27" s="1"/>
  <c r="B25"/>
  <c r="B26" s="1"/>
  <c r="B27" s="1"/>
  <c r="H26"/>
  <c r="H27" s="1"/>
</calcChain>
</file>

<file path=xl/sharedStrings.xml><?xml version="1.0" encoding="utf-8"?>
<sst xmlns="http://schemas.openxmlformats.org/spreadsheetml/2006/main" count="92" uniqueCount="67">
  <si>
    <t>M% MeOH</t>
  </si>
  <si>
    <t>Extrapolated values:</t>
  </si>
  <si>
    <t>?</t>
  </si>
  <si>
    <t>Correlation:</t>
  </si>
  <si>
    <r>
      <t>p</t>
    </r>
    <r>
      <rPr>
        <i/>
        <sz val="11"/>
        <color indexed="8"/>
        <rFont val="Calibri"/>
        <family val="2"/>
        <charset val="186"/>
      </rPr>
      <t>K</t>
    </r>
    <r>
      <rPr>
        <vertAlign val="subscript"/>
        <sz val="11"/>
        <color indexed="8"/>
        <rFont val="Calibri"/>
        <family val="2"/>
        <charset val="186"/>
      </rPr>
      <t>a</t>
    </r>
    <r>
      <rPr>
        <sz val="11"/>
        <color theme="1"/>
        <rFont val="Calibri"/>
        <family val="2"/>
        <charset val="186"/>
        <scheme val="minor"/>
      </rPr>
      <t>(H</t>
    </r>
    <r>
      <rPr>
        <vertAlign val="subscript"/>
        <sz val="11"/>
        <color indexed="8"/>
        <rFont val="Calibri"/>
        <family val="2"/>
        <charset val="186"/>
      </rPr>
      <t>2</t>
    </r>
    <r>
      <rPr>
        <sz val="11"/>
        <color theme="1"/>
        <rFont val="Calibri"/>
        <family val="2"/>
        <charset val="186"/>
        <scheme val="minor"/>
      </rPr>
      <t>O) vs. M%(MeOH), 45-100%</t>
    </r>
  </si>
  <si>
    <r>
      <t>On the basis of different extrapolations the most probable p</t>
    </r>
    <r>
      <rPr>
        <i/>
        <sz val="11"/>
        <color theme="1"/>
        <rFont val="Calibri"/>
        <family val="2"/>
        <charset val="186"/>
        <scheme val="minor"/>
      </rPr>
      <t>K</t>
    </r>
    <r>
      <rPr>
        <vertAlign val="subscript"/>
        <sz val="11"/>
        <color theme="1"/>
        <rFont val="Calibri"/>
        <family val="2"/>
        <charset val="186"/>
        <scheme val="minor"/>
      </rPr>
      <t>a</t>
    </r>
    <r>
      <rPr>
        <sz val="11"/>
        <color theme="1"/>
        <rFont val="Calibri"/>
        <family val="2"/>
        <charset val="186"/>
        <scheme val="minor"/>
      </rPr>
      <t xml:space="preserve"> value of water in methanol:</t>
    </r>
  </si>
  <si>
    <r>
      <t>Estimating p</t>
    </r>
    <r>
      <rPr>
        <b/>
        <i/>
        <sz val="11"/>
        <color theme="1"/>
        <rFont val="Calibri"/>
        <family val="2"/>
        <charset val="186"/>
        <scheme val="minor"/>
      </rPr>
      <t>K</t>
    </r>
    <r>
      <rPr>
        <b/>
        <vertAlign val="subscript"/>
        <sz val="11"/>
        <color theme="1"/>
        <rFont val="Calibri"/>
        <family val="2"/>
        <charset val="186"/>
        <scheme val="minor"/>
      </rPr>
      <t>a</t>
    </r>
    <r>
      <rPr>
        <b/>
        <sz val="11"/>
        <color theme="1"/>
        <rFont val="Calibri"/>
        <family val="2"/>
        <charset val="186"/>
        <scheme val="minor"/>
      </rPr>
      <t xml:space="preserve"> of water in methanol</t>
    </r>
  </si>
  <si>
    <t>MeOH</t>
  </si>
  <si>
    <t>HONa</t>
  </si>
  <si>
    <t>MeONa</t>
  </si>
  <si>
    <t>x</t>
  </si>
  <si>
    <r>
      <t>p</t>
    </r>
    <r>
      <rPr>
        <i/>
        <sz val="11"/>
        <color theme="1"/>
        <rFont val="Calibri"/>
        <family val="2"/>
        <charset val="186"/>
        <scheme val="minor"/>
      </rPr>
      <t>K</t>
    </r>
    <r>
      <rPr>
        <vertAlign val="subscript"/>
        <sz val="11"/>
        <color theme="1"/>
        <rFont val="Calibri"/>
        <family val="2"/>
        <charset val="186"/>
        <scheme val="minor"/>
      </rPr>
      <t>a</t>
    </r>
    <r>
      <rPr>
        <sz val="11"/>
        <color theme="1"/>
        <rFont val="Calibri"/>
        <family val="2"/>
        <charset val="186"/>
        <scheme val="minor"/>
      </rPr>
      <t>(H</t>
    </r>
    <r>
      <rPr>
        <vertAlign val="subscript"/>
        <sz val="11"/>
        <color theme="1"/>
        <rFont val="Calibri"/>
        <family val="2"/>
        <charset val="186"/>
        <scheme val="minor"/>
      </rPr>
      <t>2</t>
    </r>
    <r>
      <rPr>
        <sz val="11"/>
        <color theme="1"/>
        <rFont val="Calibri"/>
        <family val="2"/>
        <charset val="186"/>
        <scheme val="minor"/>
      </rPr>
      <t>O)=</t>
    </r>
  </si>
  <si>
    <t>Value</t>
  </si>
  <si>
    <t>a</t>
  </si>
  <si>
    <t>b</t>
  </si>
  <si>
    <t>c</t>
  </si>
  <si>
    <r>
      <rPr>
        <b/>
        <i/>
        <sz val="11"/>
        <color theme="1"/>
        <rFont val="Calibri"/>
        <family val="2"/>
        <charset val="186"/>
        <scheme val="minor"/>
      </rPr>
      <t>K</t>
    </r>
    <r>
      <rPr>
        <b/>
        <vertAlign val="subscript"/>
        <sz val="11"/>
        <color theme="1"/>
        <rFont val="Calibri"/>
        <family val="2"/>
        <charset val="186"/>
        <scheme val="minor"/>
      </rPr>
      <t>eq</t>
    </r>
    <r>
      <rPr>
        <b/>
        <sz val="11"/>
        <color theme="1"/>
        <rFont val="Calibri"/>
        <family val="2"/>
        <charset val="186"/>
        <scheme val="minor"/>
      </rPr>
      <t xml:space="preserve"> =</t>
    </r>
  </si>
  <si>
    <r>
      <rPr>
        <b/>
        <i/>
        <sz val="11"/>
        <color theme="1"/>
        <rFont val="Calibri"/>
        <family val="2"/>
        <charset val="186"/>
        <scheme val="minor"/>
      </rPr>
      <t>x</t>
    </r>
    <r>
      <rPr>
        <b/>
        <sz val="11"/>
        <color theme="1"/>
        <rFont val="Calibri"/>
        <family val="2"/>
        <charset val="186"/>
        <scheme val="minor"/>
      </rPr>
      <t xml:space="preserve"> =</t>
    </r>
  </si>
  <si>
    <r>
      <rPr>
        <b/>
        <sz val="11"/>
        <color theme="1"/>
        <rFont val="Symbol"/>
        <family val="1"/>
        <charset val="2"/>
      </rPr>
      <t xml:space="preserve">a </t>
    </r>
    <r>
      <rPr>
        <b/>
        <sz val="11"/>
        <color theme="1"/>
        <rFont val="Calibri"/>
        <family val="2"/>
        <charset val="186"/>
        <scheme val="minor"/>
      </rPr>
      <t>=</t>
    </r>
  </si>
  <si>
    <r>
      <t>r</t>
    </r>
    <r>
      <rPr>
        <b/>
        <vertAlign val="subscript"/>
        <sz val="11"/>
        <color theme="1"/>
        <rFont val="Calibri"/>
        <family val="2"/>
        <charset val="186"/>
        <scheme val="minor"/>
      </rPr>
      <t>a</t>
    </r>
    <r>
      <rPr>
        <b/>
        <sz val="11"/>
        <color theme="1"/>
        <rFont val="Calibri"/>
        <family val="2"/>
        <charset val="186"/>
        <scheme val="minor"/>
      </rPr>
      <t>/r</t>
    </r>
    <r>
      <rPr>
        <b/>
        <vertAlign val="subscript"/>
        <sz val="11"/>
        <color theme="1"/>
        <rFont val="Calibri"/>
        <family val="2"/>
        <charset val="186"/>
        <scheme val="minor"/>
      </rPr>
      <t xml:space="preserve">c </t>
    </r>
    <r>
      <rPr>
        <b/>
        <sz val="11"/>
        <color theme="1"/>
        <rFont val="Calibri"/>
        <family val="2"/>
        <charset val="186"/>
        <scheme val="minor"/>
      </rPr>
      <t>=</t>
    </r>
  </si>
  <si>
    <t>NaOH</t>
  </si>
  <si>
    <t>Pure methanol</t>
  </si>
  <si>
    <t>D</t>
  </si>
  <si>
    <r>
      <t>p</t>
    </r>
    <r>
      <rPr>
        <i/>
        <sz val="11"/>
        <color indexed="8"/>
        <rFont val="Calibri"/>
        <family val="2"/>
        <charset val="186"/>
      </rPr>
      <t>K</t>
    </r>
    <r>
      <rPr>
        <vertAlign val="subscript"/>
        <sz val="11"/>
        <color indexed="8"/>
        <rFont val="Calibri"/>
        <family val="2"/>
        <charset val="186"/>
      </rPr>
      <t>a</t>
    </r>
    <r>
      <rPr>
        <sz val="11"/>
        <color theme="1"/>
        <rFont val="Calibri"/>
        <family val="2"/>
        <charset val="186"/>
        <scheme val="minor"/>
      </rPr>
      <t>(H</t>
    </r>
    <r>
      <rPr>
        <vertAlign val="subscript"/>
        <sz val="11"/>
        <color indexed="8"/>
        <rFont val="Calibri"/>
        <family val="2"/>
        <charset val="186"/>
      </rPr>
      <t>2</t>
    </r>
    <r>
      <rPr>
        <sz val="11"/>
        <color theme="1"/>
        <rFont val="Calibri"/>
        <family val="2"/>
        <charset val="186"/>
        <scheme val="minor"/>
      </rPr>
      <t>O) vs. p</t>
    </r>
    <r>
      <rPr>
        <i/>
        <sz val="11"/>
        <color indexed="8"/>
        <rFont val="Calibri"/>
        <family val="2"/>
        <charset val="186"/>
      </rPr>
      <t>K</t>
    </r>
    <r>
      <rPr>
        <vertAlign val="subscript"/>
        <sz val="11"/>
        <color indexed="8"/>
        <rFont val="Calibri"/>
        <family val="2"/>
        <charset val="186"/>
      </rPr>
      <t>a</t>
    </r>
    <r>
      <rPr>
        <sz val="11"/>
        <color theme="1"/>
        <rFont val="Calibri"/>
        <family val="2"/>
        <charset val="186"/>
        <scheme val="minor"/>
      </rPr>
      <t>(MeOH), 18-84%</t>
    </r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</si>
  <si>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charset val="186"/>
        <scheme val="minor"/>
      </rPr>
      <t xml:space="preserve"> vs. M%(MeOH), 36-84%</t>
    </r>
  </si>
  <si>
    <t>Calculation of the extreme estimates of rate constant ratios</t>
  </si>
  <si>
    <t>Unc.</t>
  </si>
  <si>
    <r>
      <t>H</t>
    </r>
    <r>
      <rPr>
        <vertAlign val="subscript"/>
        <sz val="12"/>
        <color theme="1"/>
        <rFont val="Calibri"/>
        <family val="2"/>
        <charset val="186"/>
        <scheme val="minor"/>
      </rPr>
      <t>2</t>
    </r>
    <r>
      <rPr>
        <sz val="12"/>
        <color theme="1"/>
        <rFont val="Calibri"/>
        <family val="2"/>
        <charset val="186"/>
        <scheme val="minor"/>
      </rPr>
      <t>O</t>
    </r>
  </si>
  <si>
    <r>
      <t>t</t>
    </r>
    <r>
      <rPr>
        <vertAlign val="subscript"/>
        <sz val="12"/>
        <color theme="1"/>
        <rFont val="Calibri"/>
        <family val="2"/>
        <charset val="186"/>
        <scheme val="minor"/>
      </rPr>
      <t>0</t>
    </r>
  </si>
  <si>
    <r>
      <t>t</t>
    </r>
    <r>
      <rPr>
        <vertAlign val="subscript"/>
        <sz val="11"/>
        <color theme="1"/>
        <rFont val="Calibri"/>
        <family val="2"/>
        <charset val="186"/>
        <scheme val="minor"/>
      </rPr>
      <t>0</t>
    </r>
  </si>
  <si>
    <r>
      <t>t</t>
    </r>
    <r>
      <rPr>
        <vertAlign val="subscript"/>
        <sz val="12"/>
        <color theme="1"/>
        <rFont val="Calibri"/>
        <family val="2"/>
        <charset val="186"/>
        <scheme val="minor"/>
      </rPr>
      <t>equil</t>
    </r>
  </si>
  <si>
    <r>
      <t xml:space="preserve">941.609 - </t>
    </r>
    <r>
      <rPr>
        <i/>
        <sz val="12"/>
        <color theme="1"/>
        <rFont val="Calibri"/>
        <family val="2"/>
        <charset val="186"/>
        <scheme val="minor"/>
      </rPr>
      <t>x</t>
    </r>
  </si>
  <si>
    <r>
      <t xml:space="preserve">1.000 - </t>
    </r>
    <r>
      <rPr>
        <i/>
        <sz val="12"/>
        <color theme="1"/>
        <rFont val="Calibri"/>
        <family val="2"/>
        <charset val="186"/>
        <scheme val="minor"/>
      </rPr>
      <t>x</t>
    </r>
  </si>
  <si>
    <r>
      <t>t</t>
    </r>
    <r>
      <rPr>
        <vertAlign val="subscript"/>
        <sz val="11"/>
        <color theme="1"/>
        <rFont val="Calibri"/>
        <family val="2"/>
        <charset val="186"/>
        <scheme val="minor"/>
      </rPr>
      <t>equil</t>
    </r>
  </si>
  <si>
    <r>
      <t xml:space="preserve">847.555 - </t>
    </r>
    <r>
      <rPr>
        <i/>
        <sz val="12"/>
        <color theme="1"/>
        <rFont val="Calibri"/>
        <family val="2"/>
        <charset val="186"/>
        <scheme val="minor"/>
      </rPr>
      <t>x</t>
    </r>
  </si>
  <si>
    <r>
      <t xml:space="preserve">211.448 + </t>
    </r>
    <r>
      <rPr>
        <i/>
        <sz val="12"/>
        <color theme="1"/>
        <rFont val="Calibri"/>
        <family val="2"/>
        <charset val="186"/>
        <scheme val="minor"/>
      </rPr>
      <t>x</t>
    </r>
  </si>
  <si>
    <t>Data taken from:</t>
  </si>
  <si>
    <t>Tables of rate and equilibrium constants of heterolytic organic reactions, volume I(I); V. Palm, Ed.; Moscow, 1975.</t>
  </si>
  <si>
    <t>Original works cited in the compilation:</t>
  </si>
  <si>
    <r>
      <t xml:space="preserve">Alfenaar, M.; de Ligny, C. L. </t>
    </r>
    <r>
      <rPr>
        <i/>
        <sz val="11"/>
        <color indexed="8"/>
        <rFont val="Calibri"/>
        <family val="2"/>
        <charset val="186"/>
      </rPr>
      <t>Recueil trav. chim</t>
    </r>
    <r>
      <rPr>
        <sz val="11"/>
        <color theme="1"/>
        <rFont val="Calibri"/>
        <family val="2"/>
        <charset val="186"/>
        <scheme val="minor"/>
      </rPr>
      <t xml:space="preserve">. </t>
    </r>
    <r>
      <rPr>
        <b/>
        <sz val="11"/>
        <color indexed="8"/>
        <rFont val="Calibri"/>
        <family val="2"/>
        <charset val="186"/>
      </rPr>
      <t>1967,</t>
    </r>
    <r>
      <rPr>
        <sz val="11"/>
        <color theme="1"/>
        <rFont val="Calibri"/>
        <family val="2"/>
        <charset val="186"/>
        <scheme val="minor"/>
      </rPr>
      <t xml:space="preserve"> </t>
    </r>
    <r>
      <rPr>
        <i/>
        <sz val="11"/>
        <color indexed="8"/>
        <rFont val="Calibri"/>
        <family val="2"/>
        <charset val="186"/>
      </rPr>
      <t>86,</t>
    </r>
    <r>
      <rPr>
        <sz val="11"/>
        <color theme="1"/>
        <rFont val="Calibri"/>
        <family val="2"/>
        <charset val="186"/>
        <scheme val="minor"/>
      </rPr>
      <t xml:space="preserve"> 929.</t>
    </r>
  </si>
  <si>
    <r>
      <t xml:space="preserve">Rochester C. H. </t>
    </r>
    <r>
      <rPr>
        <i/>
        <sz val="11"/>
        <color indexed="8"/>
        <rFont val="Calibri"/>
        <family val="2"/>
        <charset val="186"/>
      </rPr>
      <t>J. Chem. Soc. Dalton II</t>
    </r>
    <r>
      <rPr>
        <sz val="11"/>
        <color theme="1"/>
        <rFont val="Calibri"/>
        <family val="2"/>
        <charset val="186"/>
        <scheme val="minor"/>
      </rPr>
      <t xml:space="preserve">, </t>
    </r>
    <r>
      <rPr>
        <b/>
        <sz val="11"/>
        <color indexed="8"/>
        <rFont val="Calibri"/>
        <family val="2"/>
        <charset val="186"/>
      </rPr>
      <t>1972,</t>
    </r>
    <r>
      <rPr>
        <sz val="11"/>
        <color theme="1"/>
        <rFont val="Calibri"/>
        <family val="2"/>
        <charset val="186"/>
        <scheme val="minor"/>
      </rPr>
      <t xml:space="preserve"> 5.</t>
    </r>
  </si>
  <si>
    <r>
      <t xml:space="preserve">Harned, H. S.; Hamer, W. J. </t>
    </r>
    <r>
      <rPr>
        <i/>
        <sz val="11"/>
        <color indexed="8"/>
        <rFont val="Calibri"/>
        <family val="2"/>
        <charset val="186"/>
      </rPr>
      <t>J. Amer. Chem. Soc</t>
    </r>
    <r>
      <rPr>
        <sz val="11"/>
        <color theme="1"/>
        <rFont val="Calibri"/>
        <family val="2"/>
        <charset val="186"/>
        <scheme val="minor"/>
      </rPr>
      <t xml:space="preserve">. </t>
    </r>
    <r>
      <rPr>
        <b/>
        <sz val="11"/>
        <color indexed="8"/>
        <rFont val="Calibri"/>
        <family val="2"/>
        <charset val="186"/>
      </rPr>
      <t>1933,</t>
    </r>
    <r>
      <rPr>
        <sz val="11"/>
        <color theme="1"/>
        <rFont val="Calibri"/>
        <family val="2"/>
        <charset val="186"/>
        <scheme val="minor"/>
      </rPr>
      <t xml:space="preserve"> </t>
    </r>
    <r>
      <rPr>
        <i/>
        <sz val="11"/>
        <color indexed="8"/>
        <rFont val="Calibri"/>
        <family val="2"/>
        <charset val="186"/>
      </rPr>
      <t>55,</t>
    </r>
    <r>
      <rPr>
        <sz val="11"/>
        <color theme="1"/>
        <rFont val="Calibri"/>
        <family val="2"/>
        <charset val="186"/>
        <scheme val="minor"/>
      </rPr>
      <t xml:space="preserve"> 2194.</t>
    </r>
  </si>
  <si>
    <r>
      <t xml:space="preserve">Ballinger, P.; Long, F. A. </t>
    </r>
    <r>
      <rPr>
        <i/>
        <sz val="11"/>
        <color indexed="8"/>
        <rFont val="Calibri"/>
        <family val="2"/>
        <charset val="186"/>
      </rPr>
      <t>J. Amer. Chem. Soc</t>
    </r>
    <r>
      <rPr>
        <sz val="11"/>
        <color theme="1"/>
        <rFont val="Calibri"/>
        <family val="2"/>
        <charset val="186"/>
        <scheme val="minor"/>
      </rPr>
      <t xml:space="preserve">. </t>
    </r>
    <r>
      <rPr>
        <b/>
        <sz val="11"/>
        <color indexed="8"/>
        <rFont val="Calibri"/>
        <family val="2"/>
        <charset val="186"/>
      </rPr>
      <t>1960,</t>
    </r>
    <r>
      <rPr>
        <sz val="11"/>
        <color theme="1"/>
        <rFont val="Calibri"/>
        <family val="2"/>
        <charset val="186"/>
        <scheme val="minor"/>
      </rPr>
      <t xml:space="preserve"> </t>
    </r>
    <r>
      <rPr>
        <i/>
        <sz val="11"/>
        <color indexed="8"/>
        <rFont val="Calibri"/>
        <family val="2"/>
        <charset val="186"/>
      </rPr>
      <t>82,</t>
    </r>
    <r>
      <rPr>
        <sz val="11"/>
        <color theme="1"/>
        <rFont val="Calibri"/>
        <family val="2"/>
        <charset val="186"/>
        <scheme val="minor"/>
      </rPr>
      <t xml:space="preserve"> 795.</t>
    </r>
  </si>
  <si>
    <r>
      <t>Experimental p</t>
    </r>
    <r>
      <rPr>
        <b/>
        <i/>
        <sz val="11"/>
        <color indexed="8"/>
        <rFont val="Calibri"/>
        <family val="2"/>
        <charset val="186"/>
      </rPr>
      <t>K</t>
    </r>
    <r>
      <rPr>
        <b/>
        <vertAlign val="subscript"/>
        <sz val="11"/>
        <color indexed="8"/>
        <rFont val="Calibri"/>
        <family val="2"/>
        <charset val="186"/>
      </rPr>
      <t xml:space="preserve">a </t>
    </r>
    <r>
      <rPr>
        <b/>
        <sz val="11"/>
        <color indexed="8"/>
        <rFont val="Calibri"/>
        <family val="2"/>
        <charset val="186"/>
      </rPr>
      <t xml:space="preserve">values in water-methanol mixtures. 25,0°C, </t>
    </r>
    <r>
      <rPr>
        <b/>
        <i/>
        <sz val="11"/>
        <color indexed="8"/>
        <rFont val="Calibri"/>
        <family val="2"/>
        <charset val="186"/>
      </rPr>
      <t>I</t>
    </r>
    <r>
      <rPr>
        <b/>
        <sz val="11"/>
        <color indexed="8"/>
        <rFont val="Calibri"/>
        <family val="2"/>
        <charset val="186"/>
      </rPr>
      <t>=0</t>
    </r>
  </si>
  <si>
    <r>
      <t>Meaning of the experimental K</t>
    </r>
    <r>
      <rPr>
        <vertAlign val="subscript"/>
        <sz val="11"/>
        <color indexed="8"/>
        <rFont val="Calibri"/>
        <family val="2"/>
        <charset val="186"/>
      </rPr>
      <t>a</t>
    </r>
    <r>
      <rPr>
        <sz val="11"/>
        <color indexed="8"/>
        <rFont val="Calibri"/>
        <family val="2"/>
        <charset val="186"/>
      </rPr>
      <t>(H</t>
    </r>
    <r>
      <rPr>
        <vertAlign val="subscript"/>
        <sz val="11"/>
        <color indexed="8"/>
        <rFont val="Calibri"/>
        <family val="2"/>
        <charset val="186"/>
      </rPr>
      <t>2</t>
    </r>
    <r>
      <rPr>
        <sz val="11"/>
        <color indexed="8"/>
        <rFont val="Calibri"/>
        <family val="2"/>
        <charset val="186"/>
      </rPr>
      <t>O):</t>
    </r>
  </si>
  <si>
    <t>Correlations and extrapolations</t>
  </si>
  <si>
    <t>*M% - mole percents</t>
  </si>
  <si>
    <r>
      <t>p</t>
    </r>
    <r>
      <rPr>
        <i/>
        <sz val="10"/>
        <color theme="1"/>
        <rFont val="Calibri"/>
        <family val="2"/>
        <charset val="186"/>
        <scheme val="minor"/>
      </rPr>
      <t>K</t>
    </r>
    <r>
      <rPr>
        <vertAlign val="subscript"/>
        <sz val="10"/>
        <color theme="1"/>
        <rFont val="Calibri"/>
        <family val="2"/>
        <charset val="186"/>
        <scheme val="minor"/>
      </rPr>
      <t>eq</t>
    </r>
    <r>
      <rPr>
        <sz val="10"/>
        <color theme="1"/>
        <rFont val="Calibri"/>
        <family val="2"/>
        <charset val="186"/>
        <scheme val="minor"/>
      </rPr>
      <t xml:space="preserve"> was estimated from the correlation pK</t>
    </r>
    <r>
      <rPr>
        <vertAlign val="subscript"/>
        <sz val="10"/>
        <color theme="1"/>
        <rFont val="Calibri"/>
        <family val="2"/>
        <charset val="186"/>
        <scheme val="minor"/>
      </rPr>
      <t>a</t>
    </r>
    <r>
      <rPr>
        <sz val="10"/>
        <color theme="1"/>
        <rFont val="Calibri"/>
        <family val="2"/>
        <charset val="186"/>
        <scheme val="minor"/>
      </rPr>
      <t>(H</t>
    </r>
    <r>
      <rPr>
        <vertAlign val="subscript"/>
        <sz val="10"/>
        <color theme="1"/>
        <rFont val="Calibri"/>
        <family val="2"/>
        <charset val="186"/>
        <scheme val="minor"/>
      </rPr>
      <t>2</t>
    </r>
    <r>
      <rPr>
        <sz val="10"/>
        <color theme="1"/>
        <rFont val="Calibri"/>
        <family val="2"/>
        <charset val="186"/>
        <scheme val="minor"/>
      </rPr>
      <t>O)-pK</t>
    </r>
    <r>
      <rPr>
        <vertAlign val="subscript"/>
        <sz val="10"/>
        <color theme="1"/>
        <rFont val="Calibri"/>
        <family val="2"/>
        <charset val="186"/>
        <scheme val="minor"/>
      </rPr>
      <t>a</t>
    </r>
    <r>
      <rPr>
        <sz val="10"/>
        <color theme="1"/>
        <rFont val="Calibri"/>
        <family val="2"/>
        <charset val="186"/>
        <scheme val="minor"/>
      </rPr>
      <t xml:space="preserve">(MeOH) vs. M%(MeOH)  (see the sheet 'pKa') </t>
    </r>
  </si>
  <si>
    <r>
      <t>(probably underestimated, as comparison with pK</t>
    </r>
    <r>
      <rPr>
        <vertAlign val="subscript"/>
        <sz val="11"/>
        <color theme="1"/>
        <rFont val="Calibri"/>
        <family val="2"/>
        <charset val="186"/>
        <scheme val="minor"/>
      </rPr>
      <t>a</t>
    </r>
    <r>
      <rPr>
        <sz val="11"/>
        <color theme="1"/>
        <rFont val="Calibri"/>
        <family val="2"/>
        <charset val="186"/>
        <scheme val="minor"/>
      </rPr>
      <t>(MeOH) is counterintuitive)</t>
    </r>
  </si>
  <si>
    <t>Estimated uncertainty (90% coverage probability):</t>
  </si>
  <si>
    <r>
      <t>p</t>
    </r>
    <r>
      <rPr>
        <b/>
        <i/>
        <sz val="11"/>
        <color theme="1"/>
        <rFont val="Calibri"/>
        <family val="2"/>
        <charset val="186"/>
        <scheme val="minor"/>
      </rPr>
      <t>K</t>
    </r>
    <r>
      <rPr>
        <b/>
        <vertAlign val="subscript"/>
        <sz val="11"/>
        <color indexed="8"/>
        <rFont val="Calibri"/>
        <family val="2"/>
        <charset val="186"/>
      </rPr>
      <t>a</t>
    </r>
    <r>
      <rPr>
        <b/>
        <sz val="11"/>
        <color indexed="8"/>
        <rFont val="Calibri"/>
        <family val="2"/>
        <charset val="186"/>
      </rPr>
      <t>(H</t>
    </r>
    <r>
      <rPr>
        <b/>
        <vertAlign val="subscript"/>
        <sz val="11"/>
        <color indexed="8"/>
        <rFont val="Calibri"/>
        <family val="2"/>
        <charset val="186"/>
      </rPr>
      <t>2</t>
    </r>
    <r>
      <rPr>
        <b/>
        <sz val="11"/>
        <color indexed="8"/>
        <rFont val="Calibri"/>
        <family val="2"/>
        <charset val="186"/>
      </rPr>
      <t>O)</t>
    </r>
  </si>
  <si>
    <r>
      <t>p</t>
    </r>
    <r>
      <rPr>
        <b/>
        <i/>
        <sz val="11"/>
        <color theme="1"/>
        <rFont val="Calibri"/>
        <family val="2"/>
        <charset val="186"/>
        <scheme val="minor"/>
      </rPr>
      <t>K</t>
    </r>
    <r>
      <rPr>
        <b/>
        <vertAlign val="subscript"/>
        <sz val="11"/>
        <color indexed="8"/>
        <rFont val="Calibri"/>
        <family val="2"/>
        <charset val="186"/>
      </rPr>
      <t>a</t>
    </r>
    <r>
      <rPr>
        <b/>
        <sz val="11"/>
        <color indexed="8"/>
        <rFont val="Calibri"/>
        <family val="2"/>
        <charset val="186"/>
      </rPr>
      <t>(MeOH)</t>
    </r>
  </si>
  <si>
    <r>
      <t>p</t>
    </r>
    <r>
      <rPr>
        <i/>
        <sz val="11"/>
        <color theme="1"/>
        <rFont val="Calibri"/>
        <family val="2"/>
        <charset val="186"/>
        <scheme val="minor"/>
      </rPr>
      <t>K</t>
    </r>
    <r>
      <rPr>
        <vertAlign val="subscript"/>
        <sz val="11"/>
        <color theme="1"/>
        <rFont val="Calibri"/>
        <family val="2"/>
        <charset val="186"/>
        <scheme val="minor"/>
      </rPr>
      <t>a</t>
    </r>
    <r>
      <rPr>
        <sz val="11"/>
        <color theme="1"/>
        <rFont val="Calibri"/>
        <family val="2"/>
        <charset val="186"/>
        <scheme val="minor"/>
      </rPr>
      <t>(MeOH)=</t>
    </r>
  </si>
  <si>
    <t>10% v/v (20 mole %) water in methanol</t>
  </si>
  <si>
    <t>Parameters of the quadratic equation:</t>
  </si>
  <si>
    <r>
      <t>p</t>
    </r>
    <r>
      <rPr>
        <b/>
        <i/>
        <sz val="11"/>
        <color theme="1"/>
        <rFont val="Calibri"/>
        <family val="2"/>
        <charset val="186"/>
        <scheme val="minor"/>
      </rPr>
      <t>K</t>
    </r>
    <r>
      <rPr>
        <b/>
        <vertAlign val="subscript"/>
        <sz val="11"/>
        <color theme="1"/>
        <rFont val="Calibri"/>
        <family val="2"/>
        <charset val="186"/>
        <scheme val="minor"/>
      </rPr>
      <t>eq</t>
    </r>
    <r>
      <rPr>
        <b/>
        <sz val="11"/>
        <color theme="1"/>
        <rFont val="Calibri"/>
        <family val="2"/>
        <charset val="186"/>
        <scheme val="minor"/>
      </rPr>
      <t>=</t>
    </r>
  </si>
  <si>
    <t>Min.</t>
  </si>
  <si>
    <t>Mean</t>
  </si>
  <si>
    <t>Max.</t>
  </si>
  <si>
    <t>Supporting Information</t>
  </si>
  <si>
    <t>Comment on “Zemplén transesterification: a name reaction that has misled us for 90 years” Green Chem. 2015, 17, 1390-1394</t>
  </si>
  <si>
    <r>
      <t>Cristofer Pezzetta,</t>
    </r>
    <r>
      <rPr>
        <vertAlign val="superscript"/>
        <sz val="12"/>
        <color theme="1"/>
        <rFont val="Times New Roman"/>
        <family val="1"/>
        <charset val="186"/>
      </rPr>
      <t>a,b</t>
    </r>
    <r>
      <rPr>
        <sz val="12"/>
        <color theme="1"/>
        <rFont val="Times New Roman"/>
        <family val="1"/>
        <charset val="186"/>
      </rPr>
      <t xml:space="preserve"> Sofja Tshepelevitsh,</t>
    </r>
    <r>
      <rPr>
        <vertAlign val="superscript"/>
        <sz val="12"/>
        <color theme="1"/>
        <rFont val="Times New Roman"/>
        <family val="1"/>
        <charset val="186"/>
      </rPr>
      <t>c</t>
    </r>
    <r>
      <rPr>
        <sz val="12"/>
        <color theme="1"/>
        <rFont val="Times New Roman"/>
        <family val="1"/>
        <charset val="186"/>
      </rPr>
      <t xml:space="preserve"> Ivo Leito,</t>
    </r>
    <r>
      <rPr>
        <vertAlign val="superscript"/>
        <sz val="12"/>
        <color theme="1"/>
        <rFont val="Times New Roman"/>
        <family val="1"/>
        <charset val="186"/>
      </rPr>
      <t>c</t>
    </r>
    <r>
      <rPr>
        <sz val="12"/>
        <color theme="1"/>
        <rFont val="Times New Roman"/>
        <family val="1"/>
        <charset val="186"/>
      </rPr>
      <t xml:space="preserve"> and Giovanni Poli</t>
    </r>
    <r>
      <rPr>
        <vertAlign val="superscript"/>
        <sz val="12"/>
        <color theme="1"/>
        <rFont val="Times New Roman"/>
        <family val="1"/>
        <charset val="186"/>
      </rPr>
      <t>d *</t>
    </r>
  </si>
  <si>
    <r>
      <t>a)</t>
    </r>
    <r>
      <rPr>
        <i/>
        <sz val="7"/>
        <color theme="1"/>
        <rFont val="Times New Roman"/>
        <family val="1"/>
        <charset val="186"/>
      </rPr>
      <t xml:space="preserve">      </t>
    </r>
    <r>
      <rPr>
        <i/>
        <sz val="12"/>
        <color theme="1"/>
        <rFont val="Times New Roman"/>
        <family val="1"/>
        <charset val="186"/>
      </rPr>
      <t>Dr. Reddy’s Laboratories (EU), 410 Science Park, Milton Road, Cambridge CB4 0PE, UK</t>
    </r>
  </si>
  <si>
    <r>
      <t>b)</t>
    </r>
    <r>
      <rPr>
        <i/>
        <sz val="7"/>
        <color theme="1"/>
        <rFont val="Times New Roman"/>
        <family val="1"/>
        <charset val="186"/>
      </rPr>
      <t xml:space="preserve">      </t>
    </r>
    <r>
      <rPr>
        <i/>
        <sz val="12"/>
        <color theme="1"/>
        <rFont val="Times New Roman"/>
        <family val="1"/>
        <charset val="186"/>
      </rPr>
      <t>School of Chemistry, Cardiff University, Park Place Main Building, Cardiff CF10 3AT, UK</t>
    </r>
  </si>
  <si>
    <r>
      <t>c)</t>
    </r>
    <r>
      <rPr>
        <i/>
        <sz val="7"/>
        <color theme="1"/>
        <rFont val="Times New Roman"/>
        <family val="1"/>
        <charset val="186"/>
      </rPr>
      <t xml:space="preserve">      </t>
    </r>
    <r>
      <rPr>
        <i/>
        <sz val="12"/>
        <color theme="1"/>
        <rFont val="Times New Roman"/>
        <family val="1"/>
        <charset val="186"/>
      </rPr>
      <t>University of Tartu, Institute of Chemistry, Ravila 14a, Tartu 50411, Estonia</t>
    </r>
  </si>
  <si>
    <r>
      <t>d)</t>
    </r>
    <r>
      <rPr>
        <i/>
        <sz val="7"/>
        <color theme="1"/>
        <rFont val="Times New Roman"/>
        <family val="1"/>
        <charset val="186"/>
      </rPr>
      <t xml:space="preserve">      </t>
    </r>
    <r>
      <rPr>
        <i/>
        <sz val="12"/>
        <color theme="1"/>
        <rFont val="Times New Roman"/>
        <family val="1"/>
        <charset val="186"/>
      </rPr>
      <t>Sorbonne Université, Institut Parisien de Chimie Moléculaire, UMR CNRS 8232, Case 229, 4 Place Jussieu 75252 Paris Cedex 05, France</t>
    </r>
  </si>
  <si>
    <t>* E-mail: giovanni.poli@sorbonne-universite.fr</t>
  </si>
</sst>
</file>

<file path=xl/styles.xml><?xml version="1.0" encoding="utf-8"?>
<styleSheet xmlns="http://schemas.openxmlformats.org/spreadsheetml/2006/main">
  <numFmts count="5">
    <numFmt numFmtId="164" formatCode="0.000"/>
    <numFmt numFmtId="165" formatCode="0.0"/>
    <numFmt numFmtId="166" formatCode="0.00000"/>
    <numFmt numFmtId="167" formatCode="0.0000"/>
    <numFmt numFmtId="168" formatCode="0.000000"/>
  </numFmts>
  <fonts count="33">
    <font>
      <sz val="11"/>
      <color theme="1"/>
      <name val="Calibri"/>
      <family val="2"/>
      <charset val="186"/>
      <scheme val="minor"/>
    </font>
    <font>
      <b/>
      <sz val="11"/>
      <color indexed="8"/>
      <name val="Calibri"/>
      <family val="2"/>
      <charset val="186"/>
    </font>
    <font>
      <b/>
      <vertAlign val="subscript"/>
      <sz val="11"/>
      <color indexed="8"/>
      <name val="Calibri"/>
      <family val="2"/>
      <charset val="186"/>
    </font>
    <font>
      <b/>
      <i/>
      <sz val="11"/>
      <color indexed="8"/>
      <name val="Calibri"/>
      <family val="2"/>
      <charset val="186"/>
    </font>
    <font>
      <vertAlign val="subscript"/>
      <sz val="11"/>
      <color indexed="8"/>
      <name val="Calibri"/>
      <family val="2"/>
      <charset val="186"/>
    </font>
    <font>
      <i/>
      <sz val="11"/>
      <color indexed="8"/>
      <name val="Calibri"/>
      <family val="2"/>
      <charset val="186"/>
    </font>
    <font>
      <b/>
      <sz val="11"/>
      <color theme="1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vertAlign val="subscript"/>
      <sz val="11"/>
      <color theme="1"/>
      <name val="Calibri"/>
      <family val="2"/>
      <charset val="186"/>
      <scheme val="minor"/>
    </font>
    <font>
      <b/>
      <vertAlign val="subscript"/>
      <sz val="11"/>
      <color theme="1"/>
      <name val="Calibri"/>
      <family val="2"/>
      <charset val="186"/>
      <scheme val="minor"/>
    </font>
    <font>
      <b/>
      <sz val="11"/>
      <color theme="1"/>
      <name val="Symbol"/>
      <family val="1"/>
      <charset val="2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Symbol"/>
      <family val="1"/>
      <charset val="2"/>
    </font>
    <font>
      <sz val="12"/>
      <color theme="1"/>
      <name val="Calibri"/>
      <family val="2"/>
      <charset val="186"/>
      <scheme val="minor"/>
    </font>
    <font>
      <vertAlign val="subscript"/>
      <sz val="12"/>
      <color theme="1"/>
      <name val="Calibri"/>
      <family val="2"/>
      <charset val="186"/>
      <scheme val="minor"/>
    </font>
    <font>
      <i/>
      <sz val="12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9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vertAlign val="subscript"/>
      <sz val="10"/>
      <color theme="1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b/>
      <sz val="14.5"/>
      <color theme="1"/>
      <name val="Calibri"/>
      <family val="2"/>
      <charset val="186"/>
      <scheme val="minor"/>
    </font>
    <font>
      <b/>
      <sz val="21.5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1.5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vertAlign val="superscript"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i/>
      <sz val="7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CFF99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82">
    <xf numFmtId="0" fontId="0" fillId="0" borderId="0" xfId="0"/>
    <xf numFmtId="165" fontId="0" fillId="0" borderId="0" xfId="0" applyNumberFormat="1"/>
    <xf numFmtId="0" fontId="0" fillId="0" borderId="0" xfId="0" applyAlignment="1">
      <alignment horizontal="center"/>
    </xf>
    <xf numFmtId="0" fontId="6" fillId="0" borderId="0" xfId="0" applyFont="1"/>
    <xf numFmtId="164" fontId="0" fillId="0" borderId="0" xfId="0" applyNumberFormat="1" applyAlignment="1">
      <alignment horizontal="center"/>
    </xf>
    <xf numFmtId="0" fontId="0" fillId="0" borderId="1" xfId="0" applyBorder="1"/>
    <xf numFmtId="2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2" fontId="0" fillId="0" borderId="0" xfId="0" applyNumberFormat="1"/>
    <xf numFmtId="0" fontId="0" fillId="0" borderId="0" xfId="0" applyBorder="1"/>
    <xf numFmtId="0" fontId="6" fillId="0" borderId="0" xfId="0" applyFont="1" applyFill="1"/>
    <xf numFmtId="0" fontId="0" fillId="0" borderId="1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0" borderId="1" xfId="0" applyFont="1" applyBorder="1" applyAlignment="1"/>
    <xf numFmtId="165" fontId="0" fillId="0" borderId="1" xfId="0" applyNumberFormat="1" applyBorder="1"/>
    <xf numFmtId="0" fontId="0" fillId="0" borderId="0" xfId="0" applyFill="1"/>
    <xf numFmtId="0" fontId="0" fillId="3" borderId="0" xfId="0" applyFill="1"/>
    <xf numFmtId="0" fontId="0" fillId="3" borderId="0" xfId="0" applyFill="1" applyAlignment="1"/>
    <xf numFmtId="165" fontId="6" fillId="3" borderId="0" xfId="0" applyNumberFormat="1" applyFont="1" applyFill="1"/>
    <xf numFmtId="0" fontId="0" fillId="0" borderId="0" xfId="0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 applyBorder="1" applyAlignment="1">
      <alignment horizontal="center"/>
    </xf>
    <xf numFmtId="167" fontId="0" fillId="0" borderId="0" xfId="0" applyNumberFormat="1" applyBorder="1" applyAlignment="1">
      <alignment horizontal="center"/>
    </xf>
    <xf numFmtId="1" fontId="0" fillId="0" borderId="0" xfId="0" applyNumberFormat="1" applyBorder="1" applyAlignment="1"/>
    <xf numFmtId="165" fontId="0" fillId="0" borderId="0" xfId="0" applyNumberFormat="1" applyBorder="1" applyAlignment="1">
      <alignment horizontal="center"/>
    </xf>
    <xf numFmtId="165" fontId="0" fillId="0" borderId="0" xfId="0" applyNumberFormat="1" applyBorder="1"/>
    <xf numFmtId="2" fontId="0" fillId="0" borderId="0" xfId="0" applyNumberFormat="1" applyBorder="1"/>
    <xf numFmtId="164" fontId="0" fillId="0" borderId="0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0" xfId="0" applyFill="1" applyBorder="1"/>
    <xf numFmtId="165" fontId="0" fillId="0" borderId="0" xfId="0" applyNumberFormat="1" applyFill="1" applyBorder="1" applyAlignment="1">
      <alignment horizontal="center"/>
    </xf>
    <xf numFmtId="0" fontId="0" fillId="0" borderId="1" xfId="0" applyFill="1" applyBorder="1"/>
    <xf numFmtId="0" fontId="6" fillId="2" borderId="2" xfId="0" applyFont="1" applyFill="1" applyBorder="1" applyAlignment="1">
      <alignment horizontal="center"/>
    </xf>
    <xf numFmtId="0" fontId="0" fillId="0" borderId="6" xfId="0" applyBorder="1"/>
    <xf numFmtId="2" fontId="6" fillId="0" borderId="0" xfId="0" applyNumberFormat="1" applyFont="1" applyBorder="1" applyAlignment="1">
      <alignment horizontal="center"/>
    </xf>
    <xf numFmtId="0" fontId="6" fillId="0" borderId="6" xfId="0" applyFont="1" applyBorder="1" applyAlignment="1">
      <alignment horizontal="right"/>
    </xf>
    <xf numFmtId="1" fontId="0" fillId="0" borderId="0" xfId="0" applyNumberFormat="1" applyBorder="1" applyAlignment="1">
      <alignment horizontal="center"/>
    </xf>
    <xf numFmtId="0" fontId="0" fillId="0" borderId="6" xfId="0" applyBorder="1" applyAlignment="1">
      <alignment horizontal="right"/>
    </xf>
    <xf numFmtId="166" fontId="0" fillId="0" borderId="0" xfId="0" applyNumberFormat="1" applyBorder="1" applyAlignment="1">
      <alignment horizontal="center"/>
    </xf>
    <xf numFmtId="0" fontId="0" fillId="0" borderId="10" xfId="0" applyBorder="1"/>
    <xf numFmtId="0" fontId="0" fillId="0" borderId="2" xfId="0" applyBorder="1"/>
    <xf numFmtId="0" fontId="0" fillId="0" borderId="3" xfId="0" applyBorder="1"/>
    <xf numFmtId="0" fontId="15" fillId="0" borderId="8" xfId="0" applyFont="1" applyBorder="1" applyAlignment="1">
      <alignment horizontal="center" vertical="top" wrapText="1"/>
    </xf>
    <xf numFmtId="0" fontId="15" fillId="0" borderId="2" xfId="0" applyFont="1" applyFill="1" applyBorder="1" applyAlignment="1">
      <alignment horizontal="center" vertical="top" wrapText="1"/>
    </xf>
    <xf numFmtId="0" fontId="15" fillId="0" borderId="3" xfId="0" applyFont="1" applyFill="1" applyBorder="1" applyAlignment="1">
      <alignment horizontal="center" vertical="top" wrapText="1"/>
    </xf>
    <xf numFmtId="0" fontId="0" fillId="0" borderId="0" xfId="0" applyFont="1" applyFill="1" applyBorder="1"/>
    <xf numFmtId="0" fontId="15" fillId="0" borderId="8" xfId="0" applyFont="1" applyFill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0" fillId="0" borderId="0" xfId="0" applyFont="1" applyBorder="1"/>
    <xf numFmtId="0" fontId="17" fillId="0" borderId="0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165" fontId="0" fillId="0" borderId="1" xfId="0" applyNumberFormat="1" applyBorder="1" applyAlignment="1">
      <alignment horizontal="center"/>
    </xf>
    <xf numFmtId="165" fontId="12" fillId="0" borderId="0" xfId="0" applyNumberFormat="1" applyFont="1" applyBorder="1" applyAlignment="1">
      <alignment horizontal="center"/>
    </xf>
    <xf numFmtId="1" fontId="12" fillId="0" borderId="0" xfId="0" applyNumberFormat="1" applyFont="1" applyBorder="1" applyAlignment="1">
      <alignment horizontal="center"/>
    </xf>
    <xf numFmtId="164" fontId="0" fillId="0" borderId="0" xfId="0" applyNumberFormat="1" applyFont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19" fillId="0" borderId="0" xfId="0" applyFont="1"/>
    <xf numFmtId="0" fontId="15" fillId="0" borderId="9" xfId="0" applyFont="1" applyBorder="1" applyAlignment="1">
      <alignment horizontal="center" vertical="top" wrapText="1"/>
    </xf>
    <xf numFmtId="0" fontId="0" fillId="0" borderId="9" xfId="0" applyBorder="1"/>
    <xf numFmtId="164" fontId="0" fillId="0" borderId="0" xfId="0" applyNumberFormat="1"/>
    <xf numFmtId="0" fontId="6" fillId="0" borderId="1" xfId="0" applyFont="1" applyBorder="1" applyAlignment="1">
      <alignment horizontal="center"/>
    </xf>
    <xf numFmtId="168" fontId="0" fillId="0" borderId="0" xfId="0" applyNumberFormat="1"/>
    <xf numFmtId="0" fontId="25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6" fillId="3" borderId="0" xfId="0" applyFont="1" applyFill="1" applyAlignment="1">
      <alignment horizontal="center"/>
    </xf>
    <xf numFmtId="9" fontId="6" fillId="3" borderId="0" xfId="1" applyFont="1" applyFill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20" fillId="0" borderId="6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64" fontId="23" fillId="0" borderId="0" xfId="0" applyNumberFormat="1" applyFont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colors>
    <mruColors>
      <color rgb="FFCCFF99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0.18150444987480052"/>
          <c:y val="5.3635360797291642E-2"/>
          <c:w val="0.72625067027911894"/>
          <c:h val="0.76430712465289663"/>
        </c:manualLayout>
      </c:layout>
      <c:scatterChart>
        <c:scatterStyle val="lineMarker"/>
        <c:ser>
          <c:idx val="0"/>
          <c:order val="0"/>
          <c:tx>
            <c:v>Water</c:v>
          </c:tx>
          <c:spPr>
            <a:ln w="28575">
              <a:noFill/>
            </a:ln>
          </c:spPr>
          <c:marker>
            <c:symbol val="diamond"/>
            <c:size val="6"/>
            <c:spPr>
              <a:ln>
                <a:solidFill>
                  <a:schemeClr val="accent1">
                    <a:lumMod val="75000"/>
                  </a:schemeClr>
                </a:solidFill>
              </a:ln>
            </c:spPr>
          </c:marker>
          <c:xVal>
            <c:numRef>
              <c:f>pKa!$A$6:$A$14</c:f>
              <c:numCache>
                <c:formatCode>General</c:formatCode>
                <c:ptCount val="9"/>
                <c:pt idx="0">
                  <c:v>0</c:v>
                </c:pt>
                <c:pt idx="1">
                  <c:v>5.88</c:v>
                </c:pt>
                <c:pt idx="2">
                  <c:v>12.3</c:v>
                </c:pt>
                <c:pt idx="3">
                  <c:v>18.3</c:v>
                </c:pt>
                <c:pt idx="4" formatCode="0.0">
                  <c:v>36</c:v>
                </c:pt>
                <c:pt idx="5">
                  <c:v>45.8</c:v>
                </c:pt>
                <c:pt idx="6">
                  <c:v>56.8</c:v>
                </c:pt>
                <c:pt idx="7">
                  <c:v>69.2</c:v>
                </c:pt>
                <c:pt idx="8">
                  <c:v>83.5</c:v>
                </c:pt>
              </c:numCache>
            </c:numRef>
          </c:xVal>
          <c:yVal>
            <c:numRef>
              <c:f>pKa!$B$6:$B$14</c:f>
              <c:numCache>
                <c:formatCode>0.000</c:formatCode>
                <c:ptCount val="9"/>
                <c:pt idx="0">
                  <c:v>15.74</c:v>
                </c:pt>
                <c:pt idx="1">
                  <c:v>15.79</c:v>
                </c:pt>
                <c:pt idx="2" formatCode="General">
                  <c:v>15.804</c:v>
                </c:pt>
                <c:pt idx="3" formatCode="General">
                  <c:v>15.818</c:v>
                </c:pt>
                <c:pt idx="4">
                  <c:v>15.86</c:v>
                </c:pt>
                <c:pt idx="5" formatCode="General">
                  <c:v>15.875999999999999</c:v>
                </c:pt>
                <c:pt idx="6" formatCode="General">
                  <c:v>15.989000000000001</c:v>
                </c:pt>
                <c:pt idx="7" formatCode="General">
                  <c:v>16.204000000000001</c:v>
                </c:pt>
                <c:pt idx="8" formatCode="General">
                  <c:v>16.681999999999999</c:v>
                </c:pt>
              </c:numCache>
            </c:numRef>
          </c:yVal>
        </c:ser>
        <c:ser>
          <c:idx val="1"/>
          <c:order val="1"/>
          <c:tx>
            <c:v>MeOH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B050"/>
              </a:solidFill>
              <a:ln>
                <a:solidFill>
                  <a:srgbClr val="008000"/>
                </a:solidFill>
              </a:ln>
            </c:spPr>
          </c:marker>
          <c:xVal>
            <c:numRef>
              <c:f>pKa!$A$6:$A$15</c:f>
              <c:numCache>
                <c:formatCode>General</c:formatCode>
                <c:ptCount val="10"/>
                <c:pt idx="0">
                  <c:v>0</c:v>
                </c:pt>
                <c:pt idx="1">
                  <c:v>5.88</c:v>
                </c:pt>
                <c:pt idx="2">
                  <c:v>12.3</c:v>
                </c:pt>
                <c:pt idx="3">
                  <c:v>18.3</c:v>
                </c:pt>
                <c:pt idx="4" formatCode="0.0">
                  <c:v>36</c:v>
                </c:pt>
                <c:pt idx="5">
                  <c:v>45.8</c:v>
                </c:pt>
                <c:pt idx="6">
                  <c:v>56.8</c:v>
                </c:pt>
                <c:pt idx="7">
                  <c:v>69.2</c:v>
                </c:pt>
                <c:pt idx="8">
                  <c:v>83.5</c:v>
                </c:pt>
                <c:pt idx="9">
                  <c:v>100</c:v>
                </c:pt>
              </c:numCache>
            </c:numRef>
          </c:xVal>
          <c:yVal>
            <c:numRef>
              <c:f>pKa!$C$6:$C$15</c:f>
              <c:numCache>
                <c:formatCode>General</c:formatCode>
                <c:ptCount val="10"/>
                <c:pt idx="0">
                  <c:v>15.54</c:v>
                </c:pt>
                <c:pt idx="1">
                  <c:v>15.555999999999999</c:v>
                </c:pt>
                <c:pt idx="2">
                  <c:v>15.542</c:v>
                </c:pt>
                <c:pt idx="3">
                  <c:v>15.544</c:v>
                </c:pt>
                <c:pt idx="4">
                  <c:v>15.585000000000001</c:v>
                </c:pt>
                <c:pt idx="5">
                  <c:v>15.601000000000001</c:v>
                </c:pt>
                <c:pt idx="6">
                  <c:v>15.707000000000001</c:v>
                </c:pt>
                <c:pt idx="7">
                  <c:v>15.898</c:v>
                </c:pt>
                <c:pt idx="8">
                  <c:v>16.331</c:v>
                </c:pt>
                <c:pt idx="9">
                  <c:v>18.202000000000002</c:v>
                </c:pt>
              </c:numCache>
            </c:numRef>
          </c:yVal>
        </c:ser>
        <c:ser>
          <c:idx val="2"/>
          <c:order val="2"/>
          <c:spPr>
            <a:ln w="28575">
              <a:noFill/>
            </a:ln>
          </c:spPr>
          <c:marker>
            <c:symbol val="none"/>
          </c:marker>
          <c:trendline>
            <c:trendlineType val="poly"/>
            <c:order val="2"/>
            <c:forward val="17"/>
            <c:dispEq val="1"/>
            <c:trendlineLbl>
              <c:layout>
                <c:manualLayout>
                  <c:x val="-0.12009623797025386"/>
                  <c:y val="8.2190547349464543E-2"/>
                </c:manualLayout>
              </c:layout>
              <c:numFmt formatCode="General" sourceLinked="0"/>
            </c:trendlineLbl>
          </c:trendline>
          <c:xVal>
            <c:numRef>
              <c:f>pKa!$A$11:$A$14</c:f>
              <c:numCache>
                <c:formatCode>General</c:formatCode>
                <c:ptCount val="4"/>
                <c:pt idx="0">
                  <c:v>45.8</c:v>
                </c:pt>
                <c:pt idx="1">
                  <c:v>56.8</c:v>
                </c:pt>
                <c:pt idx="2">
                  <c:v>69.2</c:v>
                </c:pt>
                <c:pt idx="3">
                  <c:v>83.5</c:v>
                </c:pt>
              </c:numCache>
            </c:numRef>
          </c:xVal>
          <c:yVal>
            <c:numRef>
              <c:f>pKa!$B$11:$B$14</c:f>
              <c:numCache>
                <c:formatCode>General</c:formatCode>
                <c:ptCount val="4"/>
                <c:pt idx="0">
                  <c:v>15.875999999999999</c:v>
                </c:pt>
                <c:pt idx="1">
                  <c:v>15.989000000000001</c:v>
                </c:pt>
                <c:pt idx="2">
                  <c:v>16.204000000000001</c:v>
                </c:pt>
                <c:pt idx="3">
                  <c:v>16.681999999999999</c:v>
                </c:pt>
              </c:numCache>
            </c:numRef>
          </c:yVal>
        </c:ser>
        <c:dLbls/>
        <c:axId val="324325376"/>
        <c:axId val="324327296"/>
      </c:scatterChart>
      <c:valAx>
        <c:axId val="324325376"/>
        <c:scaling>
          <c:orientation val="minMax"/>
          <c:max val="10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t-EE"/>
                  <a:t>M% MeOH</a:t>
                </a:r>
                <a:endParaRPr lang="en-US"/>
              </a:p>
            </c:rich>
          </c:tx>
        </c:title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324327296"/>
        <c:crosses val="autoZero"/>
        <c:crossBetween val="midCat"/>
      </c:valAx>
      <c:valAx>
        <c:axId val="324327296"/>
        <c:scaling>
          <c:orientation val="minMax"/>
          <c:max val="19"/>
          <c:min val="15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t-EE"/>
                  <a:t>pKa</a:t>
                </a:r>
                <a:endParaRPr lang="en-US"/>
              </a:p>
            </c:rich>
          </c:tx>
        </c:title>
        <c:numFmt formatCode="0.0" sourceLinked="0"/>
        <c:tickLblPos val="nextTo"/>
        <c:crossAx val="324325376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t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30667180049926551"/>
          <c:y val="6.3260340632603412E-2"/>
          <c:w val="0.31758727739677745"/>
          <c:h val="8.7994712339789727E-2"/>
        </c:manualLayout>
      </c:layout>
    </c:legend>
    <c:plotVisOnly val="1"/>
    <c:dispBlanksAs val="gap"/>
  </c:chart>
  <c:printSettings>
    <c:headerFooter/>
    <c:pageMargins b="0.750000000000001" l="0.70000000000000062" r="0.70000000000000062" t="0.750000000000001" header="0.30000000000000032" footer="0.3000000000000003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0.18150438066880276"/>
          <c:y val="5.8905546629131417E-2"/>
          <c:w val="0.75534606450055863"/>
          <c:h val="0.76430712465289663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pKa!$C$6:$C$14</c:f>
              <c:numCache>
                <c:formatCode>General</c:formatCode>
                <c:ptCount val="9"/>
                <c:pt idx="0">
                  <c:v>15.54</c:v>
                </c:pt>
                <c:pt idx="1">
                  <c:v>15.555999999999999</c:v>
                </c:pt>
                <c:pt idx="2">
                  <c:v>15.542</c:v>
                </c:pt>
                <c:pt idx="3">
                  <c:v>15.544</c:v>
                </c:pt>
                <c:pt idx="4">
                  <c:v>15.585000000000001</c:v>
                </c:pt>
                <c:pt idx="5">
                  <c:v>15.601000000000001</c:v>
                </c:pt>
                <c:pt idx="6">
                  <c:v>15.707000000000001</c:v>
                </c:pt>
                <c:pt idx="7">
                  <c:v>15.898</c:v>
                </c:pt>
                <c:pt idx="8">
                  <c:v>16.331</c:v>
                </c:pt>
              </c:numCache>
            </c:numRef>
          </c:xVal>
          <c:yVal>
            <c:numRef>
              <c:f>pKa!$B$6:$B$14</c:f>
              <c:numCache>
                <c:formatCode>0.000</c:formatCode>
                <c:ptCount val="9"/>
                <c:pt idx="0">
                  <c:v>15.74</c:v>
                </c:pt>
                <c:pt idx="1">
                  <c:v>15.79</c:v>
                </c:pt>
                <c:pt idx="2" formatCode="General">
                  <c:v>15.804</c:v>
                </c:pt>
                <c:pt idx="3" formatCode="General">
                  <c:v>15.818</c:v>
                </c:pt>
                <c:pt idx="4">
                  <c:v>15.86</c:v>
                </c:pt>
                <c:pt idx="5" formatCode="General">
                  <c:v>15.875999999999999</c:v>
                </c:pt>
                <c:pt idx="6" formatCode="General">
                  <c:v>15.989000000000001</c:v>
                </c:pt>
                <c:pt idx="7" formatCode="General">
                  <c:v>16.204000000000001</c:v>
                </c:pt>
                <c:pt idx="8" formatCode="General">
                  <c:v>16.681999999999999</c:v>
                </c:pt>
              </c:numCache>
            </c:numRef>
          </c:yVal>
        </c:ser>
        <c:ser>
          <c:idx val="1"/>
          <c:order val="1"/>
          <c:spPr>
            <a:ln w="28575">
              <a:noFill/>
            </a:ln>
          </c:spPr>
          <c:marker>
            <c:symbol val="diamond"/>
            <c:size val="7"/>
            <c:spPr>
              <a:solidFill>
                <a:schemeClr val="accent1"/>
              </a:solidFill>
              <a:ln>
                <a:solidFill>
                  <a:srgbClr val="7030A0"/>
                </a:solidFill>
              </a:ln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-0.14948611316346874"/>
                  <c:y val="2.7607032991843798E-2"/>
                </c:manualLayout>
              </c:layout>
              <c:numFmt formatCode="General" sourceLinked="0"/>
            </c:trendlineLbl>
          </c:trendline>
          <c:xVal>
            <c:numRef>
              <c:f>pKa!$C$9:$C$14</c:f>
              <c:numCache>
                <c:formatCode>General</c:formatCode>
                <c:ptCount val="6"/>
                <c:pt idx="0">
                  <c:v>15.544</c:v>
                </c:pt>
                <c:pt idx="1">
                  <c:v>15.585000000000001</c:v>
                </c:pt>
                <c:pt idx="2">
                  <c:v>15.601000000000001</c:v>
                </c:pt>
                <c:pt idx="3">
                  <c:v>15.707000000000001</c:v>
                </c:pt>
                <c:pt idx="4">
                  <c:v>15.898</c:v>
                </c:pt>
                <c:pt idx="5">
                  <c:v>16.331</c:v>
                </c:pt>
              </c:numCache>
            </c:numRef>
          </c:xVal>
          <c:yVal>
            <c:numRef>
              <c:f>pKa!$B$9:$B$14</c:f>
              <c:numCache>
                <c:formatCode>0.000</c:formatCode>
                <c:ptCount val="6"/>
                <c:pt idx="0" formatCode="General">
                  <c:v>15.818</c:v>
                </c:pt>
                <c:pt idx="1">
                  <c:v>15.86</c:v>
                </c:pt>
                <c:pt idx="2" formatCode="General">
                  <c:v>15.875999999999999</c:v>
                </c:pt>
                <c:pt idx="3" formatCode="General">
                  <c:v>15.989000000000001</c:v>
                </c:pt>
                <c:pt idx="4" formatCode="General">
                  <c:v>16.204000000000001</c:v>
                </c:pt>
                <c:pt idx="5" formatCode="General">
                  <c:v>16.681999999999999</c:v>
                </c:pt>
              </c:numCache>
            </c:numRef>
          </c:yVal>
        </c:ser>
        <c:dLbls/>
        <c:axId val="326284032"/>
        <c:axId val="326285952"/>
      </c:scatterChart>
      <c:valAx>
        <c:axId val="32628403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t-EE"/>
                  <a:t>pKa(MeOH)</a:t>
                </a:r>
                <a:endParaRPr lang="en-US"/>
              </a:p>
            </c:rich>
          </c:tx>
        </c:title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326285952"/>
        <c:crosses val="autoZero"/>
        <c:crossBetween val="midCat"/>
      </c:valAx>
      <c:valAx>
        <c:axId val="326285952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t-EE"/>
                  <a:t>pKa (H</a:t>
                </a:r>
                <a:r>
                  <a:rPr lang="et-EE" baseline="-25000"/>
                  <a:t>2</a:t>
                </a:r>
                <a:r>
                  <a:rPr lang="et-EE"/>
                  <a:t>O)</a:t>
                </a:r>
                <a:endParaRPr lang="en-US"/>
              </a:p>
            </c:rich>
          </c:tx>
        </c:title>
        <c:numFmt formatCode="0.0" sourceLinked="0"/>
        <c:tickLblPos val="nextTo"/>
        <c:crossAx val="326284032"/>
        <c:crosses val="autoZero"/>
        <c:crossBetween val="midCat"/>
      </c:valAx>
      <c:spPr>
        <a:ln>
          <a:solidFill>
            <a:schemeClr val="tx1"/>
          </a:solidFill>
        </a:ln>
      </c:spPr>
    </c:plotArea>
    <c:plotVisOnly val="1"/>
    <c:dispBlanksAs val="gap"/>
  </c:chart>
  <c:printSettings>
    <c:headerFooter/>
    <c:pageMargins b="0.75000000000000122" l="0.70000000000000062" r="0.70000000000000062" t="0.75000000000000122" header="0.30000000000000032" footer="0.30000000000000032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0.18150447411383583"/>
          <c:y val="5.8431616911195507E-2"/>
          <c:w val="0.75534606450055863"/>
          <c:h val="0.76430712465289663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7"/>
            <c:spPr>
              <a:solidFill>
                <a:srgbClr val="4F81BD"/>
              </a:solidFill>
              <a:ln>
                <a:noFill/>
              </a:ln>
            </c:spPr>
          </c:marker>
          <c:xVal>
            <c:numRef>
              <c:f>pKa!$A$6:$A$14</c:f>
              <c:numCache>
                <c:formatCode>General</c:formatCode>
                <c:ptCount val="9"/>
                <c:pt idx="0">
                  <c:v>0</c:v>
                </c:pt>
                <c:pt idx="1">
                  <c:v>5.88</c:v>
                </c:pt>
                <c:pt idx="2">
                  <c:v>12.3</c:v>
                </c:pt>
                <c:pt idx="3">
                  <c:v>18.3</c:v>
                </c:pt>
                <c:pt idx="4" formatCode="0.0">
                  <c:v>36</c:v>
                </c:pt>
                <c:pt idx="5">
                  <c:v>45.8</c:v>
                </c:pt>
                <c:pt idx="6">
                  <c:v>56.8</c:v>
                </c:pt>
                <c:pt idx="7">
                  <c:v>69.2</c:v>
                </c:pt>
                <c:pt idx="8">
                  <c:v>83.5</c:v>
                </c:pt>
              </c:numCache>
            </c:numRef>
          </c:xVal>
          <c:yVal>
            <c:numRef>
              <c:f>pKa!$D$6:$D$14</c:f>
              <c:numCache>
                <c:formatCode>0.00</c:formatCode>
                <c:ptCount val="9"/>
                <c:pt idx="0">
                  <c:v>0.20000000000000107</c:v>
                </c:pt>
                <c:pt idx="1">
                  <c:v>0.23399999999999999</c:v>
                </c:pt>
                <c:pt idx="2">
                  <c:v>0.26200000000000045</c:v>
                </c:pt>
                <c:pt idx="3">
                  <c:v>0.27399999999999913</c:v>
                </c:pt>
                <c:pt idx="4">
                  <c:v>0.27499999999999858</c:v>
                </c:pt>
                <c:pt idx="5">
                  <c:v>0.27499999999999858</c:v>
                </c:pt>
                <c:pt idx="6">
                  <c:v>0.28200000000000003</c:v>
                </c:pt>
                <c:pt idx="7">
                  <c:v>0.30600000000000094</c:v>
                </c:pt>
                <c:pt idx="8">
                  <c:v>0.35099999999999909</c:v>
                </c:pt>
              </c:numCache>
            </c:numRef>
          </c:yVal>
        </c:ser>
        <c:ser>
          <c:idx val="0"/>
          <c:order val="1"/>
          <c:spPr>
            <a:ln w="28575">
              <a:noFill/>
            </a:ln>
          </c:spPr>
          <c:marker>
            <c:spPr>
              <a:ln>
                <a:solidFill>
                  <a:srgbClr val="7030A0"/>
                </a:solidFill>
              </a:ln>
            </c:spPr>
          </c:marker>
          <c:trendline>
            <c:trendlineType val="poly"/>
            <c:order val="3"/>
            <c:dispEq val="1"/>
            <c:trendlineLbl>
              <c:layout>
                <c:manualLayout>
                  <c:x val="0.11366719160104986"/>
                  <c:y val="0.43780523784891873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baseline="0"/>
                      <a:t>y = 1.340E-07x</a:t>
                    </a:r>
                    <a:r>
                      <a:rPr lang="en-US" baseline="30000"/>
                      <a:t>3</a:t>
                    </a:r>
                    <a:r>
                      <a:rPr lang="en-US" baseline="0"/>
                      <a:t> + 2.251E-05x</a:t>
                    </a:r>
                    <a:r>
                      <a:rPr lang="en-US" baseline="30000"/>
                      <a:t>2</a:t>
                    </a:r>
                    <a:r>
                      <a:rPr lang="en-US" baseline="0"/>
                      <a:t> - </a:t>
                    </a:r>
                    <a:r>
                      <a:rPr lang="et-EE" baseline="0"/>
                      <a:t/>
                    </a:r>
                    <a:br>
                      <a:rPr lang="et-EE" baseline="0"/>
                    </a:br>
                    <a:r>
                      <a:rPr lang="en-US" baseline="0"/>
                      <a:t>2.602E-03x + 3.334E-01</a:t>
                    </a:r>
                    <a:endParaRPr lang="en-US"/>
                  </a:p>
                </c:rich>
              </c:tx>
              <c:numFmt formatCode="0.000E+00" sourceLinked="0"/>
            </c:trendlineLbl>
          </c:trendline>
          <c:xVal>
            <c:numRef>
              <c:f>pKa!$A$10:$A$14</c:f>
              <c:numCache>
                <c:formatCode>General</c:formatCode>
                <c:ptCount val="5"/>
                <c:pt idx="0" formatCode="0.0">
                  <c:v>36</c:v>
                </c:pt>
                <c:pt idx="1">
                  <c:v>45.8</c:v>
                </c:pt>
                <c:pt idx="2">
                  <c:v>56.8</c:v>
                </c:pt>
                <c:pt idx="3">
                  <c:v>69.2</c:v>
                </c:pt>
                <c:pt idx="4">
                  <c:v>83.5</c:v>
                </c:pt>
              </c:numCache>
            </c:numRef>
          </c:xVal>
          <c:yVal>
            <c:numRef>
              <c:f>pKa!$D$10:$D$14</c:f>
              <c:numCache>
                <c:formatCode>0.00</c:formatCode>
                <c:ptCount val="5"/>
                <c:pt idx="0">
                  <c:v>0.27499999999999858</c:v>
                </c:pt>
                <c:pt idx="1">
                  <c:v>0.27499999999999858</c:v>
                </c:pt>
                <c:pt idx="2">
                  <c:v>0.28200000000000003</c:v>
                </c:pt>
                <c:pt idx="3">
                  <c:v>0.30600000000000094</c:v>
                </c:pt>
                <c:pt idx="4">
                  <c:v>0.35099999999999909</c:v>
                </c:pt>
              </c:numCache>
            </c:numRef>
          </c:yVal>
        </c:ser>
        <c:dLbls/>
        <c:axId val="326345088"/>
        <c:axId val="326347008"/>
      </c:scatterChart>
      <c:valAx>
        <c:axId val="326345088"/>
        <c:scaling>
          <c:orientation val="minMax"/>
          <c:max val="10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t-EE"/>
                  <a:t>M% MeOH</a:t>
                </a:r>
                <a:endParaRPr lang="en-US"/>
              </a:p>
            </c:rich>
          </c:tx>
        </c:title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326347008"/>
        <c:crosses val="autoZero"/>
        <c:crossBetween val="midCat"/>
      </c:valAx>
      <c:valAx>
        <c:axId val="326347008"/>
        <c:scaling>
          <c:orientation val="minMax"/>
          <c:min val="0.15000000000000013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t-EE"/>
                  <a:t>pKa (H</a:t>
                </a:r>
                <a:r>
                  <a:rPr lang="et-EE" baseline="-25000"/>
                  <a:t>2</a:t>
                </a:r>
                <a:r>
                  <a:rPr lang="et-EE"/>
                  <a:t>O) - pKa(MeOH)</a:t>
                </a:r>
                <a:endParaRPr lang="en-US"/>
              </a:p>
            </c:rich>
          </c:tx>
        </c:title>
        <c:numFmt formatCode="0.00" sourceLinked="1"/>
        <c:tickLblPos val="nextTo"/>
        <c:crossAx val="326345088"/>
        <c:crosses val="autoZero"/>
        <c:crossBetween val="midCat"/>
      </c:valAx>
      <c:spPr>
        <a:ln>
          <a:solidFill>
            <a:schemeClr val="tx1"/>
          </a:solidFill>
        </a:ln>
      </c:spPr>
    </c:plotArea>
    <c:plotVisOnly val="1"/>
    <c:dispBlanksAs val="gap"/>
  </c:chart>
  <c:printSettings>
    <c:headerFooter/>
    <c:pageMargins b="0.750000000000001" l="0.70000000000000062" r="0.70000000000000062" t="0.750000000000001" header="0.30000000000000032" footer="0.3000000000000003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18</xdr:row>
      <xdr:rowOff>180975</xdr:rowOff>
    </xdr:from>
    <xdr:to>
      <xdr:col>16</xdr:col>
      <xdr:colOff>152400</xdr:colOff>
      <xdr:row>32</xdr:row>
      <xdr:rowOff>123825</xdr:rowOff>
    </xdr:to>
    <xdr:graphicFrame macro="">
      <xdr:nvGraphicFramePr>
        <xdr:cNvPr id="10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409575</xdr:colOff>
      <xdr:row>18</xdr:row>
      <xdr:rowOff>180975</xdr:rowOff>
    </xdr:from>
    <xdr:to>
      <xdr:col>5</xdr:col>
      <xdr:colOff>457200</xdr:colOff>
      <xdr:row>32</xdr:row>
      <xdr:rowOff>123825</xdr:rowOff>
    </xdr:to>
    <xdr:graphicFrame macro="">
      <xdr:nvGraphicFramePr>
        <xdr:cNvPr id="108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600075</xdr:colOff>
      <xdr:row>19</xdr:row>
      <xdr:rowOff>0</xdr:rowOff>
    </xdr:from>
    <xdr:to>
      <xdr:col>10</xdr:col>
      <xdr:colOff>466725</xdr:colOff>
      <xdr:row>32</xdr:row>
      <xdr:rowOff>133350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oleObject" Target="../embeddings/oleObject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B15"/>
  <sheetViews>
    <sheetView tabSelected="1" workbookViewId="0">
      <selection activeCell="B18" sqref="B18"/>
    </sheetView>
  </sheetViews>
  <sheetFormatPr baseColWidth="10" defaultColWidth="8.88671875" defaultRowHeight="14.4"/>
  <sheetData>
    <row r="2" spans="2:2" ht="27">
      <c r="B2" s="66" t="s">
        <v>59</v>
      </c>
    </row>
    <row r="3" spans="2:2" ht="18.600000000000001">
      <c r="B3" s="67"/>
    </row>
    <row r="4" spans="2:2" ht="17.399999999999999">
      <c r="B4" s="68" t="s">
        <v>60</v>
      </c>
    </row>
    <row r="5" spans="2:2" ht="15">
      <c r="B5" s="69"/>
    </row>
    <row r="6" spans="2:2">
      <c r="B6" s="70"/>
    </row>
    <row r="7" spans="2:2" ht="18.600000000000001">
      <c r="B7" s="71" t="s">
        <v>61</v>
      </c>
    </row>
    <row r="8" spans="2:2" ht="15.6">
      <c r="B8" s="71"/>
    </row>
    <row r="9" spans="2:2" ht="15.6">
      <c r="B9" s="72" t="s">
        <v>62</v>
      </c>
    </row>
    <row r="10" spans="2:2" ht="15.6">
      <c r="B10" s="72" t="s">
        <v>63</v>
      </c>
    </row>
    <row r="11" spans="2:2" ht="15.6">
      <c r="B11" s="72" t="s">
        <v>64</v>
      </c>
    </row>
    <row r="12" spans="2:2" ht="15.6">
      <c r="B12" s="72" t="s">
        <v>65</v>
      </c>
    </row>
    <row r="15" spans="2:2" ht="15.6">
      <c r="B15" s="72" t="s">
        <v>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P43"/>
  <sheetViews>
    <sheetView workbookViewId="0"/>
  </sheetViews>
  <sheetFormatPr baseColWidth="10" defaultColWidth="8.88671875" defaultRowHeight="14.4"/>
  <cols>
    <col min="1" max="2" width="11.33203125" bestFit="1" customWidth="1"/>
    <col min="3" max="3" width="11.109375" bestFit="1" customWidth="1"/>
    <col min="4" max="5" width="9.6640625" customWidth="1"/>
    <col min="6" max="6" width="11.33203125" bestFit="1" customWidth="1"/>
    <col min="7" max="7" width="10.5546875" bestFit="1" customWidth="1"/>
    <col min="8" max="8" width="11.88671875" customWidth="1"/>
    <col min="15" max="15" width="14.44140625" customWidth="1"/>
  </cols>
  <sheetData>
    <row r="1" spans="1:16" ht="15.6">
      <c r="A1" s="3" t="s">
        <v>6</v>
      </c>
    </row>
    <row r="3" spans="1:16" ht="15.6">
      <c r="A3" s="73" t="s">
        <v>43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</row>
    <row r="5" spans="1:16" ht="15.6">
      <c r="A5" s="13" t="s">
        <v>0</v>
      </c>
      <c r="B5" s="12" t="s">
        <v>50</v>
      </c>
      <c r="C5" s="12" t="s">
        <v>51</v>
      </c>
      <c r="D5" s="21" t="s">
        <v>22</v>
      </c>
      <c r="E5" s="24"/>
      <c r="F5" s="24"/>
    </row>
    <row r="6" spans="1:16" ht="15.6">
      <c r="A6" s="14">
        <v>0</v>
      </c>
      <c r="B6" s="58">
        <v>15.74</v>
      </c>
      <c r="C6" s="22">
        <v>15.54</v>
      </c>
      <c r="D6" s="31">
        <f>B6-C6</f>
        <v>0.20000000000000107</v>
      </c>
      <c r="E6" s="26"/>
      <c r="G6" t="s">
        <v>44</v>
      </c>
    </row>
    <row r="7" spans="1:16">
      <c r="A7" s="5">
        <v>5.88</v>
      </c>
      <c r="B7" s="4">
        <v>15.79</v>
      </c>
      <c r="C7" s="23">
        <v>15.555999999999999</v>
      </c>
      <c r="D7" s="31">
        <f t="shared" ref="D7:D14" si="0">B7-C7</f>
        <v>0.23399999999999999</v>
      </c>
      <c r="E7" s="28"/>
      <c r="M7" s="9"/>
    </row>
    <row r="8" spans="1:16">
      <c r="A8" s="5">
        <v>12.3</v>
      </c>
      <c r="B8" s="2">
        <v>15.804</v>
      </c>
      <c r="C8" s="23">
        <v>15.542</v>
      </c>
      <c r="D8" s="31">
        <f t="shared" si="0"/>
        <v>0.26200000000000045</v>
      </c>
      <c r="E8" s="28"/>
      <c r="G8" s="3" t="s">
        <v>36</v>
      </c>
    </row>
    <row r="9" spans="1:16">
      <c r="A9" s="5">
        <v>18.3</v>
      </c>
      <c r="B9" s="2">
        <v>15.818</v>
      </c>
      <c r="C9" s="23">
        <v>15.544</v>
      </c>
      <c r="D9" s="31">
        <f t="shared" si="0"/>
        <v>0.27399999999999913</v>
      </c>
      <c r="E9" s="28"/>
      <c r="G9" t="s">
        <v>37</v>
      </c>
    </row>
    <row r="10" spans="1:16">
      <c r="A10" s="15">
        <v>36</v>
      </c>
      <c r="B10" s="4">
        <v>15.86</v>
      </c>
      <c r="C10" s="23">
        <v>15.585000000000001</v>
      </c>
      <c r="D10" s="31">
        <f t="shared" si="0"/>
        <v>0.27499999999999858</v>
      </c>
      <c r="E10" s="28"/>
      <c r="M10" s="9"/>
    </row>
    <row r="11" spans="1:16">
      <c r="A11" s="5">
        <v>45.8</v>
      </c>
      <c r="B11" s="2">
        <v>15.875999999999999</v>
      </c>
      <c r="C11" s="23">
        <v>15.601000000000001</v>
      </c>
      <c r="D11" s="31">
        <f t="shared" si="0"/>
        <v>0.27499999999999858</v>
      </c>
      <c r="E11" s="28"/>
      <c r="G11" s="3" t="s">
        <v>38</v>
      </c>
      <c r="M11" s="9"/>
    </row>
    <row r="12" spans="1:16">
      <c r="A12" s="5">
        <v>56.8</v>
      </c>
      <c r="B12" s="2">
        <v>15.989000000000001</v>
      </c>
      <c r="C12" s="23">
        <v>15.707000000000001</v>
      </c>
      <c r="D12" s="31">
        <f t="shared" si="0"/>
        <v>0.28200000000000003</v>
      </c>
      <c r="E12" s="28"/>
      <c r="G12" t="s">
        <v>39</v>
      </c>
      <c r="M12" s="9"/>
    </row>
    <row r="13" spans="1:16">
      <c r="A13" s="5">
        <v>69.2</v>
      </c>
      <c r="B13" s="2">
        <v>16.204000000000001</v>
      </c>
      <c r="C13" s="23">
        <v>15.898</v>
      </c>
      <c r="D13" s="31">
        <f t="shared" si="0"/>
        <v>0.30600000000000094</v>
      </c>
      <c r="E13" s="28"/>
      <c r="G13" t="s">
        <v>40</v>
      </c>
      <c r="M13" s="9"/>
    </row>
    <row r="14" spans="1:16">
      <c r="A14" s="5">
        <v>83.5</v>
      </c>
      <c r="B14" s="2">
        <v>16.681999999999999</v>
      </c>
      <c r="C14" s="23">
        <v>16.331</v>
      </c>
      <c r="D14" s="31">
        <f t="shared" si="0"/>
        <v>0.35099999999999909</v>
      </c>
      <c r="E14" s="28"/>
      <c r="F14" s="27"/>
      <c r="G14" t="s">
        <v>41</v>
      </c>
      <c r="M14" s="9"/>
    </row>
    <row r="15" spans="1:16">
      <c r="A15" s="5">
        <v>100</v>
      </c>
      <c r="B15" s="2" t="s">
        <v>2</v>
      </c>
      <c r="C15" s="23">
        <v>18.202000000000002</v>
      </c>
      <c r="D15" s="25"/>
      <c r="E15" s="26"/>
      <c r="F15" s="27"/>
      <c r="G15" t="s">
        <v>42</v>
      </c>
      <c r="M15" s="9"/>
    </row>
    <row r="16" spans="1:16">
      <c r="A16" s="60" t="s">
        <v>46</v>
      </c>
      <c r="C16" s="2"/>
      <c r="D16" s="23"/>
      <c r="E16" s="9"/>
      <c r="F16" s="27"/>
      <c r="M16" s="9"/>
    </row>
    <row r="17" spans="1:16">
      <c r="B17" s="20"/>
      <c r="D17" s="9"/>
      <c r="E17" s="29"/>
      <c r="F17" s="28"/>
      <c r="G17" s="8"/>
      <c r="M17" s="9"/>
    </row>
    <row r="18" spans="1:16">
      <c r="A18" s="74" t="s">
        <v>45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</row>
    <row r="19" spans="1:16">
      <c r="A19" s="16"/>
      <c r="B19" s="10"/>
      <c r="C19" s="16"/>
      <c r="D19" s="16"/>
      <c r="M19" s="9"/>
    </row>
    <row r="20" spans="1:16">
      <c r="M20" s="9"/>
    </row>
    <row r="21" spans="1:16">
      <c r="M21" s="9"/>
    </row>
    <row r="22" spans="1:16">
      <c r="M22" s="9"/>
    </row>
    <row r="23" spans="1:16">
      <c r="M23" s="9"/>
    </row>
    <row r="24" spans="1:16">
      <c r="M24" s="9"/>
    </row>
    <row r="25" spans="1:16">
      <c r="M25" s="9"/>
    </row>
    <row r="26" spans="1:16">
      <c r="M26" s="9"/>
    </row>
    <row r="27" spans="1:16">
      <c r="D27" s="1"/>
      <c r="M27" s="9"/>
    </row>
    <row r="36" spans="2:10">
      <c r="B36" s="10" t="s">
        <v>1</v>
      </c>
    </row>
    <row r="37" spans="2:10" ht="15.6">
      <c r="B37" s="35" t="s">
        <v>3</v>
      </c>
      <c r="C37" s="35"/>
      <c r="D37" s="59"/>
      <c r="E37" s="35" t="s">
        <v>50</v>
      </c>
    </row>
    <row r="38" spans="2:10" ht="15.6">
      <c r="B38" t="s">
        <v>23</v>
      </c>
      <c r="D38" s="5"/>
      <c r="E38" s="7">
        <f>TREND(B9:B14,C9:C14,C15,1)</f>
        <v>18.74185700390117</v>
      </c>
    </row>
    <row r="39" spans="2:10">
      <c r="B39" s="9" t="s">
        <v>24</v>
      </c>
      <c r="C39" s="9"/>
      <c r="D39" s="5"/>
      <c r="E39" s="27">
        <f>0.000000134*100^3 + 0.00002251*100^2 - 0.002602*100 + 0.3334+C15</f>
        <v>18.634300000000003</v>
      </c>
      <c r="F39" s="9"/>
    </row>
    <row r="40" spans="2:10" ht="15.6">
      <c r="B40" s="32" t="s">
        <v>4</v>
      </c>
      <c r="C40" s="32"/>
      <c r="D40" s="34"/>
      <c r="E40" s="33">
        <f>0.0004756*A15^2-0.0403655*A15+16.7325424</f>
        <v>17.451992400000002</v>
      </c>
      <c r="F40" s="9" t="s">
        <v>48</v>
      </c>
    </row>
    <row r="42" spans="2:10" ht="15.6">
      <c r="B42" s="17" t="s">
        <v>5</v>
      </c>
      <c r="C42" s="18"/>
      <c r="D42" s="17"/>
      <c r="E42" s="17"/>
      <c r="F42" s="17"/>
      <c r="G42" s="17"/>
      <c r="H42" s="17"/>
      <c r="I42" s="17"/>
      <c r="J42" s="19">
        <v>18.7</v>
      </c>
    </row>
    <row r="43" spans="2:10">
      <c r="B43" s="17" t="s">
        <v>49</v>
      </c>
      <c r="C43" s="18"/>
      <c r="D43" s="17"/>
      <c r="E43" s="17"/>
      <c r="F43" s="17"/>
      <c r="G43" s="17"/>
      <c r="H43" s="17"/>
      <c r="I43" s="17"/>
      <c r="J43" s="19">
        <v>1.2</v>
      </c>
    </row>
  </sheetData>
  <mergeCells count="2">
    <mergeCell ref="A3:P3"/>
    <mergeCell ref="A18:P18"/>
  </mergeCells>
  <pageMargins left="0.7" right="0.7" top="0.75" bottom="0.75" header="0.3" footer="0.3"/>
  <pageSetup paperSize="9" orientation="portrait" r:id="rId1"/>
  <drawing r:id="rId2"/>
  <legacyDrawing r:id="rId3"/>
  <oleObjects>
    <oleObject progId="Equation.3" shapeId="1025" r:id="rId4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A1:R28"/>
  <sheetViews>
    <sheetView workbookViewId="0"/>
  </sheetViews>
  <sheetFormatPr baseColWidth="10" defaultColWidth="8.88671875" defaultRowHeight="14.4"/>
  <cols>
    <col min="1" max="1" width="13.33203125" customWidth="1"/>
    <col min="2" max="2" width="12" bestFit="1" customWidth="1"/>
    <col min="3" max="3" width="9.44140625" bestFit="1" customWidth="1"/>
    <col min="4" max="4" width="8.44140625" bestFit="1" customWidth="1"/>
    <col min="5" max="5" width="5.109375" bestFit="1" customWidth="1"/>
    <col min="7" max="7" width="13.33203125" bestFit="1" customWidth="1"/>
    <col min="8" max="8" width="11.6640625" bestFit="1" customWidth="1"/>
    <col min="9" max="9" width="10.6640625" customWidth="1"/>
    <col min="10" max="10" width="8.109375" bestFit="1" customWidth="1"/>
    <col min="11" max="11" width="12.109375" bestFit="1" customWidth="1"/>
  </cols>
  <sheetData>
    <row r="1" spans="1:18">
      <c r="A1" s="3" t="s">
        <v>25</v>
      </c>
    </row>
    <row r="2" spans="1:18">
      <c r="A2" s="3"/>
    </row>
    <row r="3" spans="1:18">
      <c r="A3" s="3"/>
    </row>
    <row r="4" spans="1:18">
      <c r="A4" s="3"/>
    </row>
    <row r="5" spans="1:18">
      <c r="A5" s="3"/>
    </row>
    <row r="7" spans="1:18">
      <c r="A7" s="75" t="s">
        <v>21</v>
      </c>
      <c r="B7" s="76"/>
      <c r="C7" s="76"/>
      <c r="D7" s="76"/>
      <c r="E7" s="77"/>
      <c r="G7" s="75" t="s">
        <v>53</v>
      </c>
      <c r="H7" s="76"/>
      <c r="I7" s="76"/>
      <c r="J7" s="76"/>
      <c r="K7" s="77"/>
    </row>
    <row r="8" spans="1:18">
      <c r="A8" s="36"/>
      <c r="B8" s="9"/>
      <c r="C8" s="9"/>
      <c r="D8" s="9"/>
      <c r="E8" s="5"/>
      <c r="G8" s="36"/>
      <c r="H8" s="9"/>
      <c r="I8" s="9"/>
      <c r="J8" s="9"/>
      <c r="K8" s="5"/>
      <c r="P8" s="8"/>
      <c r="Q8" s="4"/>
      <c r="R8" s="6"/>
    </row>
    <row r="9" spans="1:18" ht="18">
      <c r="A9" s="45"/>
      <c r="B9" s="46" t="s">
        <v>7</v>
      </c>
      <c r="C9" s="46" t="s">
        <v>8</v>
      </c>
      <c r="D9" s="46" t="s">
        <v>9</v>
      </c>
      <c r="E9" s="47" t="s">
        <v>27</v>
      </c>
      <c r="F9" s="48"/>
      <c r="G9" s="49"/>
      <c r="H9" s="46" t="s">
        <v>7</v>
      </c>
      <c r="I9" s="46" t="s">
        <v>20</v>
      </c>
      <c r="J9" s="46" t="s">
        <v>9</v>
      </c>
      <c r="K9" s="47" t="s">
        <v>27</v>
      </c>
      <c r="P9" s="8"/>
    </row>
    <row r="10" spans="1:18" ht="18">
      <c r="A10" s="61" t="s">
        <v>28</v>
      </c>
      <c r="B10" s="50">
        <v>941.60900000000004</v>
      </c>
      <c r="C10" s="50">
        <v>1</v>
      </c>
      <c r="D10" s="50">
        <v>0</v>
      </c>
      <c r="E10" s="51">
        <v>0</v>
      </c>
      <c r="F10" s="52"/>
      <c r="G10" s="61" t="s">
        <v>29</v>
      </c>
      <c r="H10" s="50">
        <v>847.55499999999995</v>
      </c>
      <c r="I10" s="50">
        <v>1</v>
      </c>
      <c r="J10" s="50">
        <v>0</v>
      </c>
      <c r="K10" s="51">
        <v>211.44800000000001</v>
      </c>
      <c r="R10" s="65"/>
    </row>
    <row r="11" spans="1:18" ht="18">
      <c r="A11" s="61" t="s">
        <v>30</v>
      </c>
      <c r="B11" s="50" t="s">
        <v>31</v>
      </c>
      <c r="C11" s="50" t="s">
        <v>32</v>
      </c>
      <c r="D11" s="53" t="s">
        <v>10</v>
      </c>
      <c r="E11" s="54" t="s">
        <v>10</v>
      </c>
      <c r="F11" s="52"/>
      <c r="G11" s="61" t="s">
        <v>33</v>
      </c>
      <c r="H11" s="50" t="s">
        <v>34</v>
      </c>
      <c r="I11" s="50" t="s">
        <v>32</v>
      </c>
      <c r="J11" s="53" t="s">
        <v>10</v>
      </c>
      <c r="K11" s="51" t="s">
        <v>35</v>
      </c>
      <c r="R11" s="65"/>
    </row>
    <row r="12" spans="1:18">
      <c r="A12" s="36"/>
      <c r="B12" s="9"/>
      <c r="C12" s="9"/>
      <c r="D12" s="9"/>
      <c r="E12" s="5"/>
      <c r="G12" s="36"/>
      <c r="H12" s="9"/>
      <c r="I12" s="9"/>
      <c r="J12" s="9"/>
      <c r="K12" s="5"/>
    </row>
    <row r="13" spans="1:18" ht="15" customHeight="1">
      <c r="A13" s="36"/>
      <c r="B13" s="24" t="s">
        <v>12</v>
      </c>
      <c r="C13" s="24" t="s">
        <v>26</v>
      </c>
      <c r="D13" s="24" t="s">
        <v>56</v>
      </c>
      <c r="E13" s="64" t="s">
        <v>58</v>
      </c>
      <c r="G13" s="78" t="s">
        <v>47</v>
      </c>
      <c r="H13" s="79"/>
      <c r="I13" s="79"/>
      <c r="J13" s="79"/>
      <c r="K13" s="80"/>
    </row>
    <row r="14" spans="1:18" ht="18" customHeight="1">
      <c r="A14" s="40" t="s">
        <v>11</v>
      </c>
      <c r="B14" s="23">
        <f>pKa!J42</f>
        <v>18.7</v>
      </c>
      <c r="C14" s="23">
        <f>pKa!J43</f>
        <v>1.2</v>
      </c>
      <c r="D14" s="23">
        <f>B14-C14</f>
        <v>17.5</v>
      </c>
      <c r="E14" s="11">
        <f>B14+C14</f>
        <v>19.899999999999999</v>
      </c>
      <c r="G14" s="78"/>
      <c r="H14" s="79"/>
      <c r="I14" s="79"/>
      <c r="J14" s="79"/>
      <c r="K14" s="80"/>
    </row>
    <row r="15" spans="1:18" ht="15.6">
      <c r="A15" s="40" t="s">
        <v>52</v>
      </c>
      <c r="B15" s="27">
        <f>pKa!C15</f>
        <v>18.202000000000002</v>
      </c>
      <c r="C15" s="20">
        <v>0.5</v>
      </c>
      <c r="D15" s="27">
        <f>B15-C15</f>
        <v>17.702000000000002</v>
      </c>
      <c r="E15" s="11">
        <f>B15+C15</f>
        <v>18.702000000000002</v>
      </c>
      <c r="F15" s="62"/>
      <c r="H15" s="24" t="s">
        <v>12</v>
      </c>
      <c r="I15" s="24" t="s">
        <v>26</v>
      </c>
      <c r="J15" s="24" t="s">
        <v>56</v>
      </c>
      <c r="K15" s="64" t="s">
        <v>58</v>
      </c>
    </row>
    <row r="16" spans="1:18" ht="15.6">
      <c r="A16" s="38" t="s">
        <v>55</v>
      </c>
      <c r="B16" s="27">
        <f>B15-B14</f>
        <v>-0.49799999999999756</v>
      </c>
      <c r="C16" s="20">
        <f>SQRT(SUMSQ(C14:C15))</f>
        <v>1.3</v>
      </c>
      <c r="D16" s="27">
        <f>B16-C16</f>
        <v>-1.7979999999999976</v>
      </c>
      <c r="E16" s="55">
        <f>B16+C16</f>
        <v>0.80200000000000249</v>
      </c>
      <c r="G16" s="38" t="s">
        <v>55</v>
      </c>
      <c r="H16" s="27">
        <f>-(0.000000134*80^3+0.00002251*80^2-0.002602*80+0.3334)</f>
        <v>-0.33791199999999999</v>
      </c>
      <c r="I16" s="33">
        <f>SQRT(0.5^2+0.5^2)</f>
        <v>0.70710678118654757</v>
      </c>
      <c r="J16" s="27">
        <f>H16-I16</f>
        <v>-1.0450187811865477</v>
      </c>
      <c r="K16" s="55">
        <f>H16+I16</f>
        <v>0.36919478118654758</v>
      </c>
    </row>
    <row r="17" spans="1:11">
      <c r="A17" s="36"/>
      <c r="B17" s="9"/>
      <c r="C17" s="9"/>
      <c r="D17" s="9"/>
      <c r="E17" s="5"/>
      <c r="G17" s="36"/>
      <c r="H17" s="9"/>
      <c r="I17" s="9"/>
      <c r="J17" s="9"/>
      <c r="K17" s="5"/>
    </row>
    <row r="18" spans="1:11">
      <c r="A18" s="36"/>
      <c r="B18" s="37" t="s">
        <v>56</v>
      </c>
      <c r="C18" s="37" t="s">
        <v>57</v>
      </c>
      <c r="D18" s="37" t="s">
        <v>58</v>
      </c>
      <c r="E18" s="5"/>
      <c r="F18" s="6"/>
      <c r="G18" s="36"/>
      <c r="H18" s="37" t="s">
        <v>56</v>
      </c>
      <c r="I18" s="37" t="s">
        <v>57</v>
      </c>
      <c r="J18" s="37" t="s">
        <v>58</v>
      </c>
      <c r="K18" s="5"/>
    </row>
    <row r="19" spans="1:11" ht="15.6">
      <c r="A19" s="38" t="s">
        <v>16</v>
      </c>
      <c r="B19" s="30">
        <f>10^(-E16)</f>
        <v>0.15776112696993391</v>
      </c>
      <c r="C19" s="27">
        <f>10^(-B16)</f>
        <v>3.1477483141012983</v>
      </c>
      <c r="D19" s="39">
        <f>10^(-D16)</f>
        <v>62.805835881331461</v>
      </c>
      <c r="E19" s="5"/>
      <c r="G19" s="38" t="s">
        <v>16</v>
      </c>
      <c r="H19" s="30">
        <f>10^(-K16)</f>
        <v>0.42737116708369943</v>
      </c>
      <c r="I19" s="27">
        <f>10^(-H16)</f>
        <v>2.1772685531950686</v>
      </c>
      <c r="J19" s="39">
        <f>10^(-J16)</f>
        <v>11.092227828752275</v>
      </c>
      <c r="K19" s="5"/>
    </row>
    <row r="20" spans="1:11">
      <c r="A20" s="38"/>
      <c r="B20" s="81" t="s">
        <v>54</v>
      </c>
      <c r="C20" s="81"/>
      <c r="D20" s="81"/>
      <c r="E20" s="5"/>
      <c r="G20" s="38"/>
      <c r="H20" s="81" t="s">
        <v>54</v>
      </c>
      <c r="I20" s="81"/>
      <c r="J20" s="81"/>
      <c r="K20" s="5"/>
    </row>
    <row r="21" spans="1:11">
      <c r="A21" s="40" t="s">
        <v>13</v>
      </c>
      <c r="B21" s="31">
        <f>B19-1</f>
        <v>-0.84223887303006606</v>
      </c>
      <c r="C21" s="27">
        <f>C19-1</f>
        <v>2.1477483141012983</v>
      </c>
      <c r="D21" s="27">
        <f>D19-1</f>
        <v>61.805835881331461</v>
      </c>
      <c r="E21" s="5"/>
      <c r="G21" s="40" t="s">
        <v>13</v>
      </c>
      <c r="H21" s="31">
        <f>H19-1</f>
        <v>-0.57262883291630051</v>
      </c>
      <c r="I21" s="31">
        <f>I19-1</f>
        <v>1.1772685531950686</v>
      </c>
      <c r="J21" s="31">
        <f>J19-1</f>
        <v>10.092227828752275</v>
      </c>
      <c r="K21" s="5"/>
    </row>
    <row r="22" spans="1:11">
      <c r="A22" s="40" t="s">
        <v>14</v>
      </c>
      <c r="B22" s="39">
        <f>(-$B$10-1)*B19</f>
        <v>-148.70705813200243</v>
      </c>
      <c r="C22" s="39">
        <f>(-$B$10-1)*C19</f>
        <v>-2967.0958906067108</v>
      </c>
      <c r="D22" s="39">
        <f>(-$B$10-1)*D19</f>
        <v>-59201.346154265972</v>
      </c>
      <c r="E22" s="5"/>
      <c r="G22" s="40" t="s">
        <v>14</v>
      </c>
      <c r="H22" s="39">
        <f>-$H$10*H19-H19-$K$10</f>
        <v>-574.09594068470858</v>
      </c>
      <c r="I22" s="39">
        <f>-$H$10*I19-I19-$K$10</f>
        <v>-2058.9801171564413</v>
      </c>
      <c r="J22" s="39">
        <f>-$H$10*J19-J19-$K$10</f>
        <v>-9623.8133852268875</v>
      </c>
      <c r="K22" s="5"/>
    </row>
    <row r="23" spans="1:11">
      <c r="A23" s="40" t="s">
        <v>15</v>
      </c>
      <c r="B23" s="39">
        <f>$B$10*B19</f>
        <v>148.54929700503251</v>
      </c>
      <c r="C23" s="39">
        <f>$B$10*C19</f>
        <v>2963.9481422926096</v>
      </c>
      <c r="D23" s="39">
        <f>$B$10*D19</f>
        <v>59138.540318384636</v>
      </c>
      <c r="E23" s="5"/>
      <c r="G23" s="40" t="s">
        <v>15</v>
      </c>
      <c r="H23" s="39">
        <f>$H$10*H19</f>
        <v>362.22056951762482</v>
      </c>
      <c r="I23" s="39">
        <f>$H$10*I19</f>
        <v>1845.3548486032462</v>
      </c>
      <c r="J23" s="39">
        <f>$H$10*J19</f>
        <v>9401.2731573981346</v>
      </c>
      <c r="K23" s="5"/>
    </row>
    <row r="24" spans="1:11">
      <c r="A24" s="40"/>
      <c r="B24" s="23"/>
      <c r="C24" s="23"/>
      <c r="D24" s="23"/>
      <c r="E24" s="5"/>
      <c r="G24" s="40"/>
      <c r="H24" s="23"/>
      <c r="I24" s="23"/>
      <c r="J24" s="23"/>
      <c r="K24" s="5"/>
    </row>
    <row r="25" spans="1:11">
      <c r="A25" s="38" t="s">
        <v>17</v>
      </c>
      <c r="B25" s="30">
        <f>(-B22-SQRT(B22^2-4*B21*B23))/(2*B21)</f>
        <v>0.99335044199716505</v>
      </c>
      <c r="C25" s="25">
        <f>(-C22-SQRT(C22^2-4*C21*C23))/(2*C21)</f>
        <v>0.99966248156394133</v>
      </c>
      <c r="D25" s="41">
        <f>(-D22-SQRT(D22^2-4*D21*D23))/(2*D21)</f>
        <v>0.99998307314942614</v>
      </c>
      <c r="E25" s="5"/>
      <c r="F25" s="63"/>
      <c r="G25" s="38" t="s">
        <v>17</v>
      </c>
      <c r="H25" s="30">
        <f>(-H22-SQRT(H22^2-4*H21*H23))/(2*H21)</f>
        <v>0.6305442603233038</v>
      </c>
      <c r="I25" s="30">
        <f>(-I22-SQRT(I22^2-4*I21*I23))/(2*I21)</f>
        <v>0.89670679913195062</v>
      </c>
      <c r="J25" s="41">
        <f>(-J22-SQRT(J22^2-4*J21*J23))/(2*J21)</f>
        <v>0.97787887651781547</v>
      </c>
      <c r="K25" s="5"/>
    </row>
    <row r="26" spans="1:11">
      <c r="A26" s="38" t="s">
        <v>18</v>
      </c>
      <c r="B26" s="39">
        <f>B25/(1-B25)</f>
        <v>149.38593536196882</v>
      </c>
      <c r="C26" s="39">
        <f>C25/(1-C25)</f>
        <v>2961.8011188881301</v>
      </c>
      <c r="D26" s="39">
        <f>D25/(1-D25)</f>
        <v>59076.735437931173</v>
      </c>
      <c r="E26" s="5"/>
      <c r="G26" s="38" t="s">
        <v>18</v>
      </c>
      <c r="H26" s="39">
        <f>H25/(1-H25)</f>
        <v>1.7066841643198756</v>
      </c>
      <c r="I26" s="39">
        <f>I25/(1-I25)</f>
        <v>8.6811793186410942</v>
      </c>
      <c r="J26" s="39">
        <f>J25/(1-J25)</f>
        <v>44.205660589768861</v>
      </c>
      <c r="K26" s="5"/>
    </row>
    <row r="27" spans="1:11" ht="15.6">
      <c r="A27" s="38" t="s">
        <v>19</v>
      </c>
      <c r="B27" s="57">
        <f>B26*0.08</f>
        <v>11.950874828957506</v>
      </c>
      <c r="C27" s="39">
        <f>C26*0.08</f>
        <v>236.94408951105041</v>
      </c>
      <c r="D27" s="39">
        <f>D26*0.08</f>
        <v>4726.1388350344942</v>
      </c>
      <c r="E27" s="5"/>
      <c r="G27" s="38" t="s">
        <v>19</v>
      </c>
      <c r="H27" s="56">
        <f>H26*0.08</f>
        <v>0.13653473314559006</v>
      </c>
      <c r="I27" s="27">
        <f>I26*0.08</f>
        <v>0.69449434549128752</v>
      </c>
      <c r="J27" s="27">
        <f>J26*0.08</f>
        <v>3.5364528471815091</v>
      </c>
      <c r="K27" s="5"/>
    </row>
    <row r="28" spans="1:11">
      <c r="A28" s="42"/>
      <c r="B28" s="43"/>
      <c r="C28" s="43"/>
      <c r="D28" s="43"/>
      <c r="E28" s="44"/>
      <c r="G28" s="42"/>
      <c r="H28" s="43"/>
      <c r="I28" s="43"/>
      <c r="J28" s="43"/>
      <c r="K28" s="44"/>
    </row>
  </sheetData>
  <mergeCells count="5">
    <mergeCell ref="A7:E7"/>
    <mergeCell ref="G7:K7"/>
    <mergeCell ref="G13:K14"/>
    <mergeCell ref="B20:D20"/>
    <mergeCell ref="H20:J20"/>
  </mergeCells>
  <pageMargins left="0.7" right="0.7" top="0.75" bottom="0.75" header="0.3" footer="0.3"/>
  <pageSetup paperSize="9" orientation="portrait" r:id="rId1"/>
  <legacyDrawing r:id="rId2"/>
  <oleObjects>
    <oleObject progId="Equation.3" shapeId="2052" r:id="rId3"/>
    <oleObject progId="Equation.3" shapeId="2055" r:id="rId4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Title_page</vt:lpstr>
      <vt:lpstr>pKa</vt:lpstr>
      <vt:lpstr>Rate_constant_ratios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Sofja</dc:creator>
  <cp:lastModifiedBy>Giovanni</cp:lastModifiedBy>
  <dcterms:created xsi:type="dcterms:W3CDTF">2017-10-16T13:15:02Z</dcterms:created>
  <dcterms:modified xsi:type="dcterms:W3CDTF">2018-01-28T17:31:48Z</dcterms:modified>
</cp:coreProperties>
</file>