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dsay\Desktop\Mark\Mark's paper November 2017\"/>
    </mc:Choice>
  </mc:AlternateContent>
  <bookViews>
    <workbookView xWindow="0" yWindow="0" windowWidth="20490" windowHeight="7755"/>
  </bookViews>
  <sheets>
    <sheet name="Summary_paper" sheetId="1" r:id="rId1"/>
  </sheets>
  <calcPr calcId="152511" fullCalcOnLoad="1"/>
</workbook>
</file>

<file path=xl/calcChain.xml><?xml version="1.0" encoding="utf-8"?>
<calcChain xmlns="http://schemas.openxmlformats.org/spreadsheetml/2006/main">
  <c r="L42" i="1" l="1"/>
  <c r="N42" i="1" s="1"/>
  <c r="P42" i="1" s="1"/>
  <c r="K42" i="1"/>
  <c r="I42" i="1"/>
  <c r="M42" i="1" s="1"/>
  <c r="O42" i="1" s="1"/>
  <c r="Q42" i="1" s="1"/>
  <c r="L41" i="1"/>
  <c r="N41" i="1" s="1"/>
  <c r="P41" i="1" s="1"/>
  <c r="R41" i="1" s="1"/>
  <c r="K41" i="1"/>
  <c r="I41" i="1"/>
  <c r="M41" i="1" s="1"/>
  <c r="O41" i="1" s="1"/>
  <c r="F41" i="1"/>
  <c r="L40" i="1"/>
  <c r="N40" i="1" s="1"/>
  <c r="P40" i="1" s="1"/>
  <c r="K40" i="1"/>
  <c r="I40" i="1"/>
  <c r="M40" i="1" s="1"/>
  <c r="O40" i="1" s="1"/>
  <c r="Q40" i="1" s="1"/>
  <c r="F40" i="1"/>
  <c r="M39" i="1"/>
  <c r="O39" i="1" s="1"/>
  <c r="L39" i="1"/>
  <c r="N39" i="1" s="1"/>
  <c r="P39" i="1" s="1"/>
  <c r="K39" i="1"/>
  <c r="I39" i="1"/>
  <c r="F39" i="1"/>
  <c r="N38" i="1"/>
  <c r="P38" i="1" s="1"/>
  <c r="M38" i="1"/>
  <c r="O38" i="1" s="1"/>
  <c r="Q38" i="1" s="1"/>
  <c r="L38" i="1"/>
  <c r="K38" i="1"/>
  <c r="I38" i="1"/>
  <c r="F38" i="1"/>
  <c r="N37" i="1"/>
  <c r="P37" i="1" s="1"/>
  <c r="R37" i="1" s="1"/>
  <c r="L37" i="1"/>
  <c r="K37" i="1"/>
  <c r="I37" i="1"/>
  <c r="M37" i="1" s="1"/>
  <c r="O37" i="1" s="1"/>
  <c r="F37" i="1"/>
  <c r="L36" i="1"/>
  <c r="N36" i="1" s="1"/>
  <c r="P36" i="1" s="1"/>
  <c r="K36" i="1"/>
  <c r="M36" i="1" s="1"/>
  <c r="O36" i="1" s="1"/>
  <c r="Q36" i="1" s="1"/>
  <c r="I36" i="1"/>
  <c r="L35" i="1"/>
  <c r="N35" i="1" s="1"/>
  <c r="P35" i="1" s="1"/>
  <c r="R35" i="1" s="1"/>
  <c r="K35" i="1"/>
  <c r="I35" i="1"/>
  <c r="M35" i="1" s="1"/>
  <c r="O35" i="1" s="1"/>
  <c r="L34" i="1"/>
  <c r="N34" i="1" s="1"/>
  <c r="P34" i="1" s="1"/>
  <c r="R34" i="1" s="1"/>
  <c r="K34" i="1"/>
  <c r="I34" i="1"/>
  <c r="M34" i="1" s="1"/>
  <c r="O34" i="1" s="1"/>
  <c r="Q34" i="1" s="1"/>
  <c r="F34" i="1"/>
  <c r="N33" i="1"/>
  <c r="P33" i="1" s="1"/>
  <c r="R33" i="1" s="1"/>
  <c r="L33" i="1"/>
  <c r="K33" i="1"/>
  <c r="I33" i="1"/>
  <c r="M33" i="1" s="1"/>
  <c r="O33" i="1" s="1"/>
  <c r="Q33" i="1" s="1"/>
  <c r="F33" i="1"/>
  <c r="L32" i="1"/>
  <c r="N32" i="1" s="1"/>
  <c r="P32" i="1" s="1"/>
  <c r="R32" i="1" s="1"/>
  <c r="K32" i="1"/>
  <c r="I32" i="1"/>
  <c r="M32" i="1" s="1"/>
  <c r="O32" i="1" s="1"/>
  <c r="Q32" i="1" s="1"/>
  <c r="M31" i="1"/>
  <c r="O31" i="1" s="1"/>
  <c r="Q31" i="1" s="1"/>
  <c r="L31" i="1"/>
  <c r="N31" i="1" s="1"/>
  <c r="P31" i="1" s="1"/>
  <c r="R31" i="1" s="1"/>
  <c r="K31" i="1"/>
  <c r="I31" i="1"/>
  <c r="F31" i="1"/>
  <c r="N30" i="1"/>
  <c r="P30" i="1" s="1"/>
  <c r="R30" i="1" s="1"/>
  <c r="L30" i="1"/>
  <c r="K30" i="1"/>
  <c r="I30" i="1"/>
  <c r="M30" i="1" s="1"/>
  <c r="O30" i="1" s="1"/>
  <c r="Q30" i="1" s="1"/>
  <c r="F30" i="1"/>
  <c r="M29" i="1"/>
  <c r="O29" i="1" s="1"/>
  <c r="Q29" i="1" s="1"/>
  <c r="L29" i="1"/>
  <c r="N29" i="1" s="1"/>
  <c r="P29" i="1" s="1"/>
  <c r="R29" i="1" s="1"/>
  <c r="K29" i="1"/>
  <c r="I29" i="1"/>
  <c r="F29" i="1"/>
  <c r="N28" i="1"/>
  <c r="P28" i="1" s="1"/>
  <c r="R28" i="1" s="1"/>
  <c r="L28" i="1"/>
  <c r="K28" i="1"/>
  <c r="I28" i="1"/>
  <c r="M28" i="1" s="1"/>
  <c r="O28" i="1" s="1"/>
  <c r="Q28" i="1" s="1"/>
  <c r="F28" i="1"/>
  <c r="M27" i="1"/>
  <c r="O27" i="1" s="1"/>
  <c r="Q27" i="1" s="1"/>
  <c r="L27" i="1"/>
  <c r="N27" i="1" s="1"/>
  <c r="P27" i="1" s="1"/>
  <c r="R27" i="1" s="1"/>
  <c r="K27" i="1"/>
  <c r="I27" i="1"/>
  <c r="F27" i="1"/>
  <c r="N26" i="1"/>
  <c r="P26" i="1" s="1"/>
  <c r="R26" i="1" s="1"/>
  <c r="L26" i="1"/>
  <c r="K26" i="1"/>
  <c r="I26" i="1"/>
  <c r="M26" i="1" s="1"/>
  <c r="O26" i="1" s="1"/>
  <c r="Q26" i="1" s="1"/>
  <c r="F26" i="1"/>
  <c r="L25" i="1"/>
  <c r="N25" i="1" s="1"/>
  <c r="P25" i="1" s="1"/>
  <c r="R25" i="1" s="1"/>
  <c r="K25" i="1"/>
  <c r="I25" i="1"/>
  <c r="M25" i="1" s="1"/>
  <c r="O25" i="1" s="1"/>
  <c r="Q25" i="1" s="1"/>
  <c r="F25" i="1"/>
  <c r="L24" i="1"/>
  <c r="N24" i="1" s="1"/>
  <c r="P24" i="1" s="1"/>
  <c r="R24" i="1" s="1"/>
  <c r="K24" i="1"/>
  <c r="I24" i="1"/>
  <c r="M24" i="1" s="1"/>
  <c r="O24" i="1" s="1"/>
  <c r="Q24" i="1" s="1"/>
  <c r="F24" i="1"/>
  <c r="N23" i="1"/>
  <c r="P23" i="1" s="1"/>
  <c r="R23" i="1" s="1"/>
  <c r="L23" i="1"/>
  <c r="K23" i="1"/>
  <c r="I23" i="1"/>
  <c r="M23" i="1" s="1"/>
  <c r="O23" i="1" s="1"/>
  <c r="Q23" i="1" s="1"/>
  <c r="F23" i="1"/>
  <c r="L22" i="1"/>
  <c r="N22" i="1" s="1"/>
  <c r="P22" i="1" s="1"/>
  <c r="R22" i="1" s="1"/>
  <c r="K22" i="1"/>
  <c r="M22" i="1" s="1"/>
  <c r="O22" i="1" s="1"/>
  <c r="Q22" i="1" s="1"/>
  <c r="I22" i="1"/>
  <c r="F22" i="1"/>
  <c r="N21" i="1"/>
  <c r="P21" i="1" s="1"/>
  <c r="R21" i="1" s="1"/>
  <c r="L21" i="1"/>
  <c r="K21" i="1"/>
  <c r="I21" i="1"/>
  <c r="M21" i="1" s="1"/>
  <c r="O21" i="1" s="1"/>
  <c r="Q21" i="1" s="1"/>
  <c r="F21" i="1"/>
  <c r="L20" i="1"/>
  <c r="N20" i="1" s="1"/>
  <c r="P20" i="1" s="1"/>
  <c r="R20" i="1" s="1"/>
  <c r="K20" i="1"/>
  <c r="M20" i="1" s="1"/>
  <c r="O20" i="1" s="1"/>
  <c r="Q20" i="1" s="1"/>
  <c r="I20" i="1"/>
  <c r="F20" i="1"/>
  <c r="N19" i="1"/>
  <c r="P19" i="1" s="1"/>
  <c r="R19" i="1" s="1"/>
  <c r="L19" i="1"/>
  <c r="K19" i="1"/>
  <c r="I19" i="1"/>
  <c r="M19" i="1" s="1"/>
  <c r="O19" i="1" s="1"/>
  <c r="Q19" i="1" s="1"/>
  <c r="N18" i="1"/>
  <c r="P18" i="1" s="1"/>
  <c r="R18" i="1" s="1"/>
  <c r="L18" i="1"/>
  <c r="K18" i="1"/>
  <c r="I18" i="1"/>
  <c r="M18" i="1" s="1"/>
  <c r="O18" i="1" s="1"/>
  <c r="Q18" i="1" s="1"/>
  <c r="L17" i="1"/>
  <c r="N17" i="1" s="1"/>
  <c r="P17" i="1" s="1"/>
  <c r="R17" i="1" s="1"/>
  <c r="K17" i="1"/>
  <c r="M17" i="1" s="1"/>
  <c r="O17" i="1" s="1"/>
  <c r="Q17" i="1" s="1"/>
  <c r="I17" i="1"/>
  <c r="F17" i="1"/>
  <c r="N16" i="1"/>
  <c r="P16" i="1" s="1"/>
  <c r="R16" i="1" s="1"/>
  <c r="L16" i="1"/>
  <c r="K16" i="1"/>
  <c r="I16" i="1"/>
  <c r="M16" i="1" s="1"/>
  <c r="O16" i="1" s="1"/>
  <c r="Q16" i="1" s="1"/>
  <c r="F16" i="1"/>
  <c r="L15" i="1"/>
  <c r="N15" i="1" s="1"/>
  <c r="P15" i="1" s="1"/>
  <c r="R15" i="1" s="1"/>
  <c r="K15" i="1"/>
  <c r="I15" i="1"/>
  <c r="M15" i="1" s="1"/>
  <c r="O15" i="1" s="1"/>
  <c r="Q15" i="1" s="1"/>
  <c r="F15" i="1"/>
  <c r="N14" i="1"/>
  <c r="P14" i="1" s="1"/>
  <c r="R14" i="1" s="1"/>
  <c r="L14" i="1"/>
  <c r="K14" i="1"/>
  <c r="I14" i="1"/>
  <c r="M14" i="1" s="1"/>
  <c r="O14" i="1" s="1"/>
  <c r="Q14" i="1" s="1"/>
  <c r="F14" i="1"/>
  <c r="L13" i="1"/>
  <c r="N13" i="1" s="1"/>
  <c r="P13" i="1" s="1"/>
  <c r="R13" i="1" s="1"/>
  <c r="K13" i="1"/>
  <c r="I13" i="1"/>
  <c r="M13" i="1" s="1"/>
  <c r="O13" i="1" s="1"/>
  <c r="Q13" i="1" s="1"/>
  <c r="F13" i="1"/>
  <c r="N12" i="1"/>
  <c r="P12" i="1" s="1"/>
  <c r="R12" i="1" s="1"/>
  <c r="L12" i="1"/>
  <c r="K12" i="1"/>
  <c r="I12" i="1"/>
  <c r="M12" i="1" s="1"/>
  <c r="O12" i="1" s="1"/>
  <c r="Q12" i="1" s="1"/>
  <c r="N11" i="1"/>
  <c r="P11" i="1" s="1"/>
  <c r="R11" i="1" s="1"/>
  <c r="L11" i="1"/>
  <c r="K11" i="1"/>
  <c r="I11" i="1"/>
  <c r="M11" i="1" s="1"/>
  <c r="O11" i="1" s="1"/>
  <c r="Q11" i="1" s="1"/>
  <c r="F11" i="1"/>
  <c r="M10" i="1"/>
  <c r="O10" i="1" s="1"/>
  <c r="Q10" i="1" s="1"/>
  <c r="L10" i="1"/>
  <c r="N10" i="1" s="1"/>
  <c r="P10" i="1" s="1"/>
  <c r="R10" i="1" s="1"/>
  <c r="K10" i="1"/>
  <c r="I10" i="1"/>
  <c r="F10" i="1"/>
  <c r="N9" i="1"/>
  <c r="P9" i="1" s="1"/>
  <c r="R9" i="1" s="1"/>
  <c r="L9" i="1"/>
  <c r="K9" i="1"/>
  <c r="I9" i="1"/>
  <c r="M9" i="1" s="1"/>
  <c r="O9" i="1" s="1"/>
  <c r="Q9" i="1" s="1"/>
  <c r="F9" i="1"/>
  <c r="M8" i="1"/>
  <c r="O8" i="1" s="1"/>
  <c r="Q8" i="1" s="1"/>
  <c r="L8" i="1"/>
  <c r="N8" i="1" s="1"/>
  <c r="P8" i="1" s="1"/>
  <c r="R8" i="1" s="1"/>
  <c r="K8" i="1"/>
  <c r="I8" i="1"/>
  <c r="F8" i="1"/>
  <c r="N7" i="1"/>
  <c r="P7" i="1" s="1"/>
  <c r="R7" i="1" s="1"/>
  <c r="L7" i="1"/>
  <c r="K7" i="1"/>
  <c r="I7" i="1"/>
  <c r="M7" i="1" s="1"/>
  <c r="O7" i="1" s="1"/>
  <c r="Q7" i="1" s="1"/>
  <c r="F7" i="1"/>
  <c r="M6" i="1"/>
  <c r="O6" i="1" s="1"/>
  <c r="Q6" i="1" s="1"/>
  <c r="L6" i="1"/>
  <c r="N6" i="1" s="1"/>
  <c r="P6" i="1" s="1"/>
  <c r="R6" i="1" s="1"/>
  <c r="K6" i="1"/>
  <c r="I6" i="1"/>
  <c r="N5" i="1"/>
  <c r="P5" i="1" s="1"/>
  <c r="R5" i="1" s="1"/>
  <c r="L5" i="1"/>
  <c r="K5" i="1"/>
  <c r="I5" i="1"/>
  <c r="M5" i="1" s="1"/>
  <c r="O5" i="1" s="1"/>
  <c r="Q5" i="1" s="1"/>
  <c r="F5" i="1"/>
  <c r="L4" i="1"/>
  <c r="N4" i="1" s="1"/>
  <c r="P4" i="1" s="1"/>
  <c r="R4" i="1" s="1"/>
  <c r="K4" i="1"/>
  <c r="I4" i="1"/>
  <c r="M4" i="1" s="1"/>
  <c r="O4" i="1" s="1"/>
  <c r="Q4" i="1" s="1"/>
  <c r="F4" i="1"/>
  <c r="N3" i="1"/>
  <c r="P3" i="1" s="1"/>
  <c r="R3" i="1" s="1"/>
  <c r="L3" i="1"/>
  <c r="K3" i="1"/>
  <c r="I3" i="1"/>
  <c r="M3" i="1" s="1"/>
  <c r="O3" i="1" s="1"/>
  <c r="Q3" i="1" s="1"/>
  <c r="F3" i="1"/>
  <c r="L2" i="1"/>
  <c r="N2" i="1" s="1"/>
  <c r="P2" i="1" s="1"/>
  <c r="R2" i="1" s="1"/>
  <c r="K2" i="1"/>
  <c r="I2" i="1"/>
  <c r="M2" i="1" s="1"/>
  <c r="O2" i="1" s="1"/>
  <c r="Q2" i="1" s="1"/>
</calcChain>
</file>

<file path=xl/sharedStrings.xml><?xml version="1.0" encoding="utf-8"?>
<sst xmlns="http://schemas.openxmlformats.org/spreadsheetml/2006/main" count="163" uniqueCount="80">
  <si>
    <t>synonym</t>
  </si>
  <si>
    <t>charge_type</t>
  </si>
  <si>
    <t>pka_a1 (J. Med. Chem., 2010, 53, 3566)</t>
  </si>
  <si>
    <t>pka_b1 (J. Med. Chem., 2010, 53, 3566)</t>
  </si>
  <si>
    <t>pKa comment (J. Med. Chem., 2010, 53, 3566)</t>
  </si>
  <si>
    <t>fraction neutral pH6.5 (fn)</t>
  </si>
  <si>
    <t>caco2_pH6p5 (A to B) (cm s-1) (J. Med. Chem., 2010, 53, 3566)</t>
  </si>
  <si>
    <t>caco2_pH6p5 (A to B) (cm s-1) (Eur. J. Pharm. Sci., 2013, 49, 679)</t>
  </si>
  <si>
    <t>caco2_pH6p5 (A to B) (cm s-1)</t>
  </si>
  <si>
    <t>(human) peff_pH6p5 (cm s-1) (J. Med. Chem., 2010, 53, 3566)</t>
  </si>
  <si>
    <t>pabl (caco2_pH6.5 (cm s-1)) (average based upon Eur. J. Pharm. Sci., 2013, 49, 679)</t>
  </si>
  <si>
    <t>pabl (peff_pH6.5 (cm s-1)) (average based upon Eur. J. Pharm. Sci., 2013, 49, 679)</t>
  </si>
  <si>
    <t>pm (caco2_pH6p5 (A to B) (cm s-1))</t>
  </si>
  <si>
    <t>pm (human_pH6p5 (cm s-1))</t>
  </si>
  <si>
    <t>pm (caco2_neutral_pH6.5 (A to B) (cm s-1))</t>
  </si>
  <si>
    <t>pm_(human_neutral_pH6p5 (cm s-1))</t>
  </si>
  <si>
    <t>log10(pm_(caco2_neutral_pH6.5 (cm s-1)))</t>
  </si>
  <si>
    <t>log10(pm_(human_neutral_pH6p5 (cm s-1)))</t>
  </si>
  <si>
    <t>acetaminophen</t>
  </si>
  <si>
    <t>neutral</t>
  </si>
  <si>
    <t>Yes</t>
  </si>
  <si>
    <t>alpha-methyl-DOPA</t>
  </si>
  <si>
    <t>zwitterion</t>
  </si>
  <si>
    <t>amiloride</t>
  </si>
  <si>
    <t>monobase</t>
  </si>
  <si>
    <t>amoxicillin</t>
  </si>
  <si>
    <t>antipyrine</t>
  </si>
  <si>
    <t>atenolol</t>
  </si>
  <si>
    <t>benserazide</t>
  </si>
  <si>
    <t>Approximation – dibase</t>
  </si>
  <si>
    <t>cephalexin</t>
  </si>
  <si>
    <t>cimetidine</t>
  </si>
  <si>
    <t>creatinine</t>
  </si>
  <si>
    <t>cyclosporine A</t>
  </si>
  <si>
    <t>desipramine</t>
  </si>
  <si>
    <t>enalapril</t>
  </si>
  <si>
    <t>enalaprilat</t>
  </si>
  <si>
    <t>Approximation – diacid monobase</t>
  </si>
  <si>
    <t>fexofenadine</t>
  </si>
  <si>
    <t>furosemide</t>
  </si>
  <si>
    <t>monoacid</t>
  </si>
  <si>
    <t>griseofulvin</t>
  </si>
  <si>
    <t>hydrochlorothiazide</t>
  </si>
  <si>
    <t>inogatran</t>
  </si>
  <si>
    <t>Approximation – monoacid dibase</t>
  </si>
  <si>
    <t>L-DOPA</t>
  </si>
  <si>
    <t>L-leucine</t>
  </si>
  <si>
    <t>L-phenylalanine</t>
  </si>
  <si>
    <t>lisinopril</t>
  </si>
  <si>
    <t>Approximation – diacid dibase</t>
  </si>
  <si>
    <t>losartan</t>
  </si>
  <si>
    <t>metoprolol</t>
  </si>
  <si>
    <t>piroxicam</t>
  </si>
  <si>
    <t>propranolol</t>
  </si>
  <si>
    <t>ranitidine</t>
  </si>
  <si>
    <t>salicylic acid</t>
  </si>
  <si>
    <t>terbutaline</t>
  </si>
  <si>
    <t>urea</t>
  </si>
  <si>
    <t>valacyclovir</t>
  </si>
  <si>
    <t>verapamil</t>
  </si>
  <si>
    <t>carbamazepine</t>
  </si>
  <si>
    <t>Error 1</t>
  </si>
  <si>
    <t>No</t>
  </si>
  <si>
    <t>D-glucose</t>
  </si>
  <si>
    <t>Error 2</t>
  </si>
  <si>
    <t>fluvastatin</t>
  </si>
  <si>
    <t>ketoprofen</t>
  </si>
  <si>
    <t>naproxen</t>
  </si>
  <si>
    <t>quercetin-3-4'-diglucoside</t>
  </si>
  <si>
    <t>retinoic acid</t>
  </si>
  <si>
    <t>sulforaphane</t>
  </si>
  <si>
    <t>Notes</t>
  </si>
  <si>
    <t>Excluded PEG and water details from J. Med. Chem., 2010, 53, 3566.</t>
  </si>
  <si>
    <t>Considered acidic pKa &lt;= 8.5.</t>
  </si>
  <si>
    <t>Considered basic pKa &gt;= 4.5.</t>
  </si>
  <si>
    <t>A dibase was approximated to a monobase.</t>
  </si>
  <si>
    <t>Amphoteric compounds with more than 2 pKas approximated to a zwitterion.</t>
  </si>
  <si>
    <t>“Error 1” occurs when caco2_pH6.5 &gt;= pabl (caco2_pH6.5): exclude from regression</t>
  </si>
  <si>
    <t>“Error 2” occurs when peff_pH6.5 &gt;= pabl (peff_pH6.5): exclude from regression</t>
  </si>
  <si>
    <t>Use in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</si>
</sst>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E+00"/>
    <numFmt numFmtId="165" formatCode="[$£-809]#,##0.00;[Red]&quot;-&quot;[$£-809]#,##0.00"/>
  </numFmts>
  <fonts count="6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8"/>
      <name val="Liberation Sans"/>
    </font>
    <font>
      <sz val="11"/>
      <name val="Liberation Sans"/>
    </font>
    <font>
      <sz val="8"/>
      <name val="Liberatio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8">
    <xf numFmtId="0" fontId="0" fillId="0" borderId="0" xfId="0"/>
    <xf numFmtId="0" fontId="3" fillId="0" borderId="0" xfId="0" applyFont="1" applyFill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textRotation="90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21"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Liberation Sans"/>
        <scheme val="none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A1:S42" totalsRowShown="0" headerRowDxfId="1" dataDxfId="0">
  <sortState ref="A3:S42">
    <sortCondition descending="1" ref="S2:S42"/>
  </sortState>
  <tableColumns count="19">
    <tableColumn id="1" name="synonym" dataDxfId="20"/>
    <tableColumn id="2" name="charge_type" dataDxfId="19"/>
    <tableColumn id="3" name="pka_a1 (J. Med. Chem., 2010, 53, 3566)" dataDxfId="18"/>
    <tableColumn id="4" name="pka_b1 (J. Med. Chem., 2010, 53, 3566)" dataDxfId="17"/>
    <tableColumn id="5" name="pKa comment (J. Med. Chem., 2010, 53, 3566)" dataDxfId="16"/>
    <tableColumn id="6" name="fraction neutral pH6.5 (fn)" dataDxfId="15"/>
    <tableColumn id="7" name="caco2_pH6p5 (A to B) (cm s-1) (J. Med. Chem., 2010, 53, 3566)" dataDxfId="14"/>
    <tableColumn id="8" name="caco2_pH6p5 (A to B) (cm s-1) (Eur. J. Pharm. Sci., 2013, 49, 679)" dataDxfId="13"/>
    <tableColumn id="9" name="caco2_pH6p5 (A to B) (cm s-1)" dataDxfId="12"/>
    <tableColumn id="10" name="(human) peff_pH6p5 (cm s-1) (J. Med. Chem., 2010, 53, 3566)" dataDxfId="11"/>
    <tableColumn id="11" name="pabl (caco2_pH6.5 (cm s-1)) (average based upon Eur. J. Pharm. Sci., 2013, 49, 679)" dataDxfId="10"/>
    <tableColumn id="12" name="pabl (peff_pH6.5 (cm s-1)) (average based upon Eur. J. Pharm. Sci., 2013, 49, 679)" dataDxfId="9"/>
    <tableColumn id="13" name="pm (caco2_pH6p5 (A to B) (cm s-1))" dataDxfId="8"/>
    <tableColumn id="14" name="pm (human_pH6p5 (cm s-1))" dataDxfId="7"/>
    <tableColumn id="15" name="pm (caco2_neutral_pH6.5 (A to B) (cm s-1))" dataDxfId="6"/>
    <tableColumn id="16" name="pm_(human_neutral_pH6p5 (cm s-1))" dataDxfId="5"/>
    <tableColumn id="17" name="log10(pm_(caco2_neutral_pH6.5 (cm s-1)))" dataDxfId="4"/>
    <tableColumn id="18" name="log10(pm_(human_neutral_pH6p5 (cm s-1)))" dataDxfId="3"/>
    <tableColumn id="19" name="Use in regressio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abSelected="1" zoomScale="80" zoomScaleNormal="80" workbookViewId="0"/>
  </sheetViews>
  <sheetFormatPr defaultRowHeight="14.25"/>
  <cols>
    <col min="1" max="1" width="54.75" style="3" customWidth="1"/>
    <col min="2" max="2" width="8" style="3" customWidth="1"/>
    <col min="3" max="3" width="4.125" style="3" customWidth="1"/>
    <col min="4" max="4" width="4.875" style="3" customWidth="1"/>
    <col min="5" max="5" width="22.375" style="3" customWidth="1"/>
    <col min="6" max="6" width="8.125" style="3" customWidth="1"/>
    <col min="7" max="12" width="7.875" style="3" customWidth="1"/>
    <col min="13" max="15" width="8.375" style="3" customWidth="1"/>
    <col min="16" max="16" width="8.625" style="3" customWidth="1"/>
    <col min="17" max="18" width="5.875" style="3" customWidth="1"/>
    <col min="19" max="19" width="3.75" style="3" customWidth="1"/>
    <col min="20" max="1016" width="10.625" style="3" customWidth="1"/>
    <col min="1017" max="16384" width="9" style="7"/>
  </cols>
  <sheetData>
    <row r="1" spans="1:1016" s="7" customFormat="1" ht="188.8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79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</row>
    <row r="2" spans="1:1016" s="7" customFormat="1">
      <c r="A2" s="3" t="s">
        <v>18</v>
      </c>
      <c r="B2" s="3" t="s">
        <v>19</v>
      </c>
      <c r="C2" s="4"/>
      <c r="D2" s="4"/>
      <c r="E2" s="3"/>
      <c r="F2" s="5">
        <v>1</v>
      </c>
      <c r="G2" s="5">
        <v>9.1201083935591004E-5</v>
      </c>
      <c r="H2" s="5"/>
      <c r="I2" s="5">
        <f t="shared" ref="I2:I9" si="0">G2</f>
        <v>9.1201083935591004E-5</v>
      </c>
      <c r="J2" s="5">
        <v>1.76E-4</v>
      </c>
      <c r="K2" s="5">
        <f t="shared" ref="K2:K42" si="1">2.47/10000</f>
        <v>2.4700000000000004E-4</v>
      </c>
      <c r="L2" s="5">
        <f t="shared" ref="L2:L42" si="2">8.35/10000</f>
        <v>8.3499999999999991E-4</v>
      </c>
      <c r="M2" s="5">
        <f t="shared" ref="M2:M42" si="3">1/((1/I2)-(1/K2))</f>
        <v>1.4458809021994864E-4</v>
      </c>
      <c r="N2" s="5">
        <f t="shared" ref="N2:N42" si="4">1/((1/J2)-(1/L2))</f>
        <v>2.2300455235204855E-4</v>
      </c>
      <c r="O2" s="5">
        <f t="shared" ref="O2:O42" si="5">M2/F2</f>
        <v>1.4458809021994864E-4</v>
      </c>
      <c r="P2" s="5">
        <f t="shared" ref="P2:P42" si="6">N2/F2</f>
        <v>2.2300455235204855E-4</v>
      </c>
      <c r="Q2" s="4">
        <f t="shared" ref="Q2:Q34" si="7">LOG10(O2)</f>
        <v>-3.839867478582121</v>
      </c>
      <c r="R2" s="4">
        <f t="shared" ref="R2:R34" si="8">LOG10(P2)</f>
        <v>-3.6516862712962581</v>
      </c>
      <c r="S2" s="3" t="s">
        <v>20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</row>
    <row r="3" spans="1:1016" s="7" customFormat="1">
      <c r="A3" s="3" t="s">
        <v>21</v>
      </c>
      <c r="B3" s="3" t="s">
        <v>22</v>
      </c>
      <c r="C3" s="4">
        <v>2.21</v>
      </c>
      <c r="D3" s="4">
        <v>8.94</v>
      </c>
      <c r="E3" s="3"/>
      <c r="F3" s="5">
        <f>1/(1+(10^(D3-C3)) + (10^(D3-6.5)) + (10^(6.5-C3)))</f>
        <v>1.8552556162991308E-7</v>
      </c>
      <c r="G3" s="5">
        <v>3.9810717055349698E-7</v>
      </c>
      <c r="H3" s="5"/>
      <c r="I3" s="5">
        <f t="shared" si="0"/>
        <v>3.9810717055349698E-7</v>
      </c>
      <c r="J3" s="5">
        <v>1.5E-5</v>
      </c>
      <c r="K3" s="5">
        <f t="shared" si="1"/>
        <v>2.4700000000000004E-4</v>
      </c>
      <c r="L3" s="5">
        <f t="shared" si="2"/>
        <v>8.3499999999999991E-4</v>
      </c>
      <c r="M3" s="5">
        <f t="shared" si="3"/>
        <v>3.9874986358974116E-7</v>
      </c>
      <c r="N3" s="5">
        <f t="shared" si="4"/>
        <v>1.5274390243902439E-5</v>
      </c>
      <c r="O3" s="5">
        <f t="shared" si="5"/>
        <v>2.1492987817235045</v>
      </c>
      <c r="P3" s="5">
        <f t="shared" si="6"/>
        <v>82.330381375542402</v>
      </c>
      <c r="Q3" s="4">
        <f t="shared" si="7"/>
        <v>0.33229679251994226</v>
      </c>
      <c r="R3" s="4">
        <f t="shared" si="8"/>
        <v>1.9155601271801344</v>
      </c>
      <c r="S3" s="3" t="s">
        <v>20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</row>
    <row r="4" spans="1:1016" s="7" customFormat="1">
      <c r="A4" s="3" t="s">
        <v>23</v>
      </c>
      <c r="B4" s="3" t="s">
        <v>24</v>
      </c>
      <c r="C4" s="4"/>
      <c r="D4" s="4">
        <v>8.65</v>
      </c>
      <c r="E4" s="3"/>
      <c r="F4" s="5">
        <f>1/(1+(10^(D4-6.5)))</f>
        <v>7.0296914396392298E-3</v>
      </c>
      <c r="G4" s="5">
        <v>1.9054607179632501E-7</v>
      </c>
      <c r="H4" s="5"/>
      <c r="I4" s="5">
        <f t="shared" si="0"/>
        <v>1.9054607179632501E-7</v>
      </c>
      <c r="J4" s="5">
        <v>1.63E-4</v>
      </c>
      <c r="K4" s="5">
        <f t="shared" si="1"/>
        <v>2.4700000000000004E-4</v>
      </c>
      <c r="L4" s="5">
        <f t="shared" si="2"/>
        <v>8.3499999999999991E-4</v>
      </c>
      <c r="M4" s="5">
        <f t="shared" si="3"/>
        <v>1.9069318044592951E-7</v>
      </c>
      <c r="N4" s="5">
        <f t="shared" si="4"/>
        <v>2.0253720238095239E-4</v>
      </c>
      <c r="O4" s="5">
        <f t="shared" si="5"/>
        <v>2.7126820868785679E-5</v>
      </c>
      <c r="P4" s="5">
        <f t="shared" si="6"/>
        <v>2.8811677456976232E-2</v>
      </c>
      <c r="Q4" s="4">
        <f t="shared" si="7"/>
        <v>-4.5666011004531075</v>
      </c>
      <c r="R4" s="4">
        <f t="shared" si="8"/>
        <v>-1.540431455739006</v>
      </c>
      <c r="S4" s="3" t="s">
        <v>20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</row>
    <row r="5" spans="1:1016" s="7" customFormat="1">
      <c r="A5" s="3" t="s">
        <v>25</v>
      </c>
      <c r="B5" s="3" t="s">
        <v>22</v>
      </c>
      <c r="C5" s="4">
        <v>2.6</v>
      </c>
      <c r="D5" s="4">
        <v>7</v>
      </c>
      <c r="E5" s="3"/>
      <c r="F5" s="5">
        <f>1/(1+(10^(D5-C5)) + (10^(D5-6.5)) + (10^(6.5-C5)))</f>
        <v>3.0242262655156664E-5</v>
      </c>
      <c r="G5" s="5">
        <v>1.62181009735893E-6</v>
      </c>
      <c r="H5" s="5"/>
      <c r="I5" s="5">
        <f t="shared" si="0"/>
        <v>1.62181009735893E-6</v>
      </c>
      <c r="J5" s="5">
        <v>3.1999999999999999E-5</v>
      </c>
      <c r="K5" s="5">
        <f t="shared" si="1"/>
        <v>2.4700000000000004E-4</v>
      </c>
      <c r="L5" s="5">
        <f t="shared" si="2"/>
        <v>8.3499999999999991E-4</v>
      </c>
      <c r="M5" s="5">
        <f t="shared" si="3"/>
        <v>1.6325293385145477E-6</v>
      </c>
      <c r="N5" s="5">
        <f t="shared" si="4"/>
        <v>3.3275217932752183E-5</v>
      </c>
      <c r="O5" s="5">
        <f t="shared" si="5"/>
        <v>5.398171946093399E-2</v>
      </c>
      <c r="P5" s="5">
        <f t="shared" si="6"/>
        <v>1.1002886362101734</v>
      </c>
      <c r="Q5" s="4">
        <f t="shared" si="7"/>
        <v>-1.2677532861281067</v>
      </c>
      <c r="R5" s="4">
        <f t="shared" si="8"/>
        <v>4.1506627585606491E-2</v>
      </c>
      <c r="S5" s="3" t="s">
        <v>20</v>
      </c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</row>
    <row r="6" spans="1:1016" s="7" customFormat="1">
      <c r="A6" s="3" t="s">
        <v>26</v>
      </c>
      <c r="B6" s="3" t="s">
        <v>19</v>
      </c>
      <c r="C6" s="4"/>
      <c r="D6" s="4"/>
      <c r="E6" s="3"/>
      <c r="F6" s="5">
        <v>1</v>
      </c>
      <c r="G6" s="5">
        <v>1.23026877081238E-4</v>
      </c>
      <c r="H6" s="5"/>
      <c r="I6" s="5">
        <f t="shared" si="0"/>
        <v>1.23026877081238E-4</v>
      </c>
      <c r="J6" s="5">
        <v>5.2050000000000002E-4</v>
      </c>
      <c r="K6" s="5">
        <f t="shared" si="1"/>
        <v>2.4700000000000004E-4</v>
      </c>
      <c r="L6" s="5">
        <f t="shared" si="2"/>
        <v>8.3499999999999991E-4</v>
      </c>
      <c r="M6" s="5">
        <f t="shared" si="3"/>
        <v>2.4511473070641616E-4</v>
      </c>
      <c r="N6" s="5">
        <f t="shared" si="4"/>
        <v>1.3819316375198734E-3</v>
      </c>
      <c r="O6" s="5">
        <f t="shared" si="5"/>
        <v>2.4511473070641616E-4</v>
      </c>
      <c r="P6" s="5">
        <f t="shared" si="6"/>
        <v>1.3819316375198734E-3</v>
      </c>
      <c r="Q6" s="4">
        <f t="shared" si="7"/>
        <v>-3.610630588085856</v>
      </c>
      <c r="R6" s="4">
        <f t="shared" si="8"/>
        <v>-2.8595134404511304</v>
      </c>
      <c r="S6" s="3" t="s">
        <v>20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</row>
    <row r="7" spans="1:1016" s="7" customFormat="1">
      <c r="A7" s="3" t="s">
        <v>27</v>
      </c>
      <c r="B7" s="3" t="s">
        <v>24</v>
      </c>
      <c r="C7" s="4"/>
      <c r="D7" s="4">
        <v>9.19</v>
      </c>
      <c r="E7" s="3"/>
      <c r="F7" s="5">
        <f>1/(1+(10^(D7-6.5)))</f>
        <v>2.0375777448726103E-3</v>
      </c>
      <c r="G7" s="5">
        <v>9.1201083935591003E-8</v>
      </c>
      <c r="H7" s="5"/>
      <c r="I7" s="5">
        <f t="shared" si="0"/>
        <v>9.1201083935591003E-8</v>
      </c>
      <c r="J7" s="5">
        <v>2.0999999999999999E-5</v>
      </c>
      <c r="K7" s="5">
        <f t="shared" si="1"/>
        <v>2.4700000000000004E-4</v>
      </c>
      <c r="L7" s="5">
        <f t="shared" si="2"/>
        <v>8.3499999999999991E-4</v>
      </c>
      <c r="M7" s="5">
        <f t="shared" si="3"/>
        <v>9.1234771020650517E-8</v>
      </c>
      <c r="N7" s="5">
        <f t="shared" si="4"/>
        <v>2.1541769041769044E-5</v>
      </c>
      <c r="O7" s="5">
        <f t="shared" si="5"/>
        <v>4.4776093206865355E-5</v>
      </c>
      <c r="P7" s="5">
        <f t="shared" si="6"/>
        <v>1.0572243977427148E-2</v>
      </c>
      <c r="Q7" s="4">
        <f t="shared" si="7"/>
        <v>-4.3489538020637806</v>
      </c>
      <c r="R7" s="4">
        <f t="shared" si="8"/>
        <v>-1.9758328231389175</v>
      </c>
      <c r="S7" s="3" t="s">
        <v>20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</row>
    <row r="8" spans="1:1016" s="7" customFormat="1">
      <c r="A8" s="3" t="s">
        <v>28</v>
      </c>
      <c r="B8" s="3" t="s">
        <v>24</v>
      </c>
      <c r="C8" s="4"/>
      <c r="D8" s="4">
        <v>7.97</v>
      </c>
      <c r="E8" s="3" t="s">
        <v>29</v>
      </c>
      <c r="F8" s="5">
        <f>1/(1+(10^(D8-6.5)))</f>
        <v>3.2773891454587513E-2</v>
      </c>
      <c r="G8" s="5">
        <v>1.25892541179417E-5</v>
      </c>
      <c r="H8" s="5"/>
      <c r="I8" s="5">
        <f t="shared" si="0"/>
        <v>1.25892541179417E-5</v>
      </c>
      <c r="J8" s="5">
        <v>2.9E-4</v>
      </c>
      <c r="K8" s="5">
        <f t="shared" si="1"/>
        <v>2.4700000000000004E-4</v>
      </c>
      <c r="L8" s="5">
        <f t="shared" si="2"/>
        <v>8.3499999999999991E-4</v>
      </c>
      <c r="M8" s="5">
        <f t="shared" si="3"/>
        <v>1.3265372094742365E-5</v>
      </c>
      <c r="N8" s="5">
        <f t="shared" si="4"/>
        <v>4.4431192660550459E-4</v>
      </c>
      <c r="O8" s="5">
        <f t="shared" si="5"/>
        <v>4.0475425730640693E-4</v>
      </c>
      <c r="P8" s="5">
        <f t="shared" si="6"/>
        <v>1.3556886499766331E-2</v>
      </c>
      <c r="Q8" s="4">
        <f t="shared" si="7"/>
        <v>-3.3928085745326948</v>
      </c>
      <c r="R8" s="4">
        <f t="shared" si="8"/>
        <v>-1.8678400399107438</v>
      </c>
      <c r="S8" s="3" t="s">
        <v>20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</row>
    <row r="9" spans="1:1016" s="7" customFormat="1">
      <c r="A9" s="3" t="s">
        <v>30</v>
      </c>
      <c r="B9" s="3" t="s">
        <v>22</v>
      </c>
      <c r="C9" s="4">
        <v>2.5499999999999998</v>
      </c>
      <c r="D9" s="4">
        <v>7.05</v>
      </c>
      <c r="E9" s="3"/>
      <c r="F9" s="5">
        <f>1/(1+(10^(D9-C9)) + (10^(D9-6.5)) + (10^(6.5-C9)))</f>
        <v>2.4667096493687663E-5</v>
      </c>
      <c r="G9" s="5">
        <v>7.2443596007499101E-7</v>
      </c>
      <c r="H9" s="5"/>
      <c r="I9" s="5">
        <f t="shared" si="0"/>
        <v>7.2443596007499101E-7</v>
      </c>
      <c r="J9" s="5">
        <v>1.56E-4</v>
      </c>
      <c r="K9" s="5">
        <f t="shared" si="1"/>
        <v>2.4700000000000004E-4</v>
      </c>
      <c r="L9" s="5">
        <f t="shared" si="2"/>
        <v>8.3499999999999991E-4</v>
      </c>
      <c r="M9" s="5">
        <f t="shared" si="3"/>
        <v>7.265669366592724E-7</v>
      </c>
      <c r="N9" s="5">
        <f t="shared" si="4"/>
        <v>1.9184094256259206E-4</v>
      </c>
      <c r="O9" s="5">
        <f t="shared" si="5"/>
        <v>2.9454903087001005E-2</v>
      </c>
      <c r="P9" s="5">
        <f t="shared" si="6"/>
        <v>7.7771999883198397</v>
      </c>
      <c r="Q9" s="4">
        <f t="shared" si="7"/>
        <v>-1.5308424018483726</v>
      </c>
      <c r="R9" s="4">
        <f t="shared" si="8"/>
        <v>0.89082326684853219</v>
      </c>
      <c r="S9" s="3" t="s">
        <v>20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</row>
    <row r="10" spans="1:1016" s="7" customFormat="1">
      <c r="A10" s="3" t="s">
        <v>31</v>
      </c>
      <c r="B10" s="3" t="s">
        <v>24</v>
      </c>
      <c r="C10" s="4"/>
      <c r="D10" s="4">
        <v>6.76</v>
      </c>
      <c r="E10" s="3"/>
      <c r="F10" s="5">
        <f>1/(1+(10^(D10-6.5)))</f>
        <v>0.35464754956061773</v>
      </c>
      <c r="G10" s="5">
        <v>5.3703179637025297E-7</v>
      </c>
      <c r="H10" s="5">
        <v>5.5000000000000003E-7</v>
      </c>
      <c r="I10" s="5">
        <f>AVERAGE(G10:H10)</f>
        <v>5.435158981851265E-7</v>
      </c>
      <c r="J10" s="5">
        <v>4.4299999999999999E-5</v>
      </c>
      <c r="K10" s="5">
        <f t="shared" si="1"/>
        <v>2.4700000000000004E-4</v>
      </c>
      <c r="L10" s="5">
        <f t="shared" si="2"/>
        <v>8.3499999999999991E-4</v>
      </c>
      <c r="M10" s="5">
        <f t="shared" si="3"/>
        <v>5.4471452573455599E-7</v>
      </c>
      <c r="N10" s="5">
        <f t="shared" si="4"/>
        <v>4.6781965347160741E-5</v>
      </c>
      <c r="O10" s="5">
        <f t="shared" si="5"/>
        <v>1.5359320159110567E-6</v>
      </c>
      <c r="P10" s="5">
        <f t="shared" si="6"/>
        <v>1.3191114785685156E-4</v>
      </c>
      <c r="Q10" s="4">
        <f t="shared" si="7"/>
        <v>-5.8136280068097816</v>
      </c>
      <c r="R10" s="4">
        <f t="shared" si="8"/>
        <v>-3.8797185005254051</v>
      </c>
      <c r="S10" s="3" t="s">
        <v>20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</row>
    <row r="11" spans="1:1016" s="7" customFormat="1">
      <c r="A11" s="3" t="s">
        <v>32</v>
      </c>
      <c r="B11" s="3" t="s">
        <v>24</v>
      </c>
      <c r="C11" s="4"/>
      <c r="D11" s="4">
        <v>4.66</v>
      </c>
      <c r="E11" s="3"/>
      <c r="F11" s="5">
        <f>1/(1+(10^(D11-6.5)))</f>
        <v>0.98575155498352163</v>
      </c>
      <c r="G11" s="5">
        <v>9.772372209558111E-7</v>
      </c>
      <c r="H11" s="5"/>
      <c r="I11" s="5">
        <f>G11</f>
        <v>9.772372209558111E-7</v>
      </c>
      <c r="J11" s="5">
        <v>2.9499999999999999E-5</v>
      </c>
      <c r="K11" s="5">
        <f t="shared" si="1"/>
        <v>2.4700000000000004E-4</v>
      </c>
      <c r="L11" s="5">
        <f t="shared" si="2"/>
        <v>8.3499999999999991E-4</v>
      </c>
      <c r="M11" s="5">
        <f t="shared" si="3"/>
        <v>9.8111894545656031E-7</v>
      </c>
      <c r="N11" s="5">
        <f t="shared" si="4"/>
        <v>3.058038485412787E-5</v>
      </c>
      <c r="O11" s="5">
        <f t="shared" si="5"/>
        <v>9.9530042889251257E-7</v>
      </c>
      <c r="P11" s="5">
        <f t="shared" si="6"/>
        <v>3.1022405898856602E-5</v>
      </c>
      <c r="Q11" s="4">
        <f t="shared" si="7"/>
        <v>-6.0020458087854029</v>
      </c>
      <c r="R11" s="4">
        <f t="shared" si="8"/>
        <v>-4.5083245241213907</v>
      </c>
      <c r="S11" s="3" t="s">
        <v>20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</row>
    <row r="12" spans="1:1016" s="7" customFormat="1">
      <c r="A12" s="3" t="s">
        <v>33</v>
      </c>
      <c r="B12" s="3" t="s">
        <v>19</v>
      </c>
      <c r="C12" s="4"/>
      <c r="D12" s="4"/>
      <c r="E12" s="3"/>
      <c r="F12" s="5">
        <v>1</v>
      </c>
      <c r="G12" s="5">
        <v>6.91830970918936E-6</v>
      </c>
      <c r="H12" s="5"/>
      <c r="I12" s="5">
        <f>G12</f>
        <v>6.91830970918936E-6</v>
      </c>
      <c r="J12" s="5">
        <v>1.63E-4</v>
      </c>
      <c r="K12" s="5">
        <f t="shared" si="1"/>
        <v>2.4700000000000004E-4</v>
      </c>
      <c r="L12" s="5">
        <f t="shared" si="2"/>
        <v>8.3499999999999991E-4</v>
      </c>
      <c r="M12" s="5">
        <f t="shared" si="3"/>
        <v>7.117671056463646E-6</v>
      </c>
      <c r="N12" s="5">
        <f t="shared" si="4"/>
        <v>2.0253720238095239E-4</v>
      </c>
      <c r="O12" s="5">
        <f t="shared" si="5"/>
        <v>7.117671056463646E-6</v>
      </c>
      <c r="P12" s="5">
        <f t="shared" si="6"/>
        <v>2.0253720238095239E-4</v>
      </c>
      <c r="Q12" s="4">
        <f t="shared" si="7"/>
        <v>-5.147662086810362</v>
      </c>
      <c r="R12" s="4">
        <f t="shared" si="8"/>
        <v>-3.6934951931662652</v>
      </c>
      <c r="S12" s="3" t="s">
        <v>20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</row>
    <row r="13" spans="1:1016" s="7" customFormat="1">
      <c r="A13" s="3" t="s">
        <v>34</v>
      </c>
      <c r="B13" s="3" t="s">
        <v>24</v>
      </c>
      <c r="C13" s="4"/>
      <c r="D13" s="4">
        <v>9.8000000000000007</v>
      </c>
      <c r="E13" s="3"/>
      <c r="F13" s="5">
        <f>1/(1+(10^(D13-6.5)))</f>
        <v>5.0093617081359721E-4</v>
      </c>
      <c r="G13" s="5">
        <v>8.9125093813374595E-6</v>
      </c>
      <c r="H13" s="5">
        <v>1.5999999999999999E-5</v>
      </c>
      <c r="I13" s="5">
        <f>AVERAGE(G13:H13)</f>
        <v>1.2456254690668729E-5</v>
      </c>
      <c r="J13" s="5">
        <v>4.4499999999999997E-4</v>
      </c>
      <c r="K13" s="5">
        <f t="shared" si="1"/>
        <v>2.4700000000000004E-4</v>
      </c>
      <c r="L13" s="5">
        <f t="shared" si="2"/>
        <v>8.3499999999999991E-4</v>
      </c>
      <c r="M13" s="5">
        <f t="shared" si="3"/>
        <v>1.3117787065851766E-5</v>
      </c>
      <c r="N13" s="5">
        <f t="shared" si="4"/>
        <v>9.5275641025641036E-4</v>
      </c>
      <c r="O13" s="5">
        <f t="shared" si="5"/>
        <v>2.6186543975346133E-2</v>
      </c>
      <c r="P13" s="5">
        <f t="shared" si="6"/>
        <v>1.9019517171399059</v>
      </c>
      <c r="Q13" s="4">
        <f t="shared" si="7"/>
        <v>-1.5819218147277465</v>
      </c>
      <c r="R13" s="4">
        <f t="shared" si="8"/>
        <v>0.27919948776129738</v>
      </c>
      <c r="S13" s="3" t="s">
        <v>20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</row>
    <row r="14" spans="1:1016" s="7" customFormat="1">
      <c r="A14" s="3" t="s">
        <v>35</v>
      </c>
      <c r="B14" s="3" t="s">
        <v>22</v>
      </c>
      <c r="C14" s="4">
        <v>2.92</v>
      </c>
      <c r="D14" s="4">
        <v>5.57</v>
      </c>
      <c r="E14" s="3"/>
      <c r="F14" s="5">
        <f>1/(1+(10^(D14-C14)) + (10^(D14-6.5)) + (10^(6.5-C14)))</f>
        <v>2.3531100217418719E-4</v>
      </c>
      <c r="G14" s="5">
        <v>2.18776162394955E-6</v>
      </c>
      <c r="H14" s="5"/>
      <c r="I14" s="5">
        <f>G14</f>
        <v>2.18776162394955E-6</v>
      </c>
      <c r="J14" s="5">
        <v>1.5699999999999999E-4</v>
      </c>
      <c r="K14" s="5">
        <f t="shared" si="1"/>
        <v>2.4700000000000004E-4</v>
      </c>
      <c r="L14" s="5">
        <f t="shared" si="2"/>
        <v>8.3499999999999991E-4</v>
      </c>
      <c r="M14" s="5">
        <f t="shared" si="3"/>
        <v>2.2073125293902912E-6</v>
      </c>
      <c r="N14" s="5">
        <f t="shared" si="4"/>
        <v>1.9335545722713865E-4</v>
      </c>
      <c r="O14" s="5">
        <f t="shared" si="5"/>
        <v>9.3804051191637219E-3</v>
      </c>
      <c r="P14" s="5">
        <f t="shared" si="6"/>
        <v>0.82170172852355083</v>
      </c>
      <c r="Q14" s="4">
        <f t="shared" si="7"/>
        <v>-2.0277784049878855</v>
      </c>
      <c r="R14" s="4">
        <f t="shared" si="8"/>
        <v>-8.5285799447879895E-2</v>
      </c>
      <c r="S14" s="3" t="s">
        <v>20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</row>
    <row r="15" spans="1:1016" s="7" customFormat="1">
      <c r="A15" s="3" t="s">
        <v>36</v>
      </c>
      <c r="B15" s="3" t="s">
        <v>22</v>
      </c>
      <c r="C15" s="4">
        <v>3.2</v>
      </c>
      <c r="D15" s="4">
        <v>7.6</v>
      </c>
      <c r="E15" s="3" t="s">
        <v>37</v>
      </c>
      <c r="F15" s="5">
        <f>1/(1+(10^(D15-C15)) + (10^(D15-6.5)) + (10^(6.5-C15)))</f>
        <v>3.6862668581068052E-5</v>
      </c>
      <c r="G15" s="5">
        <v>1.5488166189124801E-9</v>
      </c>
      <c r="H15" s="5"/>
      <c r="I15" s="5">
        <f>G15</f>
        <v>1.5488166189124801E-9</v>
      </c>
      <c r="J15" s="5">
        <v>2.0000000000000002E-5</v>
      </c>
      <c r="K15" s="5">
        <f t="shared" si="1"/>
        <v>2.4700000000000004E-4</v>
      </c>
      <c r="L15" s="5">
        <f t="shared" si="2"/>
        <v>8.3499999999999991E-4</v>
      </c>
      <c r="M15" s="5">
        <f t="shared" si="3"/>
        <v>1.5488263308475451E-9</v>
      </c>
      <c r="N15" s="5">
        <f t="shared" si="4"/>
        <v>2.049079754601227E-5</v>
      </c>
      <c r="O15" s="5">
        <f t="shared" si="5"/>
        <v>4.2016120657173257E-5</v>
      </c>
      <c r="P15" s="5">
        <f t="shared" si="6"/>
        <v>0.55586853406852765</v>
      </c>
      <c r="Q15" s="4">
        <f t="shared" si="7"/>
        <v>-4.3765840484307397</v>
      </c>
      <c r="R15" s="4">
        <f t="shared" si="8"/>
        <v>-0.25502790928070346</v>
      </c>
      <c r="S15" s="3" t="s">
        <v>20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</row>
    <row r="16" spans="1:1016" s="7" customFormat="1">
      <c r="A16" s="3" t="s">
        <v>38</v>
      </c>
      <c r="B16" s="3" t="s">
        <v>22</v>
      </c>
      <c r="C16" s="4">
        <v>4.2</v>
      </c>
      <c r="D16" s="4">
        <v>7.84</v>
      </c>
      <c r="E16" s="3"/>
      <c r="F16" s="5">
        <f>1/(1+(10^(D16-C16)) + (10^(D16-6.5)) + (10^(6.5-C16)))</f>
        <v>2.179806971356878E-4</v>
      </c>
      <c r="G16" s="5">
        <v>4.7863009232263798E-7</v>
      </c>
      <c r="H16" s="5"/>
      <c r="I16" s="5">
        <f>G16</f>
        <v>4.7863009232263798E-7</v>
      </c>
      <c r="J16" s="5">
        <v>7.9999999999999996E-6</v>
      </c>
      <c r="K16" s="5">
        <f t="shared" si="1"/>
        <v>2.4700000000000004E-4</v>
      </c>
      <c r="L16" s="5">
        <f t="shared" si="2"/>
        <v>8.3499999999999991E-4</v>
      </c>
      <c r="M16" s="5">
        <f t="shared" si="3"/>
        <v>4.795593698346142E-7</v>
      </c>
      <c r="N16" s="5">
        <f t="shared" si="4"/>
        <v>8.07738814993954E-6</v>
      </c>
      <c r="O16" s="5">
        <f t="shared" si="5"/>
        <v>2.2000084233885163E-3</v>
      </c>
      <c r="P16" s="5">
        <f t="shared" si="6"/>
        <v>3.705552031018397E-2</v>
      </c>
      <c r="Q16" s="4">
        <f t="shared" si="7"/>
        <v>-2.6575756563486355</v>
      </c>
      <c r="R16" s="4">
        <f t="shared" si="8"/>
        <v>-1.4311470842659146</v>
      </c>
      <c r="S16" s="3" t="s">
        <v>20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</row>
    <row r="17" spans="1:1016" s="7" customFormat="1">
      <c r="A17" s="3" t="s">
        <v>39</v>
      </c>
      <c r="B17" s="3" t="s">
        <v>40</v>
      </c>
      <c r="C17" s="4">
        <v>3.51</v>
      </c>
      <c r="D17" s="4"/>
      <c r="E17" s="3"/>
      <c r="F17" s="5">
        <f>1/(1+(10^(6.5-C17)))</f>
        <v>1.0222469341566503E-3</v>
      </c>
      <c r="G17" s="5">
        <v>2.8840315031266099E-7</v>
      </c>
      <c r="H17" s="5">
        <v>1.9999999999999999E-7</v>
      </c>
      <c r="I17" s="5">
        <f>AVERAGE(G17:H17)</f>
        <v>2.4420157515633049E-7</v>
      </c>
      <c r="J17" s="5">
        <v>2.5000000000000001E-5</v>
      </c>
      <c r="K17" s="5">
        <f t="shared" si="1"/>
        <v>2.4700000000000004E-4</v>
      </c>
      <c r="L17" s="5">
        <f t="shared" si="2"/>
        <v>8.3499999999999991E-4</v>
      </c>
      <c r="M17" s="5">
        <f t="shared" si="3"/>
        <v>2.4444324894754231E-7</v>
      </c>
      <c r="N17" s="5">
        <f t="shared" si="4"/>
        <v>2.5771604938271606E-5</v>
      </c>
      <c r="O17" s="5">
        <f t="shared" si="5"/>
        <v>2.3912348453185338E-4</v>
      </c>
      <c r="P17" s="5">
        <f t="shared" si="6"/>
        <v>2.5210743194385883E-2</v>
      </c>
      <c r="Q17" s="4">
        <f t="shared" si="7"/>
        <v>-3.6213777693390927</v>
      </c>
      <c r="R17" s="4">
        <f t="shared" si="8"/>
        <v>-1.5984143514491678</v>
      </c>
      <c r="S17" s="3" t="s">
        <v>20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</row>
    <row r="18" spans="1:1016" s="7" customFormat="1">
      <c r="A18" s="3" t="s">
        <v>41</v>
      </c>
      <c r="B18" s="3" t="s">
        <v>19</v>
      </c>
      <c r="C18" s="4"/>
      <c r="D18" s="4"/>
      <c r="E18" s="3"/>
      <c r="F18" s="5">
        <v>1</v>
      </c>
      <c r="G18" s="5">
        <v>3.6307805477010099E-5</v>
      </c>
      <c r="H18" s="5"/>
      <c r="I18" s="5">
        <f>G18</f>
        <v>3.6307805477010099E-5</v>
      </c>
      <c r="J18" s="5">
        <v>1.1400000000000001E-4</v>
      </c>
      <c r="K18" s="5">
        <f t="shared" si="1"/>
        <v>2.4700000000000004E-4</v>
      </c>
      <c r="L18" s="5">
        <f t="shared" si="2"/>
        <v>8.3499999999999991E-4</v>
      </c>
      <c r="M18" s="5">
        <f t="shared" si="3"/>
        <v>4.2564595110536656E-5</v>
      </c>
      <c r="N18" s="5">
        <f t="shared" si="4"/>
        <v>1.3202496532593622E-4</v>
      </c>
      <c r="O18" s="5">
        <f t="shared" si="5"/>
        <v>4.2564595110536656E-5</v>
      </c>
      <c r="P18" s="5">
        <f t="shared" si="6"/>
        <v>1.3202496532593622E-4</v>
      </c>
      <c r="Q18" s="4">
        <f t="shared" si="7"/>
        <v>-4.3709514934144744</v>
      </c>
      <c r="R18" s="4">
        <f t="shared" si="8"/>
        <v>-3.8793439378993542</v>
      </c>
      <c r="S18" s="3" t="s">
        <v>20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</row>
    <row r="19" spans="1:1016" s="7" customFormat="1">
      <c r="A19" s="3" t="s">
        <v>42</v>
      </c>
      <c r="B19" s="3" t="s">
        <v>19</v>
      </c>
      <c r="C19" s="4"/>
      <c r="D19" s="4"/>
      <c r="E19" s="3"/>
      <c r="F19" s="5">
        <v>1</v>
      </c>
      <c r="G19" s="5">
        <v>5.2480746024977201E-7</v>
      </c>
      <c r="H19" s="5">
        <v>2.9999999999999999E-7</v>
      </c>
      <c r="I19" s="5">
        <f>AVERAGE(G19:H19)</f>
        <v>4.12403730124886E-7</v>
      </c>
      <c r="J19" s="5">
        <v>1.15E-5</v>
      </c>
      <c r="K19" s="5">
        <f t="shared" si="1"/>
        <v>2.4700000000000004E-4</v>
      </c>
      <c r="L19" s="5">
        <f t="shared" si="2"/>
        <v>8.3499999999999991E-4</v>
      </c>
      <c r="M19" s="5">
        <f t="shared" si="3"/>
        <v>4.1309345190811305E-7</v>
      </c>
      <c r="N19" s="5">
        <f t="shared" si="4"/>
        <v>1.166059502125076E-5</v>
      </c>
      <c r="O19" s="5">
        <f t="shared" si="5"/>
        <v>4.1309345190811305E-7</v>
      </c>
      <c r="P19" s="5">
        <f t="shared" si="6"/>
        <v>1.166059502125076E-5</v>
      </c>
      <c r="Q19" s="4">
        <f t="shared" si="7"/>
        <v>-6.3839516891258405</v>
      </c>
      <c r="R19" s="4">
        <f t="shared" si="8"/>
        <v>-4.9332792876685589</v>
      </c>
      <c r="S19" s="3" t="s">
        <v>20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</row>
    <row r="20" spans="1:1016" s="7" customFormat="1">
      <c r="A20" s="3" t="s">
        <v>43</v>
      </c>
      <c r="B20" s="3" t="s">
        <v>22</v>
      </c>
      <c r="C20" s="4">
        <v>2</v>
      </c>
      <c r="D20" s="4">
        <v>12.5</v>
      </c>
      <c r="E20" s="3" t="s">
        <v>44</v>
      </c>
      <c r="F20" s="5">
        <f>1/(1+(10^(D20-C20)) + (10^(D20-6.5)) + (10^(6.5-C20)))</f>
        <v>3.1621745011560472E-11</v>
      </c>
      <c r="G20" s="5">
        <v>6.3095734448019296E-8</v>
      </c>
      <c r="H20" s="5">
        <v>6.1000000000000004E-8</v>
      </c>
      <c r="I20" s="5">
        <f>AVERAGE(G20:H20)</f>
        <v>6.204786722400965E-8</v>
      </c>
      <c r="J20" s="5">
        <v>3.0000000000000001E-6</v>
      </c>
      <c r="K20" s="5">
        <f t="shared" si="1"/>
        <v>2.4700000000000004E-4</v>
      </c>
      <c r="L20" s="5">
        <f t="shared" si="2"/>
        <v>8.3499999999999991E-4</v>
      </c>
      <c r="M20" s="5">
        <f t="shared" si="3"/>
        <v>6.20634579333105E-8</v>
      </c>
      <c r="N20" s="5">
        <f t="shared" si="4"/>
        <v>3.0108173076923078E-6</v>
      </c>
      <c r="O20" s="5">
        <f t="shared" si="5"/>
        <v>1962.6828914919452</v>
      </c>
      <c r="P20" s="5">
        <f t="shared" si="6"/>
        <v>95213.509140358787</v>
      </c>
      <c r="Q20" s="4">
        <f t="shared" si="7"/>
        <v>3.2928501367879202</v>
      </c>
      <c r="R20" s="4">
        <f t="shared" si="8"/>
        <v>4.9786985715870449</v>
      </c>
      <c r="S20" s="3" t="s">
        <v>20</v>
      </c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</row>
    <row r="21" spans="1:1016" s="7" customFormat="1">
      <c r="A21" s="3" t="s">
        <v>45</v>
      </c>
      <c r="B21" s="3" t="s">
        <v>22</v>
      </c>
      <c r="C21" s="4">
        <v>2.21</v>
      </c>
      <c r="D21" s="4">
        <v>8.5399999999999991</v>
      </c>
      <c r="E21" s="3"/>
      <c r="F21" s="5">
        <f>1/(1+(10^(D21-C21)) + (10^(D21-6.5)) + (10^(6.5-C21)))</f>
        <v>4.6348412869581354E-7</v>
      </c>
      <c r="G21" s="5">
        <v>1.14815362149688E-6</v>
      </c>
      <c r="H21" s="5"/>
      <c r="I21" s="5">
        <f>G21</f>
        <v>1.14815362149688E-6</v>
      </c>
      <c r="J21" s="5">
        <v>3.40333333333333E-4</v>
      </c>
      <c r="K21" s="5">
        <f t="shared" si="1"/>
        <v>2.4700000000000004E-4</v>
      </c>
      <c r="L21" s="5">
        <f t="shared" si="2"/>
        <v>8.3499999999999991E-4</v>
      </c>
      <c r="M21" s="5">
        <f t="shared" si="3"/>
        <v>1.1535156179918214E-6</v>
      </c>
      <c r="N21" s="5">
        <f t="shared" si="4"/>
        <v>5.7448450134770803E-4</v>
      </c>
      <c r="O21" s="5">
        <f t="shared" si="5"/>
        <v>2.4887920568880544</v>
      </c>
      <c r="P21" s="5">
        <f t="shared" si="6"/>
        <v>1239.4912053714454</v>
      </c>
      <c r="Q21" s="4">
        <f t="shared" si="7"/>
        <v>0.39598861202896907</v>
      </c>
      <c r="R21" s="4">
        <f t="shared" si="8"/>
        <v>3.0932434496417978</v>
      </c>
      <c r="S21" s="3" t="s">
        <v>20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</row>
    <row r="22" spans="1:1016" s="7" customFormat="1">
      <c r="A22" s="3" t="s">
        <v>46</v>
      </c>
      <c r="B22" s="3" t="s">
        <v>22</v>
      </c>
      <c r="C22" s="4">
        <v>2.38</v>
      </c>
      <c r="D22" s="4">
        <v>9.61</v>
      </c>
      <c r="E22" s="3"/>
      <c r="F22" s="5">
        <f>1/(1+(10^(D22-C22)) + (10^(D22-6.5)) + (10^(6.5-C22)))</f>
        <v>5.8834229137728477E-8</v>
      </c>
      <c r="G22" s="5">
        <v>1.25892541179417E-5</v>
      </c>
      <c r="H22" s="5"/>
      <c r="I22" s="5">
        <f>G22</f>
        <v>1.25892541179417E-5</v>
      </c>
      <c r="J22" s="5">
        <v>6.2E-4</v>
      </c>
      <c r="K22" s="5">
        <f t="shared" si="1"/>
        <v>2.4700000000000004E-4</v>
      </c>
      <c r="L22" s="5">
        <f t="shared" si="2"/>
        <v>8.3499999999999991E-4</v>
      </c>
      <c r="M22" s="5">
        <f t="shared" si="3"/>
        <v>1.3265372094742365E-5</v>
      </c>
      <c r="N22" s="5">
        <f t="shared" si="4"/>
        <v>2.4079069767441869E-3</v>
      </c>
      <c r="O22" s="5">
        <f t="shared" si="5"/>
        <v>225.47031361095395</v>
      </c>
      <c r="P22" s="5">
        <f t="shared" si="6"/>
        <v>40926.97417871112</v>
      </c>
      <c r="Q22" s="4">
        <f t="shared" si="7"/>
        <v>2.3530893689028356</v>
      </c>
      <c r="R22" s="4">
        <f t="shared" si="8"/>
        <v>4.612009637485122</v>
      </c>
      <c r="S22" s="3" t="s">
        <v>20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</row>
    <row r="23" spans="1:1016" s="7" customFormat="1">
      <c r="A23" s="3" t="s">
        <v>47</v>
      </c>
      <c r="B23" s="3" t="s">
        <v>22</v>
      </c>
      <c r="C23" s="4">
        <v>2.2000000000000002</v>
      </c>
      <c r="D23" s="4">
        <v>8.92</v>
      </c>
      <c r="E23" s="3"/>
      <c r="F23" s="5">
        <f>1/(1+(10^(D23-C23)) + (10^(D23-6.5)) + (10^(6.5-C23)))</f>
        <v>1.8981486635455028E-7</v>
      </c>
      <c r="G23" s="5">
        <v>2.3442288153199202E-5</v>
      </c>
      <c r="H23" s="5"/>
      <c r="I23" s="5">
        <f>G23</f>
        <v>2.3442288153199202E-5</v>
      </c>
      <c r="J23" s="5">
        <v>4.0725000000000001E-4</v>
      </c>
      <c r="K23" s="5">
        <f t="shared" si="1"/>
        <v>2.4700000000000004E-4</v>
      </c>
      <c r="L23" s="5">
        <f t="shared" si="2"/>
        <v>8.3499999999999991E-4</v>
      </c>
      <c r="M23" s="5">
        <f t="shared" si="3"/>
        <v>2.5900449266577441E-5</v>
      </c>
      <c r="N23" s="5">
        <f t="shared" si="4"/>
        <v>7.9498246639392181E-4</v>
      </c>
      <c r="O23" s="5">
        <f t="shared" si="5"/>
        <v>136.45111030554719</v>
      </c>
      <c r="P23" s="5">
        <f t="shared" si="6"/>
        <v>4188.1991735515312</v>
      </c>
      <c r="Q23" s="4">
        <f t="shared" si="7"/>
        <v>2.1349770738836034</v>
      </c>
      <c r="R23" s="4">
        <f t="shared" si="8"/>
        <v>3.6220273267598007</v>
      </c>
      <c r="S23" s="3" t="s">
        <v>20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</row>
    <row r="24" spans="1:1016" s="7" customFormat="1">
      <c r="A24" s="3" t="s">
        <v>48</v>
      </c>
      <c r="B24" s="3" t="s">
        <v>22</v>
      </c>
      <c r="C24" s="4">
        <v>3.16</v>
      </c>
      <c r="D24" s="4">
        <v>10.5</v>
      </c>
      <c r="E24" s="3" t="s">
        <v>49</v>
      </c>
      <c r="F24" s="5">
        <f>1/(1+(10^(D24-C24)) + (10^(D24-6.5)) + (10^(6.5-C24)))</f>
        <v>4.568336720902072E-8</v>
      </c>
      <c r="G24" s="5">
        <v>1.4125375446227601E-6</v>
      </c>
      <c r="H24" s="5"/>
      <c r="I24" s="5">
        <f>G24</f>
        <v>1.4125375446227601E-6</v>
      </c>
      <c r="J24" s="5">
        <v>3.3000000000000003E-5</v>
      </c>
      <c r="K24" s="5">
        <f t="shared" si="1"/>
        <v>2.4700000000000004E-4</v>
      </c>
      <c r="L24" s="5">
        <f t="shared" si="2"/>
        <v>8.3499999999999991E-4</v>
      </c>
      <c r="M24" s="5">
        <f t="shared" si="3"/>
        <v>1.4206619915917555E-6</v>
      </c>
      <c r="N24" s="5">
        <f t="shared" si="4"/>
        <v>3.4357855361596016E-5</v>
      </c>
      <c r="O24" s="5">
        <f t="shared" si="5"/>
        <v>31.098013968445589</v>
      </c>
      <c r="P24" s="5">
        <f t="shared" si="6"/>
        <v>752.08675412200466</v>
      </c>
      <c r="Q24" s="4">
        <f t="shared" si="7"/>
        <v>1.4927326542973751</v>
      </c>
      <c r="R24" s="4">
        <f t="shared" si="8"/>
        <v>2.8762679398780131</v>
      </c>
      <c r="S24" s="3" t="s">
        <v>20</v>
      </c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</row>
    <row r="25" spans="1:1016" s="7" customFormat="1">
      <c r="A25" s="3" t="s">
        <v>50</v>
      </c>
      <c r="B25" s="3" t="s">
        <v>40</v>
      </c>
      <c r="C25" s="4">
        <v>4.25</v>
      </c>
      <c r="D25" s="4"/>
      <c r="E25" s="3"/>
      <c r="F25" s="5">
        <f>1/(1+(10^(6.5-C25)))</f>
        <v>5.5919673088347735E-3</v>
      </c>
      <c r="G25" s="5">
        <v>2.3988329190194901E-6</v>
      </c>
      <c r="H25" s="5"/>
      <c r="I25" s="5">
        <f>G25</f>
        <v>2.3988329190194901E-6</v>
      </c>
      <c r="J25" s="5">
        <v>1.1400000000000001E-4</v>
      </c>
      <c r="K25" s="5">
        <f t="shared" si="1"/>
        <v>2.4700000000000004E-4</v>
      </c>
      <c r="L25" s="5">
        <f t="shared" si="2"/>
        <v>8.3499999999999991E-4</v>
      </c>
      <c r="M25" s="5">
        <f t="shared" si="3"/>
        <v>2.4223585605446036E-6</v>
      </c>
      <c r="N25" s="5">
        <f t="shared" si="4"/>
        <v>1.3202496532593622E-4</v>
      </c>
      <c r="O25" s="5">
        <f t="shared" si="5"/>
        <v>4.3318539375534413E-4</v>
      </c>
      <c r="P25" s="5">
        <f t="shared" si="6"/>
        <v>2.3609752710347466E-2</v>
      </c>
      <c r="Q25" s="4">
        <f t="shared" si="7"/>
        <v>-3.363326195440989</v>
      </c>
      <c r="R25" s="4">
        <f t="shared" si="8"/>
        <v>-1.6269085617181371</v>
      </c>
      <c r="S25" s="3" t="s">
        <v>20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</row>
    <row r="26" spans="1:1016" s="7" customFormat="1">
      <c r="A26" s="3" t="s">
        <v>51</v>
      </c>
      <c r="B26" s="3" t="s">
        <v>24</v>
      </c>
      <c r="C26" s="4"/>
      <c r="D26" s="4">
        <v>9.18</v>
      </c>
      <c r="E26" s="3"/>
      <c r="F26" s="5">
        <f>1/(1+(10^(D26-6.5)))</f>
        <v>2.0849400736251515E-3</v>
      </c>
      <c r="G26" s="5">
        <v>1.99526231496888E-5</v>
      </c>
      <c r="H26" s="5">
        <v>1.2999999999999999E-5</v>
      </c>
      <c r="I26" s="5">
        <f>AVERAGE(G26:H26)</f>
        <v>1.6476311574844399E-5</v>
      </c>
      <c r="J26" s="5">
        <v>1.164E-4</v>
      </c>
      <c r="K26" s="5">
        <f t="shared" si="1"/>
        <v>2.4700000000000004E-4</v>
      </c>
      <c r="L26" s="5">
        <f t="shared" si="2"/>
        <v>8.3499999999999991E-4</v>
      </c>
      <c r="M26" s="5">
        <f t="shared" si="3"/>
        <v>1.7653929567016553E-5</v>
      </c>
      <c r="N26" s="5">
        <f t="shared" si="4"/>
        <v>1.3525466184247147E-4</v>
      </c>
      <c r="O26" s="5">
        <f t="shared" si="5"/>
        <v>8.4673558680855056E-3</v>
      </c>
      <c r="P26" s="5">
        <f t="shared" si="6"/>
        <v>6.4872205946571837E-2</v>
      </c>
      <c r="Q26" s="4">
        <f t="shared" si="7"/>
        <v>-2.0722521872109829</v>
      </c>
      <c r="R26" s="4">
        <f t="shared" si="8"/>
        <v>-1.1879413338543476</v>
      </c>
      <c r="S26" s="3" t="s">
        <v>20</v>
      </c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</row>
    <row r="27" spans="1:1016" s="7" customFormat="1">
      <c r="A27" s="3" t="s">
        <v>52</v>
      </c>
      <c r="B27" s="3" t="s">
        <v>40</v>
      </c>
      <c r="C27" s="4">
        <v>5.34</v>
      </c>
      <c r="D27" s="4"/>
      <c r="E27" s="3"/>
      <c r="F27" s="5">
        <f>1/(1+(10^(6.5-C27)))</f>
        <v>6.4706500953921733E-2</v>
      </c>
      <c r="G27" s="5">
        <v>2.5118864315095801E-4</v>
      </c>
      <c r="H27" s="5">
        <v>9.1000000000000003E-5</v>
      </c>
      <c r="I27" s="5">
        <f>AVERAGE(G27:H27)</f>
        <v>1.71094321575479E-4</v>
      </c>
      <c r="J27" s="5">
        <v>7.0626666666666696E-4</v>
      </c>
      <c r="K27" s="5">
        <f t="shared" si="1"/>
        <v>2.4700000000000004E-4</v>
      </c>
      <c r="L27" s="5">
        <f t="shared" si="2"/>
        <v>8.3499999999999991E-4</v>
      </c>
      <c r="M27" s="5">
        <f t="shared" si="3"/>
        <v>5.5674750962361839E-4</v>
      </c>
      <c r="N27" s="5">
        <f t="shared" si="4"/>
        <v>4.5810409114448621E-3</v>
      </c>
      <c r="O27" s="5">
        <f t="shared" si="5"/>
        <v>8.6041974363609136E-3</v>
      </c>
      <c r="P27" s="5">
        <f t="shared" si="6"/>
        <v>7.0797228159610662E-2</v>
      </c>
      <c r="Q27" s="4">
        <f t="shared" si="7"/>
        <v>-2.0652896326246166</v>
      </c>
      <c r="R27" s="4">
        <f t="shared" si="8"/>
        <v>-1.1499837453971078</v>
      </c>
      <c r="S27" s="3" t="s">
        <v>20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</row>
    <row r="28" spans="1:1016" s="7" customFormat="1">
      <c r="A28" s="3" t="s">
        <v>53</v>
      </c>
      <c r="B28" s="3" t="s">
        <v>24</v>
      </c>
      <c r="C28" s="4"/>
      <c r="D28" s="4">
        <v>9.17</v>
      </c>
      <c r="E28" s="3"/>
      <c r="F28" s="5">
        <f>1/(1+(10^(D28-6.5)))</f>
        <v>2.1334009591299041E-3</v>
      </c>
      <c r="G28" s="5">
        <v>3.4673685045253201E-5</v>
      </c>
      <c r="H28" s="5">
        <v>1.8E-5</v>
      </c>
      <c r="I28" s="5">
        <f>AVERAGE(G28:H28)</f>
        <v>2.6336842522626603E-5</v>
      </c>
      <c r="J28" s="5">
        <v>3.0351999999999999E-4</v>
      </c>
      <c r="K28" s="5">
        <f t="shared" si="1"/>
        <v>2.4700000000000004E-4</v>
      </c>
      <c r="L28" s="5">
        <f t="shared" si="2"/>
        <v>8.3499999999999991E-4</v>
      </c>
      <c r="M28" s="5">
        <f t="shared" si="3"/>
        <v>2.9480227589672767E-5</v>
      </c>
      <c r="N28" s="5">
        <f t="shared" si="4"/>
        <v>4.7685557311658011E-4</v>
      </c>
      <c r="O28" s="5">
        <f t="shared" si="5"/>
        <v>1.3818418644424027E-2</v>
      </c>
      <c r="P28" s="5">
        <f t="shared" si="6"/>
        <v>0.22351896443838812</v>
      </c>
      <c r="Q28" s="4">
        <f t="shared" si="7"/>
        <v>-1.8595416540165004</v>
      </c>
      <c r="R28" s="4">
        <f t="shared" si="8"/>
        <v>-0.65068562330816604</v>
      </c>
      <c r="S28" s="3" t="s">
        <v>20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</row>
    <row r="29" spans="1:1016" s="7" customFormat="1">
      <c r="A29" s="3" t="s">
        <v>54</v>
      </c>
      <c r="B29" s="3" t="s">
        <v>24</v>
      </c>
      <c r="C29" s="4"/>
      <c r="D29" s="4">
        <v>8</v>
      </c>
      <c r="E29" s="3"/>
      <c r="F29" s="5">
        <f>1/(1+(10^(D29-6.5)))</f>
        <v>3.0653430031715501E-2</v>
      </c>
      <c r="G29" s="5">
        <v>1.25892541179417E-9</v>
      </c>
      <c r="H29" s="5"/>
      <c r="I29" s="5">
        <f t="shared" ref="I29:I34" si="9">G29</f>
        <v>1.25892541179417E-9</v>
      </c>
      <c r="J29" s="5">
        <v>3.7150000000000002E-5</v>
      </c>
      <c r="K29" s="5">
        <f t="shared" si="1"/>
        <v>2.4700000000000004E-4</v>
      </c>
      <c r="L29" s="5">
        <f t="shared" si="2"/>
        <v>8.3499999999999991E-4</v>
      </c>
      <c r="M29" s="5">
        <f t="shared" si="3"/>
        <v>1.2589318283985041E-9</v>
      </c>
      <c r="N29" s="5">
        <f t="shared" si="4"/>
        <v>3.8879801967788434E-5</v>
      </c>
      <c r="O29" s="5">
        <f t="shared" si="5"/>
        <v>4.1069851794593725E-8</v>
      </c>
      <c r="P29" s="5">
        <f t="shared" si="6"/>
        <v>1.2683670939128684E-3</v>
      </c>
      <c r="Q29" s="4">
        <f t="shared" si="7"/>
        <v>-7.3864768643464025</v>
      </c>
      <c r="R29" s="4">
        <f t="shared" si="8"/>
        <v>-2.8967550336880268</v>
      </c>
      <c r="S29" s="3" t="s">
        <v>20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</row>
    <row r="30" spans="1:1016" s="7" customFormat="1">
      <c r="A30" s="3" t="s">
        <v>55</v>
      </c>
      <c r="B30" s="3" t="s">
        <v>40</v>
      </c>
      <c r="C30" s="4">
        <v>2.88</v>
      </c>
      <c r="D30" s="4"/>
      <c r="E30" s="3"/>
      <c r="F30" s="5">
        <f>1/(1+(10^(6.5-C30)))</f>
        <v>2.398257617087472E-4</v>
      </c>
      <c r="G30" s="5">
        <v>7.5857757502918399E-5</v>
      </c>
      <c r="H30" s="5"/>
      <c r="I30" s="5">
        <f t="shared" si="9"/>
        <v>7.5857757502918399E-5</v>
      </c>
      <c r="J30" s="5">
        <v>2.6699999999999998E-4</v>
      </c>
      <c r="K30" s="5">
        <f t="shared" si="1"/>
        <v>2.4700000000000004E-4</v>
      </c>
      <c r="L30" s="5">
        <f t="shared" si="2"/>
        <v>8.3499999999999991E-4</v>
      </c>
      <c r="M30" s="5">
        <f t="shared" si="3"/>
        <v>1.0948124688468046E-4</v>
      </c>
      <c r="N30" s="5">
        <f t="shared" si="4"/>
        <v>3.9250880281690135E-4</v>
      </c>
      <c r="O30" s="5">
        <f t="shared" si="5"/>
        <v>0.45650328015068836</v>
      </c>
      <c r="P30" s="5">
        <f t="shared" si="6"/>
        <v>1.6366415351724297</v>
      </c>
      <c r="Q30" s="4">
        <f t="shared" si="7"/>
        <v>-0.34055609754649324</v>
      </c>
      <c r="R30" s="4">
        <f t="shared" si="8"/>
        <v>0.21395356863361109</v>
      </c>
      <c r="S30" s="3" t="s">
        <v>20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</row>
    <row r="31" spans="1:1016" s="7" customFormat="1">
      <c r="A31" s="3" t="s">
        <v>56</v>
      </c>
      <c r="B31" s="3" t="s">
        <v>24</v>
      </c>
      <c r="C31" s="4"/>
      <c r="D31" s="4">
        <v>9.9700000000000006</v>
      </c>
      <c r="E31" s="3"/>
      <c r="F31" s="5">
        <f>1/(1+(10^(D31-6.5)))</f>
        <v>3.3872937966838849E-4</v>
      </c>
      <c r="G31" s="5">
        <v>5.4954087385762503E-8</v>
      </c>
      <c r="H31" s="5"/>
      <c r="I31" s="5">
        <f t="shared" si="9"/>
        <v>5.4954087385762503E-8</v>
      </c>
      <c r="J31" s="5">
        <v>3.0000000000000001E-5</v>
      </c>
      <c r="K31" s="5">
        <f t="shared" si="1"/>
        <v>2.4700000000000004E-4</v>
      </c>
      <c r="L31" s="5">
        <f t="shared" si="2"/>
        <v>8.3499999999999991E-4</v>
      </c>
      <c r="M31" s="5">
        <f t="shared" si="3"/>
        <v>5.4966316631784596E-8</v>
      </c>
      <c r="N31" s="5">
        <f t="shared" si="4"/>
        <v>3.1118012422360249E-5</v>
      </c>
      <c r="O31" s="5">
        <f t="shared" si="5"/>
        <v>1.6227206711622087E-4</v>
      </c>
      <c r="P31" s="5">
        <f t="shared" si="6"/>
        <v>9.1866883388811341E-2</v>
      </c>
      <c r="Q31" s="4">
        <f t="shared" si="7"/>
        <v>-3.7897562315066642</v>
      </c>
      <c r="R31" s="4">
        <f t="shared" si="8"/>
        <v>-1.0368410169435751</v>
      </c>
      <c r="S31" s="3" t="s">
        <v>20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</row>
    <row r="32" spans="1:1016" s="7" customFormat="1">
      <c r="A32" s="3" t="s">
        <v>57</v>
      </c>
      <c r="B32" s="3" t="s">
        <v>19</v>
      </c>
      <c r="C32" s="4"/>
      <c r="D32" s="4"/>
      <c r="E32" s="3"/>
      <c r="F32" s="5">
        <v>1</v>
      </c>
      <c r="G32" s="5">
        <v>8.9125093813374603E-7</v>
      </c>
      <c r="H32" s="5"/>
      <c r="I32" s="5">
        <f t="shared" si="9"/>
        <v>8.9125093813374603E-7</v>
      </c>
      <c r="J32" s="5">
        <v>1.3999999999999999E-4</v>
      </c>
      <c r="K32" s="5">
        <f t="shared" si="1"/>
        <v>2.4700000000000004E-4</v>
      </c>
      <c r="L32" s="5">
        <f t="shared" si="2"/>
        <v>8.3499999999999991E-4</v>
      </c>
      <c r="M32" s="5">
        <f t="shared" si="3"/>
        <v>8.9447848789681685E-7</v>
      </c>
      <c r="N32" s="5">
        <f t="shared" si="4"/>
        <v>1.6820143884892086E-4</v>
      </c>
      <c r="O32" s="5">
        <f t="shared" si="5"/>
        <v>8.9447848789681685E-7</v>
      </c>
      <c r="P32" s="5">
        <f t="shared" si="6"/>
        <v>1.6820143884892086E-4</v>
      </c>
      <c r="Q32" s="4">
        <f t="shared" si="7"/>
        <v>-6.048430099702589</v>
      </c>
      <c r="R32" s="4">
        <f t="shared" si="8"/>
        <v>-3.7741702934282739</v>
      </c>
      <c r="S32" s="3" t="s">
        <v>20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</row>
    <row r="33" spans="1:1016" s="7" customFormat="1">
      <c r="A33" s="3" t="s">
        <v>58</v>
      </c>
      <c r="B33" s="3" t="s">
        <v>24</v>
      </c>
      <c r="C33" s="4"/>
      <c r="D33" s="4">
        <v>7.4</v>
      </c>
      <c r="E33" s="3"/>
      <c r="F33" s="5">
        <f>1/(1+(10^(D33-6.5)))</f>
        <v>0.11181576977811683</v>
      </c>
      <c r="G33" s="5">
        <v>1.47910838816821E-6</v>
      </c>
      <c r="H33" s="5"/>
      <c r="I33" s="5">
        <f t="shared" si="9"/>
        <v>1.47910838816821E-6</v>
      </c>
      <c r="J33" s="5">
        <v>1.66E-4</v>
      </c>
      <c r="K33" s="5">
        <f t="shared" si="1"/>
        <v>2.4700000000000004E-4</v>
      </c>
      <c r="L33" s="5">
        <f t="shared" si="2"/>
        <v>8.3499999999999991E-4</v>
      </c>
      <c r="M33" s="5">
        <f t="shared" si="3"/>
        <v>1.4880190825274029E-6</v>
      </c>
      <c r="N33" s="5">
        <f t="shared" si="4"/>
        <v>2.0718983557548579E-4</v>
      </c>
      <c r="O33" s="5">
        <f t="shared" si="5"/>
        <v>1.3307774793127786E-5</v>
      </c>
      <c r="P33" s="5">
        <f t="shared" si="6"/>
        <v>1.8529571990303856E-3</v>
      </c>
      <c r="Q33" s="4">
        <f t="shared" si="7"/>
        <v>-4.8758945572869443</v>
      </c>
      <c r="R33" s="4">
        <f t="shared" si="8"/>
        <v>-2.7321346122189354</v>
      </c>
      <c r="S33" s="3" t="s">
        <v>20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</row>
    <row r="34" spans="1:1016" s="7" customFormat="1">
      <c r="A34" s="3" t="s">
        <v>59</v>
      </c>
      <c r="B34" s="3" t="s">
        <v>24</v>
      </c>
      <c r="C34" s="4"/>
      <c r="D34" s="4">
        <v>8.76</v>
      </c>
      <c r="E34" s="3"/>
      <c r="F34" s="5">
        <f>1/(1+(10^(D34-6.5)))</f>
        <v>5.4653742730366118E-3</v>
      </c>
      <c r="G34" s="5">
        <v>2.6915348039269099E-5</v>
      </c>
      <c r="H34" s="5"/>
      <c r="I34" s="5">
        <f t="shared" si="9"/>
        <v>2.6915348039269099E-5</v>
      </c>
      <c r="J34" s="5">
        <v>6.2960000000000002E-4</v>
      </c>
      <c r="K34" s="5">
        <f t="shared" si="1"/>
        <v>2.4700000000000004E-4</v>
      </c>
      <c r="L34" s="5">
        <f t="shared" si="2"/>
        <v>8.3499999999999991E-4</v>
      </c>
      <c r="M34" s="5">
        <f t="shared" si="3"/>
        <v>3.0206972210336899E-5</v>
      </c>
      <c r="N34" s="5">
        <f t="shared" si="4"/>
        <v>2.5594741966893883E-3</v>
      </c>
      <c r="O34" s="5">
        <f t="shared" si="5"/>
        <v>5.5269722989261319E-3</v>
      </c>
      <c r="P34" s="5">
        <f t="shared" si="6"/>
        <v>0.46830721352726701</v>
      </c>
      <c r="Q34" s="4">
        <f t="shared" si="7"/>
        <v>-2.2575127120879683</v>
      </c>
      <c r="R34" s="4">
        <f t="shared" si="8"/>
        <v>-0.32946915255112713</v>
      </c>
      <c r="S34" s="3" t="s">
        <v>20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</row>
    <row r="35" spans="1:1016" s="7" customFormat="1">
      <c r="A35" s="3" t="s">
        <v>60</v>
      </c>
      <c r="B35" s="3" t="s">
        <v>19</v>
      </c>
      <c r="C35" s="4"/>
      <c r="D35" s="4"/>
      <c r="E35" s="3"/>
      <c r="F35" s="5">
        <v>1</v>
      </c>
      <c r="G35" s="5">
        <v>7.2443596007499005E-4</v>
      </c>
      <c r="H35" s="5">
        <v>3.6000000000000001E-5</v>
      </c>
      <c r="I35" s="5">
        <f>AVERAGE(G35:H35)</f>
        <v>3.8021798003749503E-4</v>
      </c>
      <c r="J35" s="5">
        <v>4.2999999999999999E-4</v>
      </c>
      <c r="K35" s="5">
        <f t="shared" si="1"/>
        <v>2.4700000000000004E-4</v>
      </c>
      <c r="L35" s="5">
        <f t="shared" si="2"/>
        <v>8.3499999999999991E-4</v>
      </c>
      <c r="M35" s="5">
        <f t="shared" si="3"/>
        <v>-7.0496370717247549E-4</v>
      </c>
      <c r="N35" s="5">
        <f t="shared" si="4"/>
        <v>8.8654320987654328E-4</v>
      </c>
      <c r="O35" s="5">
        <f t="shared" si="5"/>
        <v>-7.0496370717247549E-4</v>
      </c>
      <c r="P35" s="5">
        <f t="shared" si="6"/>
        <v>8.8654320987654328E-4</v>
      </c>
      <c r="Q35" s="4" t="s">
        <v>61</v>
      </c>
      <c r="R35" s="4">
        <f>LOG10(P35)</f>
        <v>-3.05230009215148</v>
      </c>
      <c r="S35" s="3" t="s">
        <v>62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</row>
    <row r="36" spans="1:1016" s="7" customFormat="1">
      <c r="A36" s="3" t="s">
        <v>63</v>
      </c>
      <c r="B36" s="3" t="s">
        <v>19</v>
      </c>
      <c r="C36" s="4"/>
      <c r="D36" s="4"/>
      <c r="E36" s="3"/>
      <c r="F36" s="5">
        <v>1</v>
      </c>
      <c r="G36" s="5">
        <v>2.0892961308540399E-5</v>
      </c>
      <c r="H36" s="5"/>
      <c r="I36" s="5">
        <f t="shared" ref="I36:I42" si="10">G36</f>
        <v>2.0892961308540399E-5</v>
      </c>
      <c r="J36" s="5">
        <v>9.4316666666666702E-4</v>
      </c>
      <c r="K36" s="5">
        <f t="shared" si="1"/>
        <v>2.4700000000000004E-4</v>
      </c>
      <c r="L36" s="5">
        <f t="shared" si="2"/>
        <v>8.3499999999999991E-4</v>
      </c>
      <c r="M36" s="5">
        <f t="shared" si="3"/>
        <v>2.2823532929691149E-5</v>
      </c>
      <c r="N36" s="5">
        <f t="shared" si="4"/>
        <v>-7.2808397534668426E-3</v>
      </c>
      <c r="O36" s="5">
        <f t="shared" si="5"/>
        <v>2.2823532929691149E-5</v>
      </c>
      <c r="P36" s="5">
        <f t="shared" si="6"/>
        <v>-7.2808397534668426E-3</v>
      </c>
      <c r="Q36" s="4">
        <f>LOG10(O36)</f>
        <v>-4.6416171288436781</v>
      </c>
      <c r="R36" s="4" t="s">
        <v>64</v>
      </c>
      <c r="S36" s="3" t="s">
        <v>62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</row>
    <row r="37" spans="1:1016" s="7" customFormat="1">
      <c r="A37" s="3" t="s">
        <v>65</v>
      </c>
      <c r="B37" s="3" t="s">
        <v>40</v>
      </c>
      <c r="C37" s="4">
        <v>4.3099999999999996</v>
      </c>
      <c r="D37" s="4"/>
      <c r="E37" s="3"/>
      <c r="F37" s="5">
        <f>1/(1+(10^(6.5-C37)))</f>
        <v>6.4151227788272827E-3</v>
      </c>
      <c r="G37" s="5">
        <v>2.6915348039269102E-4</v>
      </c>
      <c r="H37" s="5"/>
      <c r="I37" s="5">
        <f t="shared" si="10"/>
        <v>2.6915348039269102E-4</v>
      </c>
      <c r="J37" s="5">
        <v>2.3800000000000001E-4</v>
      </c>
      <c r="K37" s="5">
        <f t="shared" si="1"/>
        <v>2.4700000000000004E-4</v>
      </c>
      <c r="L37" s="5">
        <f t="shared" si="2"/>
        <v>8.3499999999999991E-4</v>
      </c>
      <c r="M37" s="5">
        <f t="shared" si="3"/>
        <v>-3.0009239396500669E-3</v>
      </c>
      <c r="N37" s="5">
        <f t="shared" si="4"/>
        <v>3.3288107202680074E-4</v>
      </c>
      <c r="O37" s="5">
        <f t="shared" si="5"/>
        <v>-0.46778901092188468</v>
      </c>
      <c r="P37" s="5">
        <f t="shared" si="6"/>
        <v>5.1890054719678037E-2</v>
      </c>
      <c r="Q37" s="4" t="s">
        <v>61</v>
      </c>
      <c r="R37" s="4">
        <f>LOG10(P37)</f>
        <v>-1.2849158713277806</v>
      </c>
      <c r="S37" s="3" t="s">
        <v>62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</row>
    <row r="38" spans="1:1016" s="7" customFormat="1">
      <c r="A38" s="3" t="s">
        <v>66</v>
      </c>
      <c r="B38" s="3" t="s">
        <v>40</v>
      </c>
      <c r="C38" s="4">
        <v>4.0199999999999996</v>
      </c>
      <c r="D38" s="4"/>
      <c r="E38" s="3"/>
      <c r="F38" s="5">
        <f>1/(1+(10^(6.5-C38)))</f>
        <v>3.3003826208403021E-3</v>
      </c>
      <c r="G38" s="5">
        <v>1.77827941003892E-4</v>
      </c>
      <c r="H38" s="5"/>
      <c r="I38" s="5">
        <f t="shared" si="10"/>
        <v>1.77827941003892E-4</v>
      </c>
      <c r="J38" s="5">
        <v>8.4500000000000005E-4</v>
      </c>
      <c r="K38" s="5">
        <f t="shared" si="1"/>
        <v>2.4700000000000004E-4</v>
      </c>
      <c r="L38" s="5">
        <f t="shared" si="2"/>
        <v>8.3499999999999991E-4</v>
      </c>
      <c r="M38" s="5">
        <f t="shared" si="3"/>
        <v>6.3498907023185026E-4</v>
      </c>
      <c r="N38" s="5">
        <f t="shared" si="4"/>
        <v>-7.0557499999998899E-2</v>
      </c>
      <c r="O38" s="5">
        <f t="shared" si="5"/>
        <v>0.19239862257854737</v>
      </c>
      <c r="P38" s="5">
        <f t="shared" si="6"/>
        <v>-21.378581851226215</v>
      </c>
      <c r="Q38" s="4">
        <f>LOG10(O38)</f>
        <v>-0.71579804149091619</v>
      </c>
      <c r="R38" s="4" t="s">
        <v>64</v>
      </c>
      <c r="S38" s="3" t="s">
        <v>62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</row>
    <row r="39" spans="1:1016" s="7" customFormat="1">
      <c r="A39" s="3" t="s">
        <v>67</v>
      </c>
      <c r="B39" s="3" t="s">
        <v>40</v>
      </c>
      <c r="C39" s="4">
        <v>4</v>
      </c>
      <c r="D39" s="4"/>
      <c r="E39" s="3"/>
      <c r="F39" s="5">
        <f>1/(1+(10^(6.5-C39)))</f>
        <v>3.1523091832602089E-3</v>
      </c>
      <c r="G39" s="5">
        <v>4.6773514128719803E-4</v>
      </c>
      <c r="H39" s="5"/>
      <c r="I39" s="5">
        <f t="shared" si="10"/>
        <v>4.6773514128719803E-4</v>
      </c>
      <c r="J39" s="5">
        <v>8.9599999999999999E-4</v>
      </c>
      <c r="K39" s="5">
        <f t="shared" si="1"/>
        <v>2.4700000000000004E-4</v>
      </c>
      <c r="L39" s="5">
        <f t="shared" si="2"/>
        <v>8.3499999999999991E-4</v>
      </c>
      <c r="M39" s="5">
        <f t="shared" si="3"/>
        <v>-5.2339006478185261E-4</v>
      </c>
      <c r="N39" s="5">
        <f t="shared" si="4"/>
        <v>-1.226491803278687E-2</v>
      </c>
      <c r="O39" s="5">
        <f t="shared" si="5"/>
        <v>-0.16603386100615536</v>
      </c>
      <c r="P39" s="5">
        <f t="shared" si="6"/>
        <v>-3.890772547920613</v>
      </c>
      <c r="Q39" s="4" t="s">
        <v>61</v>
      </c>
      <c r="R39" s="4" t="s">
        <v>64</v>
      </c>
      <c r="S39" s="3" t="s">
        <v>62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</row>
    <row r="40" spans="1:1016" s="7" customFormat="1">
      <c r="A40" s="3" t="s">
        <v>68</v>
      </c>
      <c r="B40" s="3" t="s">
        <v>40</v>
      </c>
      <c r="C40" s="4">
        <v>6.9</v>
      </c>
      <c r="D40" s="4"/>
      <c r="E40" s="3"/>
      <c r="F40" s="5">
        <f>1/(1+(10^(6.5-C40)))</f>
        <v>0.71525275104919883</v>
      </c>
      <c r="G40" s="5">
        <v>1.99526231496888E-7</v>
      </c>
      <c r="H40" s="3"/>
      <c r="I40" s="5">
        <f t="shared" si="10"/>
        <v>1.99526231496888E-7</v>
      </c>
      <c r="J40" s="5">
        <v>8.8999999999999995E-4</v>
      </c>
      <c r="K40" s="5">
        <f t="shared" si="1"/>
        <v>2.4700000000000004E-4</v>
      </c>
      <c r="L40" s="5">
        <f t="shared" si="2"/>
        <v>8.3499999999999991E-4</v>
      </c>
      <c r="M40" s="5">
        <f t="shared" si="3"/>
        <v>1.9968753879280788E-7</v>
      </c>
      <c r="N40" s="5">
        <f t="shared" si="4"/>
        <v>-1.3511818181818151E-2</v>
      </c>
      <c r="O40" s="5">
        <f t="shared" si="5"/>
        <v>2.7918457985640423E-7</v>
      </c>
      <c r="P40" s="5">
        <f t="shared" si="6"/>
        <v>-1.8890969887215069E-2</v>
      </c>
      <c r="Q40" s="4">
        <f>LOG10(O40)</f>
        <v>-6.5541085726828818</v>
      </c>
      <c r="R40" s="4" t="s">
        <v>64</v>
      </c>
      <c r="S40" s="3" t="s">
        <v>62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</row>
    <row r="41" spans="1:1016" s="7" customFormat="1">
      <c r="A41" s="3" t="s">
        <v>69</v>
      </c>
      <c r="B41" s="3" t="s">
        <v>40</v>
      </c>
      <c r="C41" s="4">
        <v>4.5199999999999996</v>
      </c>
      <c r="D41" s="4"/>
      <c r="E41" s="3"/>
      <c r="F41" s="5">
        <f>1/(1+(10^(6.5-C41)))</f>
        <v>1.0362773916459758E-2</v>
      </c>
      <c r="G41" s="5">
        <v>1.4454397707459299E-3</v>
      </c>
      <c r="H41" s="5"/>
      <c r="I41" s="5">
        <f t="shared" si="10"/>
        <v>1.4454397707459299E-3</v>
      </c>
      <c r="J41" s="5">
        <v>9.8999999999999994E-5</v>
      </c>
      <c r="K41" s="5">
        <f t="shared" si="1"/>
        <v>2.4700000000000004E-4</v>
      </c>
      <c r="L41" s="5">
        <f t="shared" si="2"/>
        <v>8.3499999999999991E-4</v>
      </c>
      <c r="M41" s="5">
        <f t="shared" si="3"/>
        <v>-2.9790702218771242E-4</v>
      </c>
      <c r="N41" s="5">
        <f t="shared" si="4"/>
        <v>1.123165760869565E-4</v>
      </c>
      <c r="O41" s="5">
        <f t="shared" si="5"/>
        <v>-2.8747806773486633E-2</v>
      </c>
      <c r="P41" s="5">
        <f t="shared" si="6"/>
        <v>1.0838466321122569E-2</v>
      </c>
      <c r="Q41" s="4" t="s">
        <v>61</v>
      </c>
      <c r="R41" s="4">
        <f>LOG10(P41)</f>
        <v>-1.9650321675574742</v>
      </c>
      <c r="S41" s="3" t="s">
        <v>62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</row>
    <row r="42" spans="1:1016" s="7" customFormat="1">
      <c r="A42" s="3" t="s">
        <v>70</v>
      </c>
      <c r="B42" s="3" t="s">
        <v>19</v>
      </c>
      <c r="C42" s="4"/>
      <c r="D42" s="4"/>
      <c r="E42" s="3"/>
      <c r="F42" s="5">
        <v>1</v>
      </c>
      <c r="G42" s="5">
        <v>1.41253754462275E-4</v>
      </c>
      <c r="H42" s="5"/>
      <c r="I42" s="5">
        <f t="shared" si="10"/>
        <v>1.41253754462275E-4</v>
      </c>
      <c r="J42" s="5">
        <v>1.8699999999999999E-3</v>
      </c>
      <c r="K42" s="5">
        <f t="shared" si="1"/>
        <v>2.4700000000000004E-4</v>
      </c>
      <c r="L42" s="5">
        <f t="shared" si="2"/>
        <v>8.3499999999999991E-4</v>
      </c>
      <c r="M42" s="5">
        <f t="shared" si="3"/>
        <v>3.2993774081307699E-4</v>
      </c>
      <c r="N42" s="5">
        <f t="shared" si="4"/>
        <v>-1.5086473429951686E-3</v>
      </c>
      <c r="O42" s="5">
        <f t="shared" si="5"/>
        <v>3.2993774081307699E-4</v>
      </c>
      <c r="P42" s="5">
        <f t="shared" si="6"/>
        <v>-1.5086473429951686E-3</v>
      </c>
      <c r="Q42" s="4">
        <f>LOG10(O42)</f>
        <v>-3.4815680036744707</v>
      </c>
      <c r="R42" s="4" t="s">
        <v>64</v>
      </c>
      <c r="S42" s="3" t="s">
        <v>62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</row>
    <row r="43" spans="1:1016" s="7" customFormat="1">
      <c r="A43" s="3"/>
      <c r="B43" s="3"/>
      <c r="C43" s="3"/>
      <c r="D43" s="3"/>
      <c r="E43" s="3"/>
      <c r="F43" s="3"/>
      <c r="G43" s="3"/>
      <c r="H43" s="3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</row>
    <row r="44" spans="1:1016" s="7" customForma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</row>
    <row r="45" spans="1:1016" s="7" customFormat="1">
      <c r="A45" s="6" t="s">
        <v>71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</row>
    <row r="46" spans="1:1016" s="7" customFormat="1">
      <c r="A46" s="3" t="s">
        <v>72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</row>
    <row r="47" spans="1:1016" s="7" customFormat="1">
      <c r="A47" s="3" t="s">
        <v>73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</row>
    <row r="48" spans="1:1016" s="7" customFormat="1">
      <c r="A48" s="3" t="s">
        <v>74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</row>
    <row r="49" spans="1:1016" s="7" customFormat="1">
      <c r="A49" s="3" t="s">
        <v>75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</row>
    <row r="50" spans="1:1016" s="7" customFormat="1">
      <c r="A50" s="3" t="s">
        <v>76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</row>
    <row r="51" spans="1:1016" s="7" customFormat="1">
      <c r="A51" s="3" t="s">
        <v>77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</row>
    <row r="52" spans="1:1016" s="7" customFormat="1">
      <c r="A52" s="3" t="s">
        <v>78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</row>
  </sheetData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Summary_paper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</dc:creator>
  <cp:lastModifiedBy>Mark</cp:lastModifiedBy>
  <cp:revision>59</cp:revision>
  <dcterms:created xsi:type="dcterms:W3CDTF">2016-11-03T14:34:22Z</dcterms:created>
  <dcterms:modified xsi:type="dcterms:W3CDTF">2017-11-07T17:39:06Z</dcterms:modified>
</cp:coreProperties>
</file>