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earl\Desktop\Ascorbic\"/>
    </mc:Choice>
  </mc:AlternateContent>
  <bookViews>
    <workbookView xWindow="0" yWindow="0" windowWidth="20490" windowHeight="7755" activeTab="6"/>
  </bookViews>
  <sheets>
    <sheet name="pKa_red" sheetId="5" r:id="rId1"/>
    <sheet name="pKa_ox1" sheetId="6" r:id="rId2"/>
    <sheet name="E_ox1" sheetId="7" r:id="rId3"/>
    <sheet name="E_ox2" sheetId="11" r:id="rId4"/>
    <sheet name="DHA" sheetId="12" r:id="rId5"/>
    <sheet name="Disproportionation" sheetId="13" r:id="rId6"/>
    <sheet name="Asc_O2" sheetId="14" r:id="rId7"/>
  </sheets>
  <externalReferences>
    <externalReference r:id="rId8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3" i="14" l="1"/>
  <c r="J12" i="14"/>
  <c r="T15" i="14"/>
  <c r="T14" i="14"/>
  <c r="P15" i="14"/>
  <c r="P14" i="14"/>
  <c r="J11" i="14"/>
  <c r="K41" i="13"/>
  <c r="J44" i="13"/>
  <c r="J41" i="13"/>
  <c r="J14" i="13"/>
  <c r="K14" i="13" s="1"/>
  <c r="J13" i="13"/>
  <c r="O11" i="12"/>
  <c r="O10" i="12"/>
  <c r="P22" i="12"/>
  <c r="P21" i="12"/>
  <c r="O22" i="12"/>
  <c r="O21" i="12"/>
  <c r="M11" i="12"/>
  <c r="M10" i="12"/>
  <c r="E22" i="12"/>
  <c r="F22" i="12"/>
  <c r="E20" i="12"/>
  <c r="F20" i="12"/>
  <c r="F11" i="12"/>
  <c r="E11" i="12"/>
  <c r="F9" i="12"/>
  <c r="F8" i="12"/>
  <c r="E9" i="12"/>
  <c r="J9" i="14"/>
  <c r="T11" i="14"/>
  <c r="P11" i="14"/>
  <c r="T10" i="14"/>
  <c r="P10" i="14"/>
  <c r="I8" i="14"/>
  <c r="J8" i="14" s="1"/>
  <c r="H4" i="14"/>
  <c r="P25" i="14" s="1"/>
  <c r="G4" i="14"/>
  <c r="J12" i="13"/>
  <c r="K12" i="13" s="1"/>
  <c r="T13" i="13"/>
  <c r="T12" i="13"/>
  <c r="V11" i="13"/>
  <c r="T11" i="13"/>
  <c r="R11" i="13"/>
  <c r="P11" i="13"/>
  <c r="J11" i="13"/>
  <c r="V10" i="13"/>
  <c r="T10" i="13"/>
  <c r="R10" i="13"/>
  <c r="P10" i="13"/>
  <c r="J8" i="13"/>
  <c r="T9" i="13" s="1"/>
  <c r="H4" i="13"/>
  <c r="G4" i="13"/>
  <c r="J26" i="14" l="1"/>
  <c r="J28" i="14"/>
  <c r="J31" i="14"/>
  <c r="J33" i="14"/>
  <c r="J25" i="14"/>
  <c r="J27" i="14"/>
  <c r="J30" i="14"/>
  <c r="J32" i="14"/>
  <c r="T13" i="14"/>
  <c r="T17" i="14"/>
  <c r="P18" i="14"/>
  <c r="T19" i="14"/>
  <c r="P20" i="14"/>
  <c r="T27" i="14"/>
  <c r="T12" i="14"/>
  <c r="T16" i="14"/>
  <c r="P21" i="14"/>
  <c r="T22" i="14"/>
  <c r="T23" i="14"/>
  <c r="T24" i="14"/>
  <c r="T25" i="14"/>
  <c r="T26" i="14"/>
  <c r="R9" i="13"/>
  <c r="P8" i="13"/>
  <c r="T8" i="13"/>
  <c r="V9" i="13"/>
  <c r="P8" i="14"/>
  <c r="P9" i="14"/>
  <c r="P12" i="14"/>
  <c r="P13" i="14"/>
  <c r="P16" i="14"/>
  <c r="P17" i="14"/>
  <c r="T18" i="14"/>
  <c r="P19" i="14"/>
  <c r="T20" i="14"/>
  <c r="T21" i="14"/>
  <c r="P22" i="14"/>
  <c r="P23" i="14"/>
  <c r="P24" i="14"/>
  <c r="R13" i="13"/>
  <c r="V13" i="13"/>
  <c r="T14" i="13"/>
  <c r="R15" i="13"/>
  <c r="V15" i="13"/>
  <c r="V16" i="13"/>
  <c r="V17" i="13"/>
  <c r="V18" i="13"/>
  <c r="V19" i="13"/>
  <c r="V21" i="13"/>
  <c r="V22" i="13"/>
  <c r="V23" i="13"/>
  <c r="J17" i="13"/>
  <c r="R8" i="13"/>
  <c r="V8" i="13"/>
  <c r="P9" i="13"/>
  <c r="R12" i="13"/>
  <c r="V12" i="13"/>
  <c r="R14" i="13"/>
  <c r="V14" i="13"/>
  <c r="T15" i="13"/>
  <c r="V20" i="13"/>
  <c r="J16" i="13"/>
  <c r="E31" i="12"/>
  <c r="F31" i="12" s="1"/>
  <c r="F25" i="12"/>
  <c r="E25" i="12"/>
  <c r="F24" i="12"/>
  <c r="E24" i="12"/>
  <c r="F23" i="12"/>
  <c r="E23" i="12"/>
  <c r="F21" i="12"/>
  <c r="E21" i="12"/>
  <c r="F19" i="12"/>
  <c r="E19" i="12"/>
  <c r="F14" i="12"/>
  <c r="E14" i="12"/>
  <c r="F13" i="12"/>
  <c r="E13" i="12"/>
  <c r="F12" i="12"/>
  <c r="E12" i="12"/>
  <c r="F10" i="12"/>
  <c r="E10" i="12"/>
  <c r="E8" i="12"/>
  <c r="I4" i="12"/>
  <c r="G4" i="12"/>
  <c r="F4" i="12"/>
  <c r="J10" i="12" l="1"/>
  <c r="G21" i="12"/>
  <c r="H21" i="12" s="1"/>
  <c r="G22" i="12"/>
  <c r="H22" i="12" s="1"/>
  <c r="G24" i="12"/>
  <c r="H24" i="12" s="1"/>
  <c r="G25" i="12"/>
  <c r="H25" i="12" s="1"/>
  <c r="L23" i="12"/>
  <c r="T9" i="14"/>
  <c r="T8" i="14"/>
  <c r="J12" i="12"/>
  <c r="L21" i="12"/>
  <c r="G23" i="12"/>
  <c r="H23" i="12" s="1"/>
  <c r="L25" i="12"/>
  <c r="J11" i="12"/>
  <c r="J14" i="12"/>
  <c r="L22" i="12"/>
  <c r="H49" i="11" l="1"/>
  <c r="D50" i="11"/>
  <c r="D49" i="11"/>
  <c r="H44" i="11"/>
  <c r="H45" i="11"/>
  <c r="H46" i="11"/>
  <c r="H43" i="11"/>
  <c r="D41" i="11"/>
  <c r="H40" i="11"/>
  <c r="D47" i="11"/>
  <c r="D46" i="11"/>
  <c r="D45" i="11"/>
  <c r="D44" i="11"/>
  <c r="D43" i="11"/>
  <c r="D40" i="11"/>
  <c r="E26" i="11" l="1"/>
  <c r="E27" i="11"/>
  <c r="E28" i="11"/>
  <c r="E29" i="11"/>
  <c r="E30" i="11"/>
  <c r="E31" i="11"/>
  <c r="E32" i="11"/>
  <c r="E33" i="11"/>
  <c r="E34" i="11"/>
  <c r="E25" i="11"/>
  <c r="H13" i="11"/>
  <c r="H14" i="11"/>
  <c r="H15" i="11"/>
  <c r="H16" i="11"/>
  <c r="H17" i="11"/>
  <c r="H18" i="11"/>
  <c r="H19" i="11"/>
  <c r="H20" i="11"/>
  <c r="H21" i="11"/>
  <c r="F14" i="11"/>
  <c r="F15" i="11"/>
  <c r="F16" i="11"/>
  <c r="F17" i="11"/>
  <c r="F18" i="11"/>
  <c r="F19" i="11"/>
  <c r="F20" i="11"/>
  <c r="F21" i="11"/>
  <c r="F22" i="11"/>
  <c r="E14" i="11"/>
  <c r="E15" i="11"/>
  <c r="E16" i="11"/>
  <c r="E17" i="11"/>
  <c r="E18" i="11"/>
  <c r="E19" i="11"/>
  <c r="E20" i="11"/>
  <c r="E21" i="11"/>
  <c r="E22" i="11"/>
  <c r="F13" i="11"/>
  <c r="E13" i="11"/>
  <c r="D71" i="7"/>
  <c r="D70" i="7"/>
  <c r="H65" i="7"/>
  <c r="E14" i="7"/>
  <c r="E15" i="7"/>
  <c r="E16" i="7"/>
  <c r="E17" i="7"/>
  <c r="E18" i="7"/>
  <c r="E19" i="7"/>
  <c r="E20" i="7"/>
  <c r="E21" i="7"/>
  <c r="E22" i="7"/>
  <c r="E23" i="7"/>
  <c r="E13" i="7"/>
  <c r="D39" i="6"/>
  <c r="D40" i="6"/>
  <c r="D42" i="6"/>
  <c r="D43" i="6"/>
  <c r="F42" i="6" s="1"/>
  <c r="E14" i="6"/>
  <c r="E15" i="6"/>
  <c r="E16" i="6"/>
  <c r="E17" i="6"/>
  <c r="E18" i="6"/>
  <c r="E19" i="6"/>
  <c r="E20" i="6"/>
  <c r="E21" i="6"/>
  <c r="E22" i="6"/>
  <c r="E23" i="6"/>
  <c r="E13" i="6"/>
  <c r="F39" i="6" l="1"/>
  <c r="E38" i="5"/>
  <c r="E39" i="5"/>
  <c r="E40" i="5"/>
  <c r="E41" i="5"/>
  <c r="E42" i="5"/>
  <c r="E43" i="5"/>
  <c r="E44" i="5"/>
  <c r="E45" i="5"/>
  <c r="E46" i="5"/>
  <c r="E37" i="5"/>
  <c r="E26" i="5"/>
  <c r="E27" i="5"/>
  <c r="E28" i="5"/>
  <c r="E29" i="5"/>
  <c r="E30" i="5"/>
  <c r="E31" i="5"/>
  <c r="E32" i="5"/>
  <c r="E33" i="5"/>
  <c r="E34" i="5"/>
  <c r="E35" i="5"/>
  <c r="E25" i="5"/>
  <c r="E14" i="5"/>
  <c r="E15" i="5"/>
  <c r="E16" i="5"/>
  <c r="E17" i="5"/>
  <c r="E18" i="5"/>
  <c r="E19" i="5"/>
  <c r="E20" i="5"/>
  <c r="E21" i="5"/>
  <c r="E22" i="5"/>
  <c r="E23" i="5"/>
  <c r="E13" i="5"/>
  <c r="D72" i="7" l="1"/>
  <c r="D73" i="7"/>
  <c r="D59" i="5" l="1"/>
  <c r="D56" i="5" l="1"/>
  <c r="D57" i="5"/>
  <c r="D58" i="5"/>
  <c r="F38" i="7" l="1"/>
  <c r="F39" i="7"/>
  <c r="F40" i="7"/>
  <c r="F41" i="7"/>
  <c r="F42" i="7"/>
  <c r="F43" i="7"/>
  <c r="F44" i="7"/>
  <c r="F45" i="7"/>
  <c r="F46" i="7"/>
  <c r="F26" i="7"/>
  <c r="F27" i="7"/>
  <c r="F28" i="7"/>
  <c r="G28" i="7" s="1"/>
  <c r="H28" i="7" s="1"/>
  <c r="F29" i="7"/>
  <c r="F30" i="7"/>
  <c r="G30" i="7" s="1"/>
  <c r="H30" i="7" s="1"/>
  <c r="F31" i="7"/>
  <c r="F32" i="7"/>
  <c r="G32" i="7" s="1"/>
  <c r="H32" i="7" s="1"/>
  <c r="F33" i="7"/>
  <c r="F34" i="7"/>
  <c r="G34" i="7" s="1"/>
  <c r="H34" i="7" s="1"/>
  <c r="F35" i="7"/>
  <c r="F23" i="6"/>
  <c r="F14" i="7"/>
  <c r="F15" i="7"/>
  <c r="F16" i="7"/>
  <c r="F17" i="7"/>
  <c r="F18" i="7"/>
  <c r="F19" i="7"/>
  <c r="F20" i="7"/>
  <c r="F21" i="7"/>
  <c r="F22" i="7"/>
  <c r="F23" i="7"/>
  <c r="G26" i="7" l="1"/>
  <c r="H26" i="7" s="1"/>
  <c r="G20" i="7"/>
  <c r="H20" i="7" s="1"/>
  <c r="G16" i="7"/>
  <c r="H16" i="7" s="1"/>
  <c r="G35" i="7"/>
  <c r="H35" i="7" s="1"/>
  <c r="G31" i="7"/>
  <c r="H31" i="7" s="1"/>
  <c r="G27" i="7"/>
  <c r="H27" i="7" s="1"/>
  <c r="G46" i="7"/>
  <c r="H46" i="7" s="1"/>
  <c r="G44" i="7"/>
  <c r="H44" i="7" s="1"/>
  <c r="G42" i="7"/>
  <c r="H42" i="7" s="1"/>
  <c r="G40" i="7"/>
  <c r="H40" i="7" s="1"/>
  <c r="G38" i="7"/>
  <c r="H38" i="7" s="1"/>
  <c r="G43" i="7"/>
  <c r="H43" i="7" s="1"/>
  <c r="G39" i="7"/>
  <c r="H39" i="7" s="1"/>
  <c r="G22" i="7"/>
  <c r="H22" i="7" s="1"/>
  <c r="G18" i="7"/>
  <c r="H18" i="7" s="1"/>
  <c r="G14" i="7"/>
  <c r="H14" i="7" s="1"/>
  <c r="G33" i="7"/>
  <c r="H33" i="7" s="1"/>
  <c r="G29" i="7"/>
  <c r="H29" i="7" s="1"/>
  <c r="G45" i="7"/>
  <c r="H45" i="7" s="1"/>
  <c r="G41" i="7"/>
  <c r="H41" i="7" s="1"/>
  <c r="G23" i="7"/>
  <c r="H23" i="7" s="1"/>
  <c r="G21" i="7"/>
  <c r="H21" i="7" s="1"/>
  <c r="G19" i="7"/>
  <c r="H19" i="7" s="1"/>
  <c r="G17" i="7"/>
  <c r="H17" i="7" s="1"/>
  <c r="G15" i="7"/>
  <c r="H15" i="7" s="1"/>
  <c r="F38" i="5"/>
  <c r="F39" i="5"/>
  <c r="F40" i="5"/>
  <c r="F41" i="5"/>
  <c r="F42" i="5"/>
  <c r="F43" i="5"/>
  <c r="F44" i="5"/>
  <c r="F45" i="5"/>
  <c r="F46" i="5"/>
  <c r="F35" i="5"/>
  <c r="F23" i="5"/>
  <c r="G45" i="5" l="1"/>
  <c r="H45" i="5" s="1"/>
  <c r="G43" i="5"/>
  <c r="H43" i="5" s="1"/>
  <c r="G41" i="5"/>
  <c r="H41" i="5" s="1"/>
  <c r="G39" i="5"/>
  <c r="H39" i="5" s="1"/>
  <c r="G46" i="5"/>
  <c r="H46" i="5" s="1"/>
  <c r="G44" i="5"/>
  <c r="H44" i="5" s="1"/>
  <c r="G42" i="5"/>
  <c r="H42" i="5" s="1"/>
  <c r="G40" i="5"/>
  <c r="H40" i="5" s="1"/>
  <c r="G38" i="5"/>
  <c r="H38" i="5" s="1"/>
  <c r="D67" i="7"/>
  <c r="D66" i="7"/>
  <c r="D68" i="7"/>
  <c r="D65" i="7"/>
  <c r="F13" i="7"/>
  <c r="D54" i="5"/>
  <c r="D53" i="5"/>
  <c r="D52" i="5"/>
  <c r="G13" i="7" l="1"/>
  <c r="H13" i="7" s="1"/>
  <c r="I13" i="7" l="1"/>
  <c r="I15" i="7"/>
  <c r="I23" i="7"/>
  <c r="I22" i="7"/>
  <c r="I17" i="7"/>
  <c r="I18" i="7"/>
  <c r="I19" i="7"/>
  <c r="I14" i="7"/>
  <c r="I20" i="7"/>
  <c r="I21" i="7"/>
  <c r="I16" i="7"/>
  <c r="G21" i="11"/>
  <c r="F25" i="11"/>
  <c r="F26" i="11"/>
  <c r="F27" i="11"/>
  <c r="F28" i="11"/>
  <c r="F29" i="11"/>
  <c r="F30" i="11"/>
  <c r="F31" i="11"/>
  <c r="F32" i="11"/>
  <c r="F33" i="11"/>
  <c r="F34" i="11"/>
  <c r="G13" i="11"/>
  <c r="F50" i="7"/>
  <c r="F51" i="7"/>
  <c r="F52" i="7"/>
  <c r="F53" i="7"/>
  <c r="F54" i="7"/>
  <c r="F55" i="7"/>
  <c r="F56" i="7"/>
  <c r="F57" i="7"/>
  <c r="F58" i="7"/>
  <c r="F33" i="6"/>
  <c r="F34" i="6"/>
  <c r="F22" i="6"/>
  <c r="F14" i="6"/>
  <c r="F15" i="6"/>
  <c r="F16" i="6"/>
  <c r="F17" i="6"/>
  <c r="F18" i="6"/>
  <c r="F19" i="6"/>
  <c r="F20" i="6"/>
  <c r="F21" i="6"/>
  <c r="F13" i="6"/>
  <c r="F34" i="5"/>
  <c r="F33" i="5"/>
  <c r="F26" i="5"/>
  <c r="F27" i="5"/>
  <c r="F28" i="5"/>
  <c r="F29" i="5"/>
  <c r="F30" i="5"/>
  <c r="F31" i="5"/>
  <c r="F32" i="5"/>
  <c r="F25" i="5"/>
  <c r="F14" i="5"/>
  <c r="F15" i="5"/>
  <c r="F16" i="5"/>
  <c r="F17" i="5"/>
  <c r="F18" i="5"/>
  <c r="F19" i="5"/>
  <c r="F20" i="5"/>
  <c r="F21" i="5"/>
  <c r="F22" i="5"/>
  <c r="F13" i="5"/>
  <c r="G22" i="11" l="1"/>
  <c r="H22" i="11" s="1"/>
  <c r="G20" i="11"/>
  <c r="G18" i="11"/>
  <c r="G16" i="11"/>
  <c r="G14" i="11"/>
  <c r="G19" i="11"/>
  <c r="G17" i="11"/>
  <c r="G15" i="11"/>
  <c r="G34" i="6"/>
  <c r="G21" i="6"/>
  <c r="G19" i="6"/>
  <c r="H19" i="6" s="1"/>
  <c r="G55" i="7"/>
  <c r="H55" i="7" s="1"/>
  <c r="G51" i="7"/>
  <c r="H51" i="7" s="1"/>
  <c r="G17" i="6"/>
  <c r="G15" i="6"/>
  <c r="H15" i="6" s="1"/>
  <c r="G22" i="6"/>
  <c r="G33" i="6"/>
  <c r="G20" i="6"/>
  <c r="H20" i="6" s="1"/>
  <c r="G18" i="6"/>
  <c r="H18" i="6" s="1"/>
  <c r="G16" i="6"/>
  <c r="H16" i="6" s="1"/>
  <c r="G23" i="6"/>
  <c r="H23" i="6" s="1"/>
  <c r="G14" i="6"/>
  <c r="G21" i="5"/>
  <c r="H21" i="5" s="1"/>
  <c r="G19" i="5"/>
  <c r="H19" i="5" s="1"/>
  <c r="G17" i="5"/>
  <c r="H17" i="5" s="1"/>
  <c r="G15" i="5"/>
  <c r="H15" i="5" s="1"/>
  <c r="G22" i="5"/>
  <c r="H22" i="5" s="1"/>
  <c r="G20" i="5"/>
  <c r="H20" i="5" s="1"/>
  <c r="G18" i="5"/>
  <c r="H18" i="5" s="1"/>
  <c r="G23" i="5"/>
  <c r="H23" i="5" s="1"/>
  <c r="G16" i="5"/>
  <c r="H16" i="5" s="1"/>
  <c r="G14" i="5"/>
  <c r="H14" i="5" s="1"/>
  <c r="G35" i="5"/>
  <c r="H35" i="5" s="1"/>
  <c r="G28" i="5"/>
  <c r="H28" i="5" s="1"/>
  <c r="G57" i="7"/>
  <c r="H57" i="7" s="1"/>
  <c r="G53" i="7"/>
  <c r="H53" i="7" s="1"/>
  <c r="G58" i="7"/>
  <c r="H58" i="7" s="1"/>
  <c r="G56" i="7"/>
  <c r="H56" i="7" s="1"/>
  <c r="G54" i="7"/>
  <c r="H54" i="7" s="1"/>
  <c r="G52" i="7"/>
  <c r="H52" i="7" s="1"/>
  <c r="G50" i="7"/>
  <c r="H50" i="7" s="1"/>
  <c r="H22" i="6"/>
  <c r="G33" i="5"/>
  <c r="H33" i="5" s="1"/>
  <c r="H14" i="6"/>
  <c r="H21" i="6"/>
  <c r="H17" i="6"/>
  <c r="G34" i="11"/>
  <c r="H34" i="11" s="1"/>
  <c r="G26" i="11"/>
  <c r="H26" i="11" s="1"/>
  <c r="G30" i="11"/>
  <c r="H30" i="11" s="1"/>
  <c r="G32" i="11"/>
  <c r="H32" i="11" s="1"/>
  <c r="G28" i="11"/>
  <c r="H28" i="11" s="1"/>
  <c r="G25" i="11"/>
  <c r="H25" i="11" s="1"/>
  <c r="G33" i="11"/>
  <c r="H33" i="11" s="1"/>
  <c r="G31" i="11"/>
  <c r="H31" i="11" s="1"/>
  <c r="G29" i="11"/>
  <c r="H29" i="11" s="1"/>
  <c r="G27" i="11"/>
  <c r="H27" i="11" s="1"/>
  <c r="G29" i="5"/>
  <c r="H29" i="5" s="1"/>
  <c r="G27" i="5"/>
  <c r="H27" i="5" s="1"/>
  <c r="G31" i="5"/>
  <c r="H31" i="5" s="1"/>
  <c r="G34" i="5"/>
  <c r="H34" i="5" s="1"/>
  <c r="G32" i="5"/>
  <c r="H32" i="5" s="1"/>
  <c r="G30" i="5"/>
  <c r="H30" i="5" s="1"/>
  <c r="G26" i="5"/>
  <c r="H26" i="5" s="1"/>
  <c r="I13" i="11" l="1"/>
  <c r="I27" i="11"/>
  <c r="I31" i="11"/>
  <c r="I25" i="11"/>
  <c r="I28" i="11"/>
  <c r="I15" i="11"/>
  <c r="I22" i="11"/>
  <c r="I19" i="11"/>
  <c r="I26" i="11"/>
  <c r="I17" i="11"/>
  <c r="I29" i="11"/>
  <c r="I33" i="11"/>
  <c r="I32" i="11"/>
  <c r="I14" i="11"/>
  <c r="I16" i="11"/>
  <c r="I18" i="11"/>
  <c r="I20" i="11"/>
  <c r="I30" i="11"/>
  <c r="I34" i="11"/>
  <c r="I21" i="11"/>
  <c r="I9" i="11" l="1"/>
  <c r="G9" i="11"/>
  <c r="F9" i="11"/>
  <c r="L44" i="11" l="1"/>
  <c r="N44" i="11" s="1"/>
  <c r="L48" i="11"/>
  <c r="N48" i="11" s="1"/>
  <c r="L52" i="11"/>
  <c r="N52" i="11" s="1"/>
  <c r="L47" i="11"/>
  <c r="N47" i="11" s="1"/>
  <c r="L51" i="11"/>
  <c r="N51" i="11" s="1"/>
  <c r="L24" i="11"/>
  <c r="N24" i="11" s="1"/>
  <c r="L28" i="11"/>
  <c r="N28" i="11" s="1"/>
  <c r="L32" i="11"/>
  <c r="N32" i="11" s="1"/>
  <c r="L27" i="11"/>
  <c r="N27" i="11" s="1"/>
  <c r="L31" i="11"/>
  <c r="N31" i="11" s="1"/>
  <c r="L34" i="11"/>
  <c r="N34" i="11" s="1"/>
  <c r="L38" i="11"/>
  <c r="N38" i="11" s="1"/>
  <c r="L42" i="11"/>
  <c r="N42" i="11" s="1"/>
  <c r="L37" i="11"/>
  <c r="N37" i="11" s="1"/>
  <c r="L41" i="11"/>
  <c r="N41" i="11" s="1"/>
  <c r="L14" i="11"/>
  <c r="N14" i="11" s="1"/>
  <c r="L18" i="11"/>
  <c r="N18" i="11" s="1"/>
  <c r="L22" i="11"/>
  <c r="N22" i="11" s="1"/>
  <c r="L17" i="11"/>
  <c r="N17" i="11" s="1"/>
  <c r="L21" i="11"/>
  <c r="N21" i="11" s="1"/>
  <c r="L46" i="11"/>
  <c r="N46" i="11" s="1"/>
  <c r="L50" i="11"/>
  <c r="N50" i="11" s="1"/>
  <c r="L45" i="11"/>
  <c r="N45" i="11" s="1"/>
  <c r="L49" i="11"/>
  <c r="N49" i="11" s="1"/>
  <c r="L43" i="11"/>
  <c r="N43" i="11" s="1"/>
  <c r="L26" i="11"/>
  <c r="N26" i="11" s="1"/>
  <c r="L30" i="11"/>
  <c r="N30" i="11" s="1"/>
  <c r="L25" i="11"/>
  <c r="N25" i="11" s="1"/>
  <c r="L29" i="11"/>
  <c r="N29" i="11" s="1"/>
  <c r="L23" i="11"/>
  <c r="N23" i="11" s="1"/>
  <c r="L36" i="11"/>
  <c r="N36" i="11" s="1"/>
  <c r="L40" i="11"/>
  <c r="N40" i="11" s="1"/>
  <c r="L35" i="11"/>
  <c r="N35" i="11" s="1"/>
  <c r="L39" i="11"/>
  <c r="N39" i="11" s="1"/>
  <c r="L33" i="11"/>
  <c r="N33" i="11" s="1"/>
  <c r="L16" i="11"/>
  <c r="N16" i="11" s="1"/>
  <c r="L20" i="11"/>
  <c r="N20" i="11" s="1"/>
  <c r="L15" i="11"/>
  <c r="N15" i="11" s="1"/>
  <c r="L19" i="11"/>
  <c r="N19" i="11" s="1"/>
  <c r="L13" i="11"/>
  <c r="N13" i="11" s="1"/>
  <c r="F25" i="6"/>
  <c r="G25" i="6" l="1"/>
  <c r="F49" i="7" l="1"/>
  <c r="F37" i="7"/>
  <c r="F25" i="7"/>
  <c r="I9" i="7" l="1"/>
  <c r="G70" i="7" l="1"/>
  <c r="G71" i="7"/>
  <c r="H70" i="7"/>
  <c r="K133" i="7"/>
  <c r="K129" i="7"/>
  <c r="K125" i="7"/>
  <c r="K114" i="7"/>
  <c r="K118" i="7"/>
  <c r="K122" i="7"/>
  <c r="J20" i="7"/>
  <c r="K92" i="7"/>
  <c r="K96" i="7"/>
  <c r="K100" i="7"/>
  <c r="K72" i="7"/>
  <c r="K76" i="7"/>
  <c r="K48" i="7"/>
  <c r="K52" i="7"/>
  <c r="K56" i="7"/>
  <c r="K28" i="7"/>
  <c r="K32" i="7"/>
  <c r="K33" i="7"/>
  <c r="K25" i="7"/>
  <c r="K39" i="7"/>
  <c r="K53" i="7"/>
  <c r="K67" i="7"/>
  <c r="K59" i="7"/>
  <c r="K73" i="7"/>
  <c r="K87" i="7"/>
  <c r="K93" i="7"/>
  <c r="K111" i="7"/>
  <c r="K121" i="7"/>
  <c r="K113" i="7"/>
  <c r="K127" i="7"/>
  <c r="K31" i="7"/>
  <c r="K45" i="7"/>
  <c r="K37" i="7"/>
  <c r="K51" i="7"/>
  <c r="K65" i="7"/>
  <c r="K75" i="7"/>
  <c r="K89" i="7"/>
  <c r="K81" i="7"/>
  <c r="K95" i="7"/>
  <c r="K103" i="7"/>
  <c r="K119" i="7"/>
  <c r="K42" i="7"/>
  <c r="K38" i="7"/>
  <c r="K64" i="7"/>
  <c r="K60" i="7"/>
  <c r="K86" i="7"/>
  <c r="K82" i="7"/>
  <c r="K102" i="7"/>
  <c r="K108" i="7"/>
  <c r="K130" i="7"/>
  <c r="K126" i="7"/>
  <c r="K109" i="7"/>
  <c r="K61" i="7"/>
  <c r="K116" i="7"/>
  <c r="K120" i="7"/>
  <c r="K94" i="7"/>
  <c r="K98" i="7"/>
  <c r="K70" i="7"/>
  <c r="K74" i="7"/>
  <c r="K78" i="7"/>
  <c r="K50" i="7"/>
  <c r="K54" i="7"/>
  <c r="K26" i="7"/>
  <c r="K30" i="7"/>
  <c r="K34" i="7"/>
  <c r="K29" i="7"/>
  <c r="K43" i="7"/>
  <c r="K49" i="7"/>
  <c r="K63" i="7"/>
  <c r="K77" i="7"/>
  <c r="K69" i="7"/>
  <c r="K83" i="7"/>
  <c r="K97" i="7"/>
  <c r="K105" i="7"/>
  <c r="K107" i="7"/>
  <c r="K117" i="7"/>
  <c r="K131" i="7"/>
  <c r="K27" i="7"/>
  <c r="K41" i="7"/>
  <c r="K55" i="7"/>
  <c r="K47" i="7"/>
  <c r="K71" i="7"/>
  <c r="K85" i="7"/>
  <c r="K99" i="7"/>
  <c r="K91" i="7"/>
  <c r="K115" i="7"/>
  <c r="K44" i="7"/>
  <c r="K40" i="7"/>
  <c r="K36" i="7"/>
  <c r="K66" i="7"/>
  <c r="K62" i="7"/>
  <c r="K58" i="7"/>
  <c r="K88" i="7"/>
  <c r="K84" i="7"/>
  <c r="K80" i="7"/>
  <c r="K104" i="7"/>
  <c r="K110" i="7"/>
  <c r="K106" i="7"/>
  <c r="K132" i="7"/>
  <c r="K128" i="7"/>
  <c r="K124" i="7"/>
  <c r="K15" i="7"/>
  <c r="K19" i="7"/>
  <c r="K16" i="7"/>
  <c r="K14" i="7"/>
  <c r="K22" i="7"/>
  <c r="K23" i="7"/>
  <c r="K17" i="7"/>
  <c r="K21" i="7"/>
  <c r="K20" i="7"/>
  <c r="K18" i="7"/>
  <c r="G67" i="7"/>
  <c r="G65" i="7"/>
  <c r="M109" i="7"/>
  <c r="M65" i="7"/>
  <c r="M76" i="7"/>
  <c r="M120" i="7"/>
  <c r="M54" i="7"/>
  <c r="M118" i="7"/>
  <c r="M85" i="7"/>
  <c r="M96" i="7"/>
  <c r="M30" i="7"/>
  <c r="M107" i="7"/>
  <c r="M105" i="7"/>
  <c r="M61" i="7"/>
  <c r="M50" i="7"/>
  <c r="M72" i="7"/>
  <c r="M70" i="7"/>
  <c r="M103" i="7"/>
  <c r="M114" i="7"/>
  <c r="M37" i="7"/>
  <c r="M99" i="7"/>
  <c r="M33" i="7"/>
  <c r="M66" i="7"/>
  <c r="M55" i="7"/>
  <c r="M44" i="7"/>
  <c r="M53" i="7"/>
  <c r="M42" i="7"/>
  <c r="M97" i="7"/>
  <c r="M31" i="7"/>
  <c r="M64" i="7"/>
  <c r="M73" i="7"/>
  <c r="M106" i="7"/>
  <c r="M117" i="7"/>
  <c r="M84" i="7"/>
  <c r="M115" i="7"/>
  <c r="M82" i="7"/>
  <c r="M93" i="7"/>
  <c r="M27" i="7"/>
  <c r="M60" i="7"/>
  <c r="M91" i="7"/>
  <c r="M25" i="7"/>
  <c r="M58" i="7"/>
  <c r="M47" i="7"/>
  <c r="M36" i="7"/>
  <c r="M87" i="7"/>
  <c r="M43" i="7"/>
  <c r="M98" i="7"/>
  <c r="M32" i="7"/>
  <c r="J42" i="7"/>
  <c r="M52" i="7"/>
  <c r="M41" i="7"/>
  <c r="M74" i="7"/>
  <c r="M63" i="7"/>
  <c r="M83" i="7"/>
  <c r="M39" i="7"/>
  <c r="M116" i="7"/>
  <c r="M94" i="7"/>
  <c r="M28" i="7"/>
  <c r="M92" i="7"/>
  <c r="M26" i="7"/>
  <c r="M59" i="7"/>
  <c r="M48" i="7"/>
  <c r="M81" i="7"/>
  <c r="M77" i="7"/>
  <c r="M110" i="7"/>
  <c r="M121" i="7"/>
  <c r="M88" i="7"/>
  <c r="M119" i="7"/>
  <c r="M86" i="7"/>
  <c r="M75" i="7"/>
  <c r="M108" i="7"/>
  <c r="M95" i="7"/>
  <c r="M29" i="7"/>
  <c r="M62" i="7"/>
  <c r="M51" i="7"/>
  <c r="M40" i="7"/>
  <c r="M49" i="7"/>
  <c r="M38" i="7"/>
  <c r="M71" i="7"/>
  <c r="M104" i="7"/>
  <c r="M69" i="7"/>
  <c r="M102" i="7"/>
  <c r="M113" i="7"/>
  <c r="M80" i="7"/>
  <c r="M14" i="7"/>
  <c r="M18" i="7"/>
  <c r="M22" i="7"/>
  <c r="M19" i="7"/>
  <c r="M21" i="7"/>
  <c r="K35" i="7"/>
  <c r="K79" i="7"/>
  <c r="K123" i="7"/>
  <c r="K24" i="7"/>
  <c r="K112" i="7"/>
  <c r="M68" i="7"/>
  <c r="M101" i="7"/>
  <c r="M112" i="7"/>
  <c r="M35" i="7"/>
  <c r="M16" i="7"/>
  <c r="M20" i="7"/>
  <c r="M15" i="7"/>
  <c r="M17" i="7"/>
  <c r="K90" i="7"/>
  <c r="K57" i="7"/>
  <c r="K101" i="7"/>
  <c r="K46" i="7"/>
  <c r="K68" i="7"/>
  <c r="M90" i="7"/>
  <c r="M24" i="7"/>
  <c r="M57" i="7"/>
  <c r="M46" i="7"/>
  <c r="M79" i="7"/>
  <c r="M13" i="7"/>
  <c r="F26" i="6" l="1"/>
  <c r="F28" i="6"/>
  <c r="G26" i="6" l="1"/>
  <c r="G28" i="6"/>
  <c r="G9" i="7"/>
  <c r="G72" i="7" s="1"/>
  <c r="F9" i="7"/>
  <c r="G66" i="7" l="1"/>
  <c r="L120" i="7"/>
  <c r="L54" i="7"/>
  <c r="L109" i="7"/>
  <c r="L76" i="7"/>
  <c r="L87" i="7"/>
  <c r="L21" i="7"/>
  <c r="L74" i="7"/>
  <c r="L129" i="7"/>
  <c r="L41" i="7"/>
  <c r="L96" i="7"/>
  <c r="L63" i="7"/>
  <c r="L116" i="7"/>
  <c r="L50" i="7"/>
  <c r="L61" i="7"/>
  <c r="L28" i="7"/>
  <c r="L127" i="7"/>
  <c r="L39" i="7"/>
  <c r="L26" i="7"/>
  <c r="L125" i="7"/>
  <c r="L37" i="7"/>
  <c r="L92" i="7"/>
  <c r="L103" i="7"/>
  <c r="L15" i="7"/>
  <c r="L77" i="7"/>
  <c r="L88" i="7"/>
  <c r="L121" i="7"/>
  <c r="L55" i="7"/>
  <c r="L110" i="7"/>
  <c r="L130" i="7"/>
  <c r="L86" i="7"/>
  <c r="L42" i="7"/>
  <c r="L31" i="7"/>
  <c r="L97" i="7"/>
  <c r="L117" i="7"/>
  <c r="L51" i="7"/>
  <c r="L62" i="7"/>
  <c r="L73" i="7"/>
  <c r="L40" i="7"/>
  <c r="L128" i="7"/>
  <c r="L126" i="7"/>
  <c r="L82" i="7"/>
  <c r="L38" i="7"/>
  <c r="L93" i="7"/>
  <c r="L71" i="7"/>
  <c r="L69" i="7"/>
  <c r="L80" i="7"/>
  <c r="L113" i="7"/>
  <c r="L47" i="7"/>
  <c r="L102" i="7"/>
  <c r="L98" i="7"/>
  <c r="L65" i="7"/>
  <c r="L32" i="7"/>
  <c r="L131" i="7"/>
  <c r="L43" i="7"/>
  <c r="L30" i="7"/>
  <c r="L85" i="7"/>
  <c r="L118" i="7"/>
  <c r="L52" i="7"/>
  <c r="L107" i="7"/>
  <c r="L19" i="7"/>
  <c r="L94" i="7"/>
  <c r="L105" i="7"/>
  <c r="L72" i="7"/>
  <c r="L83" i="7"/>
  <c r="L17" i="7"/>
  <c r="L70" i="7"/>
  <c r="L81" i="7"/>
  <c r="L114" i="7"/>
  <c r="L48" i="7"/>
  <c r="L59" i="7"/>
  <c r="L33" i="7"/>
  <c r="L44" i="7"/>
  <c r="L132" i="7"/>
  <c r="L99" i="7"/>
  <c r="L66" i="7"/>
  <c r="L22" i="7"/>
  <c r="L108" i="7"/>
  <c r="L64" i="7"/>
  <c r="L75" i="7"/>
  <c r="L119" i="7"/>
  <c r="L53" i="7"/>
  <c r="L20" i="7"/>
  <c r="L95" i="7"/>
  <c r="L106" i="7"/>
  <c r="L29" i="7"/>
  <c r="L84" i="7"/>
  <c r="L18" i="7"/>
  <c r="L104" i="7"/>
  <c r="L60" i="7"/>
  <c r="L115" i="7"/>
  <c r="L49" i="7"/>
  <c r="L27" i="7"/>
  <c r="L16" i="7"/>
  <c r="L25" i="7"/>
  <c r="L36" i="7"/>
  <c r="L124" i="7"/>
  <c r="L91" i="7"/>
  <c r="L58" i="7"/>
  <c r="L14" i="7"/>
  <c r="L24" i="7"/>
  <c r="L123" i="7"/>
  <c r="L35" i="7"/>
  <c r="L90" i="7"/>
  <c r="L101" i="7"/>
  <c r="L68" i="7"/>
  <c r="L79" i="7"/>
  <c r="L112" i="7"/>
  <c r="L46" i="7"/>
  <c r="L57" i="7"/>
  <c r="G37" i="7"/>
  <c r="H37" i="7" s="1"/>
  <c r="L13" i="7"/>
  <c r="G25" i="7"/>
  <c r="H25" i="7" s="1"/>
  <c r="K13" i="7"/>
  <c r="G49" i="7"/>
  <c r="H49" i="7" s="1"/>
  <c r="I49" i="7" s="1"/>
  <c r="H72" i="7" l="1"/>
  <c r="P46" i="7"/>
  <c r="P79" i="7"/>
  <c r="P101" i="7"/>
  <c r="P35" i="7"/>
  <c r="P24" i="7"/>
  <c r="I25" i="7"/>
  <c r="I34" i="7"/>
  <c r="I30" i="7"/>
  <c r="I26" i="7"/>
  <c r="I32" i="7"/>
  <c r="I28" i="7"/>
  <c r="I33" i="7"/>
  <c r="I35" i="7"/>
  <c r="I31" i="7"/>
  <c r="I27" i="7"/>
  <c r="I29" i="7"/>
  <c r="I37" i="7"/>
  <c r="I38" i="7"/>
  <c r="I44" i="7"/>
  <c r="I45" i="7"/>
  <c r="I40" i="7"/>
  <c r="I41" i="7"/>
  <c r="I43" i="7"/>
  <c r="I42" i="7"/>
  <c r="I39" i="7"/>
  <c r="I46" i="7"/>
  <c r="P57" i="7"/>
  <c r="P112" i="7"/>
  <c r="P68" i="7"/>
  <c r="P90" i="7"/>
  <c r="I53" i="7"/>
  <c r="P83" i="7" s="1"/>
  <c r="I57" i="7"/>
  <c r="P32" i="7" s="1"/>
  <c r="I52" i="7"/>
  <c r="P27" i="7" s="1"/>
  <c r="I50" i="7"/>
  <c r="P58" i="7" s="1"/>
  <c r="I58" i="7"/>
  <c r="P22" i="7" s="1"/>
  <c r="I51" i="7"/>
  <c r="P114" i="7" s="1"/>
  <c r="I55" i="7"/>
  <c r="P19" i="7" s="1"/>
  <c r="I56" i="7"/>
  <c r="P119" i="7" s="1"/>
  <c r="I54" i="7"/>
  <c r="P106" i="7" s="1"/>
  <c r="P92" i="7" l="1"/>
  <c r="P81" i="7"/>
  <c r="P80" i="7"/>
  <c r="P59" i="7"/>
  <c r="P69" i="7"/>
  <c r="P53" i="7"/>
  <c r="P37" i="7"/>
  <c r="P43" i="7"/>
  <c r="P20" i="7"/>
  <c r="P109" i="7"/>
  <c r="P42" i="7"/>
  <c r="P102" i="7"/>
  <c r="P108" i="7"/>
  <c r="P91" i="7"/>
  <c r="P76" i="7"/>
  <c r="P31" i="7"/>
  <c r="P98" i="7"/>
  <c r="P70" i="7"/>
  <c r="P64" i="7"/>
  <c r="P25" i="7"/>
  <c r="P74" i="7"/>
  <c r="P63" i="7"/>
  <c r="P28" i="7"/>
  <c r="P88" i="7"/>
  <c r="P51" i="7"/>
  <c r="P82" i="7"/>
  <c r="P30" i="7"/>
  <c r="P107" i="7"/>
  <c r="P72" i="7"/>
  <c r="P33" i="7"/>
  <c r="P29" i="7"/>
  <c r="P60" i="7"/>
  <c r="P16" i="7"/>
  <c r="Q77" i="7"/>
  <c r="Q74" i="7"/>
  <c r="Q68" i="7"/>
  <c r="Q71" i="7"/>
  <c r="Q75" i="7"/>
  <c r="Q70" i="7"/>
  <c r="Q76" i="7"/>
  <c r="Q69" i="7"/>
  <c r="Q73" i="7"/>
  <c r="Q72" i="7"/>
  <c r="Q61" i="7"/>
  <c r="Q57" i="7"/>
  <c r="Q62" i="7"/>
  <c r="Q58" i="7"/>
  <c r="Q64" i="7"/>
  <c r="Q59" i="7"/>
  <c r="Q63" i="7"/>
  <c r="Q60" i="7"/>
  <c r="Q66" i="7"/>
  <c r="Q65" i="7"/>
  <c r="Q101" i="7"/>
  <c r="Q104" i="7"/>
  <c r="Q119" i="7"/>
  <c r="Q116" i="7"/>
  <c r="Q106" i="7"/>
  <c r="Q114" i="7"/>
  <c r="Q109" i="7"/>
  <c r="Q113" i="7"/>
  <c r="Q108" i="7"/>
  <c r="Q117" i="7"/>
  <c r="Q103" i="7"/>
  <c r="Q120" i="7"/>
  <c r="Q102" i="7"/>
  <c r="Q121" i="7"/>
  <c r="Q105" i="7"/>
  <c r="Q112" i="7"/>
  <c r="Q110" i="7"/>
  <c r="Q115" i="7"/>
  <c r="Q107" i="7"/>
  <c r="Q118" i="7"/>
  <c r="Q26" i="7"/>
  <c r="Q32" i="7"/>
  <c r="Q30" i="7"/>
  <c r="Q25" i="7"/>
  <c r="Q31" i="7"/>
  <c r="Q28" i="7"/>
  <c r="Q27" i="7"/>
  <c r="Q33" i="7"/>
  <c r="Q24" i="7"/>
  <c r="Q29" i="7"/>
  <c r="O17" i="7"/>
  <c r="O83" i="7"/>
  <c r="O94" i="7"/>
  <c r="O39" i="7"/>
  <c r="O28" i="7"/>
  <c r="O72" i="7"/>
  <c r="O105" i="7"/>
  <c r="O116" i="7"/>
  <c r="O127" i="7"/>
  <c r="O50" i="7"/>
  <c r="O61" i="7"/>
  <c r="O30" i="7"/>
  <c r="O19" i="7"/>
  <c r="O85" i="7"/>
  <c r="O41" i="7"/>
  <c r="O107" i="7"/>
  <c r="O74" i="7"/>
  <c r="O118" i="7"/>
  <c r="O52" i="7"/>
  <c r="O129" i="7"/>
  <c r="O63" i="7"/>
  <c r="O96" i="7"/>
  <c r="O109" i="7"/>
  <c r="O76" i="7"/>
  <c r="O43" i="7"/>
  <c r="O120" i="7"/>
  <c r="O65" i="7"/>
  <c r="O54" i="7"/>
  <c r="O21" i="7"/>
  <c r="O131" i="7"/>
  <c r="O98" i="7"/>
  <c r="O87" i="7"/>
  <c r="O32" i="7"/>
  <c r="O64" i="7"/>
  <c r="O75" i="7"/>
  <c r="O31" i="7"/>
  <c r="O20" i="7"/>
  <c r="O130" i="7"/>
  <c r="O86" i="7"/>
  <c r="O42" i="7"/>
  <c r="O97" i="7"/>
  <c r="O108" i="7"/>
  <c r="O119" i="7"/>
  <c r="O53" i="7"/>
  <c r="O128" i="7"/>
  <c r="O40" i="7"/>
  <c r="O117" i="7"/>
  <c r="O73" i="7"/>
  <c r="O18" i="7"/>
  <c r="O62" i="7"/>
  <c r="O95" i="7"/>
  <c r="O106" i="7"/>
  <c r="O84" i="7"/>
  <c r="O29" i="7"/>
  <c r="O51" i="7"/>
  <c r="O57" i="7"/>
  <c r="O123" i="7"/>
  <c r="O68" i="7"/>
  <c r="O90" i="7"/>
  <c r="O79" i="7"/>
  <c r="O46" i="7"/>
  <c r="O112" i="7"/>
  <c r="O35" i="7"/>
  <c r="O101" i="7"/>
  <c r="O24" i="7"/>
  <c r="P96" i="7"/>
  <c r="P61" i="7"/>
  <c r="P77" i="7"/>
  <c r="P110" i="7"/>
  <c r="P62" i="7"/>
  <c r="P38" i="7"/>
  <c r="P52" i="7"/>
  <c r="P105" i="7"/>
  <c r="P99" i="7"/>
  <c r="P84" i="7"/>
  <c r="P115" i="7"/>
  <c r="P120" i="7"/>
  <c r="P87" i="7"/>
  <c r="P41" i="7"/>
  <c r="P50" i="7"/>
  <c r="P39" i="7"/>
  <c r="P15" i="7"/>
  <c r="P55" i="7"/>
  <c r="P97" i="7"/>
  <c r="P73" i="7"/>
  <c r="P93" i="7"/>
  <c r="P113" i="7"/>
  <c r="P65" i="7"/>
  <c r="P118" i="7"/>
  <c r="P94" i="7"/>
  <c r="P17" i="7"/>
  <c r="P48" i="7"/>
  <c r="P66" i="7"/>
  <c r="P75" i="7"/>
  <c r="P95" i="7"/>
  <c r="P18" i="7"/>
  <c r="P49" i="7"/>
  <c r="P36" i="7"/>
  <c r="P14" i="7"/>
  <c r="Q40" i="7"/>
  <c r="Q36" i="7"/>
  <c r="Q39" i="7"/>
  <c r="Q41" i="7"/>
  <c r="Q44" i="7"/>
  <c r="Q35" i="7"/>
  <c r="Q38" i="7"/>
  <c r="Q43" i="7"/>
  <c r="Q42" i="7"/>
  <c r="Q37" i="7"/>
  <c r="Q79" i="7"/>
  <c r="Q80" i="7"/>
  <c r="Q82" i="7"/>
  <c r="Q88" i="7"/>
  <c r="Q81" i="7"/>
  <c r="Q87" i="7"/>
  <c r="Q83" i="7"/>
  <c r="Q84" i="7"/>
  <c r="Q85" i="7"/>
  <c r="Q86" i="7"/>
  <c r="Q55" i="7"/>
  <c r="Q50" i="7"/>
  <c r="Q54" i="7"/>
  <c r="Q46" i="7"/>
  <c r="Q51" i="7"/>
  <c r="Q48" i="7"/>
  <c r="Q52" i="7"/>
  <c r="Q53" i="7"/>
  <c r="Q49" i="7"/>
  <c r="Q47" i="7"/>
  <c r="Q90" i="7"/>
  <c r="Q95" i="7"/>
  <c r="Q91" i="7"/>
  <c r="Q97" i="7"/>
  <c r="Q92" i="7"/>
  <c r="Q93" i="7"/>
  <c r="Q99" i="7"/>
  <c r="Q96" i="7"/>
  <c r="Q94" i="7"/>
  <c r="Q98" i="7"/>
  <c r="Q20" i="7"/>
  <c r="Q19" i="7"/>
  <c r="Q16" i="7"/>
  <c r="Q22" i="7"/>
  <c r="Q17" i="7"/>
  <c r="Q18" i="7"/>
  <c r="Q15" i="7"/>
  <c r="Q21" i="7"/>
  <c r="Q14" i="7"/>
  <c r="O103" i="7"/>
  <c r="O92" i="7"/>
  <c r="O114" i="7"/>
  <c r="O26" i="7"/>
  <c r="O59" i="7"/>
  <c r="O15" i="7"/>
  <c r="O70" i="7"/>
  <c r="O81" i="7"/>
  <c r="O37" i="7"/>
  <c r="O48" i="7"/>
  <c r="O125" i="7"/>
  <c r="O78" i="7"/>
  <c r="O45" i="7"/>
  <c r="O23" i="7"/>
  <c r="O111" i="7"/>
  <c r="O56" i="7"/>
  <c r="O133" i="7"/>
  <c r="O67" i="7"/>
  <c r="O100" i="7"/>
  <c r="O122" i="7"/>
  <c r="O34" i="7"/>
  <c r="O89" i="7"/>
  <c r="O16" i="7"/>
  <c r="O104" i="7"/>
  <c r="O49" i="7"/>
  <c r="O126" i="7"/>
  <c r="O82" i="7"/>
  <c r="O38" i="7"/>
  <c r="O115" i="7"/>
  <c r="O71" i="7"/>
  <c r="O27" i="7"/>
  <c r="O93" i="7"/>
  <c r="O60" i="7"/>
  <c r="O58" i="7"/>
  <c r="O102" i="7"/>
  <c r="O80" i="7"/>
  <c r="O69" i="7"/>
  <c r="O25" i="7"/>
  <c r="O14" i="7"/>
  <c r="O124" i="7"/>
  <c r="O36" i="7"/>
  <c r="O91" i="7"/>
  <c r="O47" i="7"/>
  <c r="O113" i="7"/>
  <c r="O99" i="7"/>
  <c r="O55" i="7"/>
  <c r="O121" i="7"/>
  <c r="O132" i="7"/>
  <c r="O44" i="7"/>
  <c r="O22" i="7"/>
  <c r="O66" i="7"/>
  <c r="O77" i="7"/>
  <c r="O33" i="7"/>
  <c r="O110" i="7"/>
  <c r="O88" i="7"/>
  <c r="P54" i="7"/>
  <c r="P21" i="7"/>
  <c r="P116" i="7"/>
  <c r="P26" i="7"/>
  <c r="P103" i="7"/>
  <c r="P121" i="7"/>
  <c r="P86" i="7"/>
  <c r="P117" i="7"/>
  <c r="P40" i="7"/>
  <c r="P71" i="7"/>
  <c r="P47" i="7"/>
  <c r="P85" i="7"/>
  <c r="P44" i="7"/>
  <c r="P104" i="7"/>
  <c r="Q13" i="7"/>
  <c r="O13" i="7"/>
  <c r="P13" i="7"/>
  <c r="F27" i="6" l="1"/>
  <c r="F29" i="6"/>
  <c r="F30" i="6"/>
  <c r="F31" i="6"/>
  <c r="F32" i="6"/>
  <c r="G9" i="6"/>
  <c r="F9" i="6"/>
  <c r="K112" i="6" l="1"/>
  <c r="K92" i="6"/>
  <c r="K111" i="6"/>
  <c r="K91" i="6"/>
  <c r="K122" i="6"/>
  <c r="K102" i="6"/>
  <c r="K121" i="6"/>
  <c r="K101" i="6"/>
  <c r="J22" i="6"/>
  <c r="K113" i="6"/>
  <c r="K93" i="6"/>
  <c r="K103" i="6"/>
  <c r="K83" i="6"/>
  <c r="K114" i="6"/>
  <c r="K94" i="6"/>
  <c r="K106" i="6"/>
  <c r="K86" i="6"/>
  <c r="K104" i="6"/>
  <c r="K84" i="6"/>
  <c r="K116" i="6"/>
  <c r="K96" i="6"/>
  <c r="G31" i="6"/>
  <c r="K119" i="6"/>
  <c r="K109" i="6"/>
  <c r="K99" i="6"/>
  <c r="K89" i="6"/>
  <c r="G29" i="6"/>
  <c r="K117" i="6"/>
  <c r="K107" i="6"/>
  <c r="K97" i="6"/>
  <c r="K87" i="6"/>
  <c r="G32" i="6"/>
  <c r="H32" i="6" s="1"/>
  <c r="K120" i="6"/>
  <c r="K110" i="6"/>
  <c r="K100" i="6"/>
  <c r="K90" i="6"/>
  <c r="G30" i="6"/>
  <c r="K118" i="6"/>
  <c r="K108" i="6"/>
  <c r="K98" i="6"/>
  <c r="K88" i="6"/>
  <c r="G27" i="6"/>
  <c r="H27" i="6" s="1"/>
  <c r="K115" i="6"/>
  <c r="K105" i="6"/>
  <c r="K95" i="6"/>
  <c r="K85" i="6"/>
  <c r="K81" i="6"/>
  <c r="K61" i="6"/>
  <c r="K41" i="6"/>
  <c r="K21" i="6"/>
  <c r="K71" i="6"/>
  <c r="K51" i="6"/>
  <c r="K31" i="6"/>
  <c r="K82" i="6"/>
  <c r="K62" i="6"/>
  <c r="K42" i="6"/>
  <c r="K22" i="6"/>
  <c r="K72" i="6"/>
  <c r="K52" i="6"/>
  <c r="K32" i="6"/>
  <c r="K43" i="6"/>
  <c r="K73" i="6"/>
  <c r="K33" i="6"/>
  <c r="K63" i="6"/>
  <c r="K23" i="6"/>
  <c r="K53" i="6"/>
  <c r="K54" i="6"/>
  <c r="K24" i="6"/>
  <c r="K74" i="6"/>
  <c r="K66" i="6"/>
  <c r="K46" i="6"/>
  <c r="K16" i="6"/>
  <c r="K36" i="6"/>
  <c r="K64" i="6"/>
  <c r="K44" i="6"/>
  <c r="K14" i="6"/>
  <c r="K34" i="6"/>
  <c r="K56" i="6"/>
  <c r="K26" i="6"/>
  <c r="K76" i="6"/>
  <c r="K13" i="6"/>
  <c r="K69" i="6"/>
  <c r="K49" i="6"/>
  <c r="K29" i="6"/>
  <c r="K79" i="6"/>
  <c r="K59" i="6"/>
  <c r="K39" i="6"/>
  <c r="K19" i="6"/>
  <c r="K77" i="6"/>
  <c r="K37" i="6"/>
  <c r="K57" i="6"/>
  <c r="K17" i="6"/>
  <c r="K67" i="6"/>
  <c r="K47" i="6"/>
  <c r="K27" i="6"/>
  <c r="K80" i="6"/>
  <c r="K70" i="6"/>
  <c r="K60" i="6"/>
  <c r="K50" i="6"/>
  <c r="K40" i="6"/>
  <c r="K30" i="6"/>
  <c r="K20" i="6"/>
  <c r="K78" i="6"/>
  <c r="K68" i="6"/>
  <c r="K58" i="6"/>
  <c r="K48" i="6"/>
  <c r="K38" i="6"/>
  <c r="K28" i="6"/>
  <c r="K18" i="6"/>
  <c r="K75" i="6"/>
  <c r="K35" i="6"/>
  <c r="K65" i="6"/>
  <c r="K45" i="6"/>
  <c r="K25" i="6"/>
  <c r="K55" i="6"/>
  <c r="K15" i="6"/>
  <c r="H33" i="6"/>
  <c r="H34" i="6"/>
  <c r="G13" i="6"/>
  <c r="H13" i="6" s="1"/>
  <c r="H25" i="6"/>
  <c r="H30" i="6"/>
  <c r="H28" i="6"/>
  <c r="H26" i="6"/>
  <c r="H31" i="6"/>
  <c r="H29" i="6"/>
  <c r="I15" i="6" l="1"/>
  <c r="I14" i="6"/>
  <c r="I21" i="6"/>
  <c r="I19" i="6"/>
  <c r="I13" i="6"/>
  <c r="I20" i="6"/>
  <c r="I17" i="6"/>
  <c r="I22" i="6"/>
  <c r="I23" i="6"/>
  <c r="I16" i="6"/>
  <c r="I18" i="6"/>
  <c r="I31" i="6"/>
  <c r="M109" i="6" s="1"/>
  <c r="M89" i="6"/>
  <c r="I26" i="6"/>
  <c r="I30" i="6"/>
  <c r="M38" i="6" s="1"/>
  <c r="M79" i="6"/>
  <c r="I34" i="6"/>
  <c r="M42" i="6" s="1"/>
  <c r="I29" i="6"/>
  <c r="I27" i="6"/>
  <c r="I28" i="6"/>
  <c r="I25" i="6"/>
  <c r="I33" i="6"/>
  <c r="I32" i="6"/>
  <c r="M29" i="6"/>
  <c r="M22" i="6" l="1"/>
  <c r="M69" i="6"/>
  <c r="M24" i="6"/>
  <c r="M39" i="6"/>
  <c r="M119" i="6"/>
  <c r="M34" i="6"/>
  <c r="M99" i="6"/>
  <c r="M113" i="6"/>
  <c r="M103" i="6"/>
  <c r="M93" i="6"/>
  <c r="M83" i="6"/>
  <c r="M25" i="6"/>
  <c r="M115" i="6"/>
  <c r="M105" i="6"/>
  <c r="M95" i="6"/>
  <c r="M85" i="6"/>
  <c r="M65" i="6"/>
  <c r="M45" i="6"/>
  <c r="M118" i="6"/>
  <c r="M108" i="6"/>
  <c r="M98" i="6"/>
  <c r="M88" i="6"/>
  <c r="M33" i="6"/>
  <c r="M120" i="6"/>
  <c r="M110" i="6"/>
  <c r="M100" i="6"/>
  <c r="M90" i="6"/>
  <c r="M121" i="6"/>
  <c r="M111" i="6"/>
  <c r="M101" i="6"/>
  <c r="M91" i="6"/>
  <c r="M116" i="6"/>
  <c r="M106" i="6"/>
  <c r="M96" i="6"/>
  <c r="M86" i="6"/>
  <c r="M117" i="6"/>
  <c r="M107" i="6"/>
  <c r="M97" i="6"/>
  <c r="M87" i="6"/>
  <c r="M122" i="6"/>
  <c r="M112" i="6"/>
  <c r="M102" i="6"/>
  <c r="M92" i="6"/>
  <c r="M61" i="6"/>
  <c r="M114" i="6"/>
  <c r="M104" i="6"/>
  <c r="M94" i="6"/>
  <c r="M84" i="6"/>
  <c r="M32" i="6"/>
  <c r="M40" i="6"/>
  <c r="M26" i="6"/>
  <c r="M28" i="6"/>
  <c r="M76" i="6"/>
  <c r="M71" i="6"/>
  <c r="M67" i="6"/>
  <c r="M73" i="6"/>
  <c r="M43" i="6"/>
  <c r="M74" i="6"/>
  <c r="M49" i="6"/>
  <c r="M48" i="6"/>
  <c r="M51" i="6"/>
  <c r="M64" i="6"/>
  <c r="M37" i="6"/>
  <c r="M78" i="6"/>
  <c r="M63" i="6"/>
  <c r="M53" i="6"/>
  <c r="M68" i="6"/>
  <c r="M52" i="6"/>
  <c r="M55" i="6"/>
  <c r="M35" i="6"/>
  <c r="M23" i="6"/>
  <c r="M44" i="6"/>
  <c r="M50" i="6"/>
  <c r="M41" i="6"/>
  <c r="M31" i="6"/>
  <c r="M36" i="6"/>
  <c r="M57" i="6"/>
  <c r="M27" i="6"/>
  <c r="M60" i="6"/>
  <c r="M21" i="6"/>
  <c r="M82" i="6"/>
  <c r="M72" i="6"/>
  <c r="M66" i="6"/>
  <c r="M56" i="6"/>
  <c r="M59" i="6"/>
  <c r="M47" i="6"/>
  <c r="M70" i="6"/>
  <c r="M30" i="6"/>
  <c r="M58" i="6"/>
  <c r="M81" i="6"/>
  <c r="M62" i="6"/>
  <c r="M54" i="6"/>
  <c r="M46" i="6"/>
  <c r="M77" i="6"/>
  <c r="M80" i="6"/>
  <c r="M75" i="6"/>
  <c r="M16" i="6"/>
  <c r="M19" i="6"/>
  <c r="M15" i="6"/>
  <c r="M17" i="6"/>
  <c r="M20" i="6"/>
  <c r="M14" i="6"/>
  <c r="M13" i="6"/>
  <c r="M18" i="6"/>
  <c r="F37" i="5"/>
  <c r="G9" i="5"/>
  <c r="F9" i="5"/>
  <c r="F56" i="5" l="1"/>
  <c r="G57" i="5"/>
  <c r="G56" i="5"/>
  <c r="F52" i="5"/>
  <c r="G52" i="5"/>
  <c r="L125" i="5"/>
  <c r="L132" i="5"/>
  <c r="L124" i="5"/>
  <c r="L129" i="5"/>
  <c r="L126" i="5"/>
  <c r="L130" i="5"/>
  <c r="K133" i="5"/>
  <c r="L128" i="5"/>
  <c r="L131" i="5"/>
  <c r="L127" i="5"/>
  <c r="L14" i="5"/>
  <c r="L18" i="5"/>
  <c r="L19" i="5"/>
  <c r="L15" i="5"/>
  <c r="K123" i="5"/>
  <c r="K111" i="5"/>
  <c r="K79" i="5"/>
  <c r="K67" i="5"/>
  <c r="K35" i="5"/>
  <c r="K118" i="5"/>
  <c r="K96" i="5"/>
  <c r="K74" i="5"/>
  <c r="K129" i="5"/>
  <c r="K19" i="5"/>
  <c r="L84" i="5"/>
  <c r="K52" i="5"/>
  <c r="L87" i="5"/>
  <c r="L82" i="5"/>
  <c r="L81" i="5"/>
  <c r="K116" i="5"/>
  <c r="K94" i="5"/>
  <c r="K72" i="5"/>
  <c r="K28" i="5"/>
  <c r="L58" i="5"/>
  <c r="L66" i="5"/>
  <c r="K50" i="5"/>
  <c r="L65" i="5"/>
  <c r="L64" i="5"/>
  <c r="L59" i="5"/>
  <c r="K103" i="5"/>
  <c r="K81" i="5"/>
  <c r="K59" i="5"/>
  <c r="K26" i="5"/>
  <c r="L36" i="5"/>
  <c r="L44" i="5"/>
  <c r="K48" i="5"/>
  <c r="L43" i="5"/>
  <c r="L38" i="5"/>
  <c r="L37" i="5"/>
  <c r="K120" i="5"/>
  <c r="K98" i="5"/>
  <c r="K76" i="5"/>
  <c r="L102" i="5"/>
  <c r="L110" i="5"/>
  <c r="K65" i="5"/>
  <c r="K43" i="5"/>
  <c r="L105" i="5"/>
  <c r="L107" i="5"/>
  <c r="L104" i="5"/>
  <c r="K112" i="5"/>
  <c r="K100" i="5"/>
  <c r="K68" i="5"/>
  <c r="K46" i="5"/>
  <c r="K34" i="5"/>
  <c r="K130" i="5"/>
  <c r="K64" i="5"/>
  <c r="K42" i="5"/>
  <c r="L97" i="5"/>
  <c r="K108" i="5"/>
  <c r="K75" i="5"/>
  <c r="L96" i="5"/>
  <c r="L95" i="5"/>
  <c r="L94" i="5"/>
  <c r="L99" i="5"/>
  <c r="K128" i="5"/>
  <c r="K106" i="5"/>
  <c r="K73" i="5"/>
  <c r="K40" i="5"/>
  <c r="L75" i="5"/>
  <c r="K62" i="5"/>
  <c r="K18" i="5"/>
  <c r="L70" i="5"/>
  <c r="L69" i="5"/>
  <c r="L72" i="5"/>
  <c r="K93" i="5"/>
  <c r="K49" i="5"/>
  <c r="L49" i="5"/>
  <c r="K115" i="5"/>
  <c r="K82" i="5"/>
  <c r="K27" i="5"/>
  <c r="L52" i="5"/>
  <c r="L51" i="5"/>
  <c r="L50" i="5"/>
  <c r="L47" i="5"/>
  <c r="K113" i="5"/>
  <c r="L22" i="5"/>
  <c r="L17" i="5"/>
  <c r="L16" i="5"/>
  <c r="K101" i="5"/>
  <c r="K89" i="5"/>
  <c r="K57" i="5"/>
  <c r="K45" i="5"/>
  <c r="K85" i="5"/>
  <c r="K30" i="5"/>
  <c r="L88" i="5"/>
  <c r="L83" i="5"/>
  <c r="L86" i="5"/>
  <c r="K83" i="5"/>
  <c r="K17" i="5"/>
  <c r="K127" i="5"/>
  <c r="L61" i="5"/>
  <c r="L60" i="5"/>
  <c r="K70" i="5"/>
  <c r="K15" i="5"/>
  <c r="K114" i="5"/>
  <c r="L39" i="5"/>
  <c r="L42" i="5"/>
  <c r="K87" i="5"/>
  <c r="L106" i="5"/>
  <c r="K54" i="5"/>
  <c r="L108" i="5"/>
  <c r="K56" i="5"/>
  <c r="K24" i="5"/>
  <c r="K97" i="5"/>
  <c r="L93" i="5"/>
  <c r="K86" i="5"/>
  <c r="L92" i="5"/>
  <c r="K117" i="5"/>
  <c r="K51" i="5"/>
  <c r="K95" i="5"/>
  <c r="L74" i="5"/>
  <c r="L76" i="5"/>
  <c r="K60" i="5"/>
  <c r="L53" i="5"/>
  <c r="K71" i="5"/>
  <c r="L48" i="5"/>
  <c r="L55" i="5"/>
  <c r="K102" i="5"/>
  <c r="K69" i="5"/>
  <c r="K36" i="5"/>
  <c r="L31" i="5"/>
  <c r="K58" i="5"/>
  <c r="K14" i="5"/>
  <c r="L26" i="5"/>
  <c r="L25" i="5"/>
  <c r="L28" i="5"/>
  <c r="K22" i="5"/>
  <c r="K121" i="5"/>
  <c r="K88" i="5"/>
  <c r="K66" i="5"/>
  <c r="K44" i="5"/>
  <c r="L119" i="5"/>
  <c r="K33" i="5"/>
  <c r="L114" i="5"/>
  <c r="L113" i="5"/>
  <c r="L116" i="5"/>
  <c r="K23" i="5"/>
  <c r="L21" i="5"/>
  <c r="L20" i="5"/>
  <c r="K107" i="5"/>
  <c r="K63" i="5"/>
  <c r="L80" i="5"/>
  <c r="K41" i="5"/>
  <c r="L85" i="5"/>
  <c r="K105" i="5"/>
  <c r="K61" i="5"/>
  <c r="L62" i="5"/>
  <c r="K39" i="5"/>
  <c r="L63" i="5"/>
  <c r="K92" i="5"/>
  <c r="K125" i="5"/>
  <c r="L40" i="5"/>
  <c r="K37" i="5"/>
  <c r="L41" i="5"/>
  <c r="K109" i="5"/>
  <c r="K32" i="5"/>
  <c r="K131" i="5"/>
  <c r="L109" i="5"/>
  <c r="L103" i="5"/>
  <c r="K122" i="5"/>
  <c r="K90" i="5"/>
  <c r="K78" i="5"/>
  <c r="K53" i="5"/>
  <c r="K119" i="5"/>
  <c r="K31" i="5"/>
  <c r="K20" i="5"/>
  <c r="L98" i="5"/>
  <c r="L91" i="5"/>
  <c r="K84" i="5"/>
  <c r="L71" i="5"/>
  <c r="K29" i="5"/>
  <c r="L77" i="5"/>
  <c r="L73" i="5"/>
  <c r="K126" i="5"/>
  <c r="K38" i="5"/>
  <c r="K104" i="5"/>
  <c r="K16" i="5"/>
  <c r="L54" i="5"/>
  <c r="K124" i="5"/>
  <c r="K80" i="5"/>
  <c r="K47" i="5"/>
  <c r="L27" i="5"/>
  <c r="K91" i="5"/>
  <c r="K25" i="5"/>
  <c r="L30" i="5"/>
  <c r="L33" i="5"/>
  <c r="L32" i="5"/>
  <c r="L29" i="5"/>
  <c r="K132" i="5"/>
  <c r="K110" i="5"/>
  <c r="K77" i="5"/>
  <c r="K55" i="5"/>
  <c r="L115" i="5"/>
  <c r="K99" i="5"/>
  <c r="L118" i="5"/>
  <c r="L121" i="5"/>
  <c r="L120" i="5"/>
  <c r="L117" i="5"/>
  <c r="K21" i="5"/>
  <c r="L123" i="5"/>
  <c r="L79" i="5"/>
  <c r="L35" i="5"/>
  <c r="L90" i="5"/>
  <c r="L24" i="5"/>
  <c r="L112" i="5"/>
  <c r="L57" i="5"/>
  <c r="L101" i="5"/>
  <c r="L68" i="5"/>
  <c r="L46" i="5"/>
  <c r="G13" i="5"/>
  <c r="H13" i="5" s="1"/>
  <c r="G37" i="5"/>
  <c r="H37" i="5" s="1"/>
  <c r="K13" i="5"/>
  <c r="G25" i="5"/>
  <c r="H25" i="5" s="1"/>
  <c r="L13" i="5"/>
  <c r="I23" i="5" l="1"/>
  <c r="I21" i="5"/>
  <c r="I18" i="5"/>
  <c r="I19" i="5"/>
  <c r="I14" i="5"/>
  <c r="I20" i="5"/>
  <c r="I17" i="5"/>
  <c r="I16" i="5"/>
  <c r="I22" i="5"/>
  <c r="I15" i="5"/>
  <c r="I25" i="5"/>
  <c r="N57" i="5" s="1"/>
  <c r="I32" i="5"/>
  <c r="I29" i="5"/>
  <c r="N61" i="5" s="1"/>
  <c r="I34" i="5"/>
  <c r="I26" i="5"/>
  <c r="N58" i="5" s="1"/>
  <c r="I31" i="5"/>
  <c r="I33" i="5"/>
  <c r="N65" i="5" s="1"/>
  <c r="I28" i="5"/>
  <c r="I30" i="5"/>
  <c r="N62" i="5" s="1"/>
  <c r="I27" i="5"/>
  <c r="I35" i="5"/>
  <c r="N67" i="5" s="1"/>
  <c r="I41" i="5"/>
  <c r="I42" i="5"/>
  <c r="I38" i="5"/>
  <c r="I43" i="5"/>
  <c r="I39" i="5"/>
  <c r="I44" i="5"/>
  <c r="I40" i="5"/>
  <c r="I37" i="5"/>
  <c r="I46" i="5"/>
  <c r="I45" i="5"/>
  <c r="N66" i="5"/>
  <c r="I13" i="5"/>
  <c r="N59" i="5" l="1"/>
  <c r="N60" i="5"/>
  <c r="O21" i="5"/>
  <c r="O131" i="5"/>
  <c r="O32" i="5"/>
  <c r="O54" i="5"/>
  <c r="O65" i="5"/>
  <c r="O76" i="5"/>
  <c r="O109" i="5"/>
  <c r="O98" i="5"/>
  <c r="O120" i="5"/>
  <c r="O43" i="5"/>
  <c r="O87" i="5"/>
  <c r="O123" i="5"/>
  <c r="O112" i="5"/>
  <c r="O24" i="5"/>
  <c r="O90" i="5"/>
  <c r="O79" i="5"/>
  <c r="O46" i="5"/>
  <c r="O68" i="5"/>
  <c r="O101" i="5"/>
  <c r="O57" i="5"/>
  <c r="O35" i="5"/>
  <c r="O130" i="5"/>
  <c r="O20" i="5"/>
  <c r="O53" i="5"/>
  <c r="O31" i="5"/>
  <c r="O97" i="5"/>
  <c r="O119" i="5"/>
  <c r="O75" i="5"/>
  <c r="O42" i="5"/>
  <c r="O64" i="5"/>
  <c r="O86" i="5"/>
  <c r="O108" i="5"/>
  <c r="O19" i="5"/>
  <c r="O129" i="5"/>
  <c r="O30" i="5"/>
  <c r="O41" i="5"/>
  <c r="O85" i="5"/>
  <c r="O52" i="5"/>
  <c r="O74" i="5"/>
  <c r="O96" i="5"/>
  <c r="O107" i="5"/>
  <c r="O118" i="5"/>
  <c r="O63" i="5"/>
  <c r="O18" i="5"/>
  <c r="O128" i="5"/>
  <c r="O40" i="5"/>
  <c r="O117" i="5"/>
  <c r="O84" i="5"/>
  <c r="O29" i="5"/>
  <c r="O51" i="5"/>
  <c r="O73" i="5"/>
  <c r="O95" i="5"/>
  <c r="O106" i="5"/>
  <c r="O62" i="5"/>
  <c r="N64" i="5"/>
  <c r="N63" i="5"/>
  <c r="O22" i="5"/>
  <c r="O132" i="5"/>
  <c r="O88" i="5"/>
  <c r="O121" i="5"/>
  <c r="O44" i="5"/>
  <c r="O33" i="5"/>
  <c r="O55" i="5"/>
  <c r="O110" i="5"/>
  <c r="O66" i="5"/>
  <c r="O77" i="5"/>
  <c r="O99" i="5"/>
  <c r="O126" i="5"/>
  <c r="O16" i="5"/>
  <c r="O104" i="5"/>
  <c r="O115" i="5"/>
  <c r="O38" i="5"/>
  <c r="O60" i="5"/>
  <c r="O82" i="5"/>
  <c r="O27" i="5"/>
  <c r="O93" i="5"/>
  <c r="O49" i="5"/>
  <c r="O71" i="5"/>
  <c r="O125" i="5"/>
  <c r="O15" i="5"/>
  <c r="O114" i="5"/>
  <c r="O70" i="5"/>
  <c r="O92" i="5"/>
  <c r="O59" i="5"/>
  <c r="O103" i="5"/>
  <c r="O48" i="5"/>
  <c r="O26" i="5"/>
  <c r="O37" i="5"/>
  <c r="O81" i="5"/>
  <c r="O14" i="5"/>
  <c r="O124" i="5"/>
  <c r="O91" i="5"/>
  <c r="O102" i="5"/>
  <c r="O58" i="5"/>
  <c r="O25" i="5"/>
  <c r="O113" i="5"/>
  <c r="O69" i="5"/>
  <c r="O80" i="5"/>
  <c r="O47" i="5"/>
  <c r="O36" i="5"/>
  <c r="O17" i="5"/>
  <c r="O127" i="5"/>
  <c r="O116" i="5"/>
  <c r="O72" i="5"/>
  <c r="O105" i="5"/>
  <c r="O50" i="5"/>
  <c r="O94" i="5"/>
  <c r="O61" i="5"/>
  <c r="O39" i="5"/>
  <c r="O83" i="5"/>
  <c r="O28" i="5"/>
  <c r="N15" i="5"/>
  <c r="N17" i="5"/>
  <c r="N19" i="5"/>
  <c r="N21" i="5"/>
  <c r="N16" i="5"/>
  <c r="N20" i="5"/>
  <c r="N14" i="5"/>
  <c r="N18" i="5"/>
  <c r="N22" i="5"/>
  <c r="N23" i="5"/>
  <c r="N70" i="5"/>
  <c r="N72" i="5"/>
  <c r="N74" i="5"/>
  <c r="N76" i="5"/>
  <c r="N68" i="5"/>
  <c r="N69" i="5"/>
  <c r="N71" i="5"/>
  <c r="N73" i="5"/>
  <c r="N75" i="5"/>
  <c r="N77" i="5"/>
  <c r="N78" i="5"/>
  <c r="N81" i="5"/>
  <c r="N83" i="5"/>
  <c r="N85" i="5"/>
  <c r="N87" i="5"/>
  <c r="N79" i="5"/>
  <c r="N80" i="5"/>
  <c r="N82" i="5"/>
  <c r="N84" i="5"/>
  <c r="N86" i="5"/>
  <c r="N88" i="5"/>
  <c r="N89" i="5"/>
  <c r="N26" i="5"/>
  <c r="N28" i="5"/>
  <c r="N30" i="5"/>
  <c r="N32" i="5"/>
  <c r="N24" i="5"/>
  <c r="N25" i="5"/>
  <c r="N29" i="5"/>
  <c r="N33" i="5"/>
  <c r="N27" i="5"/>
  <c r="N31" i="5"/>
  <c r="N34" i="5"/>
  <c r="N114" i="5"/>
  <c r="N116" i="5"/>
  <c r="N118" i="5"/>
  <c r="N120" i="5"/>
  <c r="N112" i="5"/>
  <c r="N113" i="5"/>
  <c r="N115" i="5"/>
  <c r="N117" i="5"/>
  <c r="N119" i="5"/>
  <c r="N121" i="5"/>
  <c r="N122" i="5"/>
  <c r="N48" i="5"/>
  <c r="N50" i="5"/>
  <c r="N52" i="5"/>
  <c r="N54" i="5"/>
  <c r="N46" i="5"/>
  <c r="N47" i="5"/>
  <c r="N51" i="5"/>
  <c r="N55" i="5"/>
  <c r="N49" i="5"/>
  <c r="N53" i="5"/>
  <c r="N56" i="5"/>
  <c r="N103" i="5"/>
  <c r="N105" i="5"/>
  <c r="N107" i="5"/>
  <c r="N109" i="5"/>
  <c r="N101" i="5"/>
  <c r="N102" i="5"/>
  <c r="N104" i="5"/>
  <c r="N106" i="5"/>
  <c r="N108" i="5"/>
  <c r="N110" i="5"/>
  <c r="N111" i="5"/>
  <c r="N37" i="5"/>
  <c r="N39" i="5"/>
  <c r="N41" i="5"/>
  <c r="N43" i="5"/>
  <c r="N35" i="5"/>
  <c r="N38" i="5"/>
  <c r="N42" i="5"/>
  <c r="N36" i="5"/>
  <c r="N40" i="5"/>
  <c r="N44" i="5"/>
  <c r="N45" i="5"/>
  <c r="N92" i="5"/>
  <c r="N94" i="5"/>
  <c r="N96" i="5"/>
  <c r="N98" i="5"/>
  <c r="N90" i="5"/>
  <c r="N91" i="5"/>
  <c r="N93" i="5"/>
  <c r="N95" i="5"/>
  <c r="N97" i="5"/>
  <c r="N99" i="5"/>
  <c r="N100" i="5"/>
  <c r="N125" i="5"/>
  <c r="N127" i="5"/>
  <c r="N129" i="5"/>
  <c r="N131" i="5"/>
  <c r="N123" i="5"/>
  <c r="N124" i="5"/>
  <c r="N126" i="5"/>
  <c r="N128" i="5"/>
  <c r="N130" i="5"/>
  <c r="N132" i="5"/>
  <c r="N133" i="5"/>
  <c r="N13" i="5"/>
  <c r="O13" i="5"/>
</calcChain>
</file>

<file path=xl/sharedStrings.xml><?xml version="1.0" encoding="utf-8"?>
<sst xmlns="http://schemas.openxmlformats.org/spreadsheetml/2006/main" count="579" uniqueCount="296">
  <si>
    <t>SMD/B3LYP/6-31+G(d,p)</t>
  </si>
  <si>
    <t>Conversions</t>
  </si>
  <si>
    <t>Hartree to kcal/mol</t>
  </si>
  <si>
    <t>R</t>
  </si>
  <si>
    <t>T</t>
  </si>
  <si>
    <t>F</t>
  </si>
  <si>
    <t>Gaq(H+)</t>
  </si>
  <si>
    <t>distribution</t>
  </si>
  <si>
    <t>specific</t>
  </si>
  <si>
    <t>ensemble</t>
  </si>
  <si>
    <t>ln(10)*RT</t>
  </si>
  <si>
    <t>SHE+Ggas(e-)</t>
  </si>
  <si>
    <t>SHE</t>
  </si>
  <si>
    <t>Ggas(e-)</t>
  </si>
  <si>
    <t>CBS-QB3</t>
  </si>
  <si>
    <t>specific Eox1 (V) vs. SHE</t>
  </si>
  <si>
    <t>ensemble Eox1 (V) vs. SHE</t>
  </si>
  <si>
    <t>Eox1(HA-, HA.)</t>
  </si>
  <si>
    <t>pKa2o</t>
  </si>
  <si>
    <t>E0 (V)</t>
  </si>
  <si>
    <t>E7 (V)</t>
  </si>
  <si>
    <t>DHA1</t>
  </si>
  <si>
    <t>Eox1(A2-, A.-)</t>
  </si>
  <si>
    <t>HA-_1</t>
  </si>
  <si>
    <t>HA-_2</t>
  </si>
  <si>
    <t>HA-_3</t>
  </si>
  <si>
    <t>HA-_4</t>
  </si>
  <si>
    <t>HA-_5</t>
  </si>
  <si>
    <t>HA-_6</t>
  </si>
  <si>
    <t>HA-_7</t>
  </si>
  <si>
    <t>HA-_8</t>
  </si>
  <si>
    <t>HA-_9</t>
  </si>
  <si>
    <t>HA-_10</t>
  </si>
  <si>
    <t>SMD/CBS-QB3</t>
  </si>
  <si>
    <t>A2-_1</t>
  </si>
  <si>
    <t>A2-_2</t>
  </si>
  <si>
    <t>A2-_3</t>
  </si>
  <si>
    <t>A2-_4</t>
  </si>
  <si>
    <t>A2-_5</t>
  </si>
  <si>
    <t>A2-_6</t>
  </si>
  <si>
    <t>A2-_7</t>
  </si>
  <si>
    <t>A2-_8</t>
  </si>
  <si>
    <t>pKa1r</t>
  </si>
  <si>
    <t>pKa2r</t>
  </si>
  <si>
    <t>HA._1</t>
  </si>
  <si>
    <t>HA._2</t>
  </si>
  <si>
    <t>HA._3</t>
  </si>
  <si>
    <t>HA._4</t>
  </si>
  <si>
    <t>HA._5</t>
  </si>
  <si>
    <t>HA._6</t>
  </si>
  <si>
    <t>HA._7</t>
  </si>
  <si>
    <t>HA._8</t>
  </si>
  <si>
    <t>HA._9</t>
  </si>
  <si>
    <t>HA._10</t>
  </si>
  <si>
    <t>A-._1</t>
  </si>
  <si>
    <t>A-._2</t>
  </si>
  <si>
    <t>A-._3</t>
  </si>
  <si>
    <t>A-._4</t>
  </si>
  <si>
    <t>A-._5</t>
  </si>
  <si>
    <t>A-._6</t>
  </si>
  <si>
    <t>A-._7</t>
  </si>
  <si>
    <t>A-._8</t>
  </si>
  <si>
    <t>A-._9</t>
  </si>
  <si>
    <t>A-._10</t>
  </si>
  <si>
    <t>G (hartree)</t>
  </si>
  <si>
    <t>G (kcal/mol)</t>
  </si>
  <si>
    <t>rel. G (kcal/mol)</t>
  </si>
  <si>
    <t>Eox1(HA-, H+/A.-)</t>
  </si>
  <si>
    <t>HA-_11</t>
  </si>
  <si>
    <t>A2-_9</t>
  </si>
  <si>
    <t>A2-_10</t>
  </si>
  <si>
    <t>HA._11</t>
  </si>
  <si>
    <t>aa5l_com2</t>
  </si>
  <si>
    <t>aa5l_com1</t>
  </si>
  <si>
    <t>aa7l_com1</t>
  </si>
  <si>
    <t>aa1h</t>
  </si>
  <si>
    <t>aa1l</t>
  </si>
  <si>
    <t>aa2l</t>
  </si>
  <si>
    <t>aa8l</t>
  </si>
  <si>
    <t>aa7l</t>
  </si>
  <si>
    <t>aa3l</t>
  </si>
  <si>
    <t>aa5l</t>
  </si>
  <si>
    <t>aa9l</t>
  </si>
  <si>
    <t>Q</t>
  </si>
  <si>
    <t>E0</t>
  </si>
  <si>
    <t>Eox1(A2-, A-.)</t>
  </si>
  <si>
    <t>H (hartree)</t>
  </si>
  <si>
    <t>DHA1_1</t>
  </si>
  <si>
    <t>DHA1_2</t>
  </si>
  <si>
    <t>DHA1_3</t>
  </si>
  <si>
    <t>DHA1_4</t>
  </si>
  <si>
    <t>DHA1_5</t>
  </si>
  <si>
    <t>DHA1_6</t>
  </si>
  <si>
    <t>DHA1_7</t>
  </si>
  <si>
    <t>DHA1_8</t>
  </si>
  <si>
    <t>DHA1_9</t>
  </si>
  <si>
    <t>DHA1_10</t>
  </si>
  <si>
    <t>conformers</t>
  </si>
  <si>
    <r>
      <rPr>
        <b/>
        <sz val="11"/>
        <color theme="1"/>
        <rFont val="Calibri"/>
        <family val="2"/>
        <scheme val="minor"/>
      </rP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A</t>
    </r>
  </si>
  <si>
    <t>ZPE + ΔG(0→298K)</t>
  </si>
  <si>
    <r>
      <t>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A_1</t>
    </r>
  </si>
  <si>
    <r>
      <t>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A_2</t>
    </r>
    <r>
      <rPr>
        <sz val="11"/>
        <color theme="1"/>
        <rFont val="Calibri"/>
        <family val="2"/>
        <scheme val="minor"/>
      </rPr>
      <t/>
    </r>
  </si>
  <si>
    <r>
      <t>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A_3</t>
    </r>
    <r>
      <rPr>
        <sz val="11"/>
        <color theme="1"/>
        <rFont val="Calibri"/>
        <family val="2"/>
        <scheme val="minor"/>
      </rPr>
      <t/>
    </r>
  </si>
  <si>
    <r>
      <t>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A_4</t>
    </r>
    <r>
      <rPr>
        <sz val="11"/>
        <color theme="1"/>
        <rFont val="Calibri"/>
        <family val="2"/>
        <scheme val="minor"/>
      </rPr>
      <t/>
    </r>
  </si>
  <si>
    <r>
      <t>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A_5</t>
    </r>
    <r>
      <rPr>
        <sz val="11"/>
        <color theme="1"/>
        <rFont val="Calibri"/>
        <family val="2"/>
        <scheme val="minor"/>
      </rPr>
      <t/>
    </r>
  </si>
  <si>
    <r>
      <t>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A_6</t>
    </r>
    <r>
      <rPr>
        <sz val="11"/>
        <color theme="1"/>
        <rFont val="Calibri"/>
        <family val="2"/>
        <scheme val="minor"/>
      </rPr>
      <t/>
    </r>
  </si>
  <si>
    <r>
      <t>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A_7</t>
    </r>
    <r>
      <rPr>
        <sz val="11"/>
        <color theme="1"/>
        <rFont val="Calibri"/>
        <family val="2"/>
        <scheme val="minor"/>
      </rPr>
      <t/>
    </r>
  </si>
  <si>
    <r>
      <t>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A_8</t>
    </r>
    <r>
      <rPr>
        <sz val="11"/>
        <color theme="1"/>
        <rFont val="Calibri"/>
        <family val="2"/>
        <scheme val="minor"/>
      </rPr>
      <t/>
    </r>
  </si>
  <si>
    <r>
      <t>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A_9</t>
    </r>
    <r>
      <rPr>
        <sz val="11"/>
        <color theme="1"/>
        <rFont val="Calibri"/>
        <family val="2"/>
        <scheme val="minor"/>
      </rPr>
      <t/>
    </r>
  </si>
  <si>
    <r>
      <t>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A_10</t>
    </r>
    <r>
      <rPr>
        <sz val="11"/>
        <color theme="1"/>
        <rFont val="Calibri"/>
        <family val="2"/>
        <scheme val="minor"/>
      </rPr>
      <t/>
    </r>
  </si>
  <si>
    <r>
      <t>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A_11</t>
    </r>
    <r>
      <rPr>
        <sz val="11"/>
        <color theme="1"/>
        <rFont val="Calibri"/>
        <family val="2"/>
        <scheme val="minor"/>
      </rPr>
      <t/>
    </r>
  </si>
  <si>
    <t>population (%)</t>
  </si>
  <si>
    <t>specific pKa</t>
  </si>
  <si>
    <t>SCF (hartree)</t>
  </si>
  <si>
    <r>
      <t>A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vertAlign val="superscript"/>
        <sz val="11"/>
        <color theme="1"/>
        <rFont val="Symbol"/>
        <family val="1"/>
        <charset val="2"/>
      </rPr>
      <t>-</t>
    </r>
  </si>
  <si>
    <r>
      <t>HA</t>
    </r>
    <r>
      <rPr>
        <b/>
        <vertAlign val="superscript"/>
        <sz val="11"/>
        <color theme="1"/>
        <rFont val="Symbol"/>
        <family val="1"/>
        <charset val="2"/>
      </rPr>
      <t>-</t>
    </r>
  </si>
  <si>
    <r>
      <t>HA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_1</t>
    </r>
  </si>
  <si>
    <r>
      <t>HA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_2</t>
    </r>
    <r>
      <rPr>
        <sz val="11"/>
        <color theme="1"/>
        <rFont val="Calibri"/>
        <family val="2"/>
        <scheme val="minor"/>
      </rPr>
      <t/>
    </r>
  </si>
  <si>
    <r>
      <t>HA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_3</t>
    </r>
    <r>
      <rPr>
        <sz val="11"/>
        <color theme="1"/>
        <rFont val="Calibri"/>
        <family val="2"/>
        <scheme val="minor"/>
      </rPr>
      <t/>
    </r>
  </si>
  <si>
    <r>
      <t>HA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_4</t>
    </r>
    <r>
      <rPr>
        <sz val="11"/>
        <color theme="1"/>
        <rFont val="Calibri"/>
        <family val="2"/>
        <scheme val="minor"/>
      </rPr>
      <t/>
    </r>
  </si>
  <si>
    <r>
      <t>HA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_5</t>
    </r>
    <r>
      <rPr>
        <sz val="11"/>
        <color theme="1"/>
        <rFont val="Calibri"/>
        <family val="2"/>
        <scheme val="minor"/>
      </rPr>
      <t/>
    </r>
  </si>
  <si>
    <r>
      <t>HA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_6</t>
    </r>
    <r>
      <rPr>
        <sz val="11"/>
        <color theme="1"/>
        <rFont val="Calibri"/>
        <family val="2"/>
        <scheme val="minor"/>
      </rPr>
      <t/>
    </r>
  </si>
  <si>
    <r>
      <t>HA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_7</t>
    </r>
    <r>
      <rPr>
        <sz val="11"/>
        <color theme="1"/>
        <rFont val="Calibri"/>
        <family val="2"/>
        <scheme val="minor"/>
      </rPr>
      <t/>
    </r>
  </si>
  <si>
    <r>
      <t>HA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_8</t>
    </r>
    <r>
      <rPr>
        <sz val="11"/>
        <color theme="1"/>
        <rFont val="Calibri"/>
        <family val="2"/>
        <scheme val="minor"/>
      </rPr>
      <t/>
    </r>
  </si>
  <si>
    <r>
      <t>HA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_9</t>
    </r>
    <r>
      <rPr>
        <sz val="11"/>
        <color theme="1"/>
        <rFont val="Calibri"/>
        <family val="2"/>
        <scheme val="minor"/>
      </rPr>
      <t/>
    </r>
  </si>
  <si>
    <r>
      <t>HA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_10</t>
    </r>
    <r>
      <rPr>
        <sz val="11"/>
        <color theme="1"/>
        <rFont val="Calibri"/>
        <family val="2"/>
        <scheme val="minor"/>
      </rPr>
      <t/>
    </r>
  </si>
  <si>
    <r>
      <t>HA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_11</t>
    </r>
    <r>
      <rPr>
        <sz val="11"/>
        <color theme="1"/>
        <rFont val="Calibri"/>
        <family val="2"/>
        <scheme val="minor"/>
      </rPr>
      <t/>
    </r>
  </si>
  <si>
    <r>
      <t>A</t>
    </r>
    <r>
      <rPr>
        <vertAlign val="superscript"/>
        <sz val="11"/>
        <rFont val="Calibri"/>
        <family val="2"/>
        <scheme val="minor"/>
      </rPr>
      <t>2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_1</t>
    </r>
  </si>
  <si>
    <r>
      <t>A</t>
    </r>
    <r>
      <rPr>
        <vertAlign val="superscript"/>
        <sz val="11"/>
        <rFont val="Calibri"/>
        <family val="2"/>
        <scheme val="minor"/>
      </rPr>
      <t>2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_2</t>
    </r>
    <r>
      <rPr>
        <sz val="11"/>
        <color theme="1"/>
        <rFont val="Calibri"/>
        <family val="2"/>
        <scheme val="minor"/>
      </rPr>
      <t/>
    </r>
  </si>
  <si>
    <r>
      <t>A</t>
    </r>
    <r>
      <rPr>
        <vertAlign val="superscript"/>
        <sz val="11"/>
        <rFont val="Calibri"/>
        <family val="2"/>
        <scheme val="minor"/>
      </rPr>
      <t>2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_3</t>
    </r>
    <r>
      <rPr>
        <sz val="11"/>
        <color theme="1"/>
        <rFont val="Calibri"/>
        <family val="2"/>
        <scheme val="minor"/>
      </rPr>
      <t/>
    </r>
  </si>
  <si>
    <r>
      <t>A</t>
    </r>
    <r>
      <rPr>
        <vertAlign val="superscript"/>
        <sz val="11"/>
        <rFont val="Calibri"/>
        <family val="2"/>
        <scheme val="minor"/>
      </rPr>
      <t>2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_4</t>
    </r>
    <r>
      <rPr>
        <sz val="11"/>
        <color theme="1"/>
        <rFont val="Calibri"/>
        <family val="2"/>
        <scheme val="minor"/>
      </rPr>
      <t/>
    </r>
  </si>
  <si>
    <r>
      <t>A</t>
    </r>
    <r>
      <rPr>
        <vertAlign val="superscript"/>
        <sz val="11"/>
        <rFont val="Calibri"/>
        <family val="2"/>
        <scheme val="minor"/>
      </rPr>
      <t>2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_5</t>
    </r>
    <r>
      <rPr>
        <sz val="11"/>
        <color theme="1"/>
        <rFont val="Calibri"/>
        <family val="2"/>
        <scheme val="minor"/>
      </rPr>
      <t/>
    </r>
  </si>
  <si>
    <r>
      <t>A</t>
    </r>
    <r>
      <rPr>
        <vertAlign val="superscript"/>
        <sz val="11"/>
        <rFont val="Calibri"/>
        <family val="2"/>
        <scheme val="minor"/>
      </rPr>
      <t>2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_6</t>
    </r>
    <r>
      <rPr>
        <sz val="11"/>
        <color theme="1"/>
        <rFont val="Calibri"/>
        <family val="2"/>
        <scheme val="minor"/>
      </rPr>
      <t/>
    </r>
  </si>
  <si>
    <r>
      <t>A</t>
    </r>
    <r>
      <rPr>
        <vertAlign val="superscript"/>
        <sz val="11"/>
        <rFont val="Calibri"/>
        <family val="2"/>
        <scheme val="minor"/>
      </rPr>
      <t>2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_7</t>
    </r>
    <r>
      <rPr>
        <sz val="11"/>
        <color theme="1"/>
        <rFont val="Calibri"/>
        <family val="2"/>
        <scheme val="minor"/>
      </rPr>
      <t/>
    </r>
  </si>
  <si>
    <r>
      <t>A</t>
    </r>
    <r>
      <rPr>
        <vertAlign val="superscript"/>
        <sz val="11"/>
        <rFont val="Calibri"/>
        <family val="2"/>
        <scheme val="minor"/>
      </rPr>
      <t>2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_8</t>
    </r>
    <r>
      <rPr>
        <sz val="11"/>
        <color theme="1"/>
        <rFont val="Calibri"/>
        <family val="2"/>
        <scheme val="minor"/>
      </rPr>
      <t/>
    </r>
  </si>
  <si>
    <r>
      <t>A</t>
    </r>
    <r>
      <rPr>
        <vertAlign val="superscript"/>
        <sz val="11"/>
        <rFont val="Calibri"/>
        <family val="2"/>
        <scheme val="minor"/>
      </rPr>
      <t>2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_9</t>
    </r>
    <r>
      <rPr>
        <sz val="11"/>
        <color theme="1"/>
        <rFont val="Calibri"/>
        <family val="2"/>
        <scheme val="minor"/>
      </rPr>
      <t/>
    </r>
  </si>
  <si>
    <r>
      <t>A</t>
    </r>
    <r>
      <rPr>
        <vertAlign val="superscript"/>
        <sz val="11"/>
        <rFont val="Calibri"/>
        <family val="2"/>
        <scheme val="minor"/>
      </rPr>
      <t>2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_10</t>
    </r>
    <r>
      <rPr>
        <sz val="11"/>
        <color theme="1"/>
        <rFont val="Calibri"/>
        <family val="2"/>
        <scheme val="minor"/>
      </rPr>
      <t/>
    </r>
  </si>
  <si>
    <t>(Alpha=0.9)</t>
  </si>
  <si>
    <t>(cavity scaled by 0.9)</t>
  </si>
  <si>
    <r>
      <rPr>
        <sz val="11"/>
        <color theme="1"/>
        <rFont val="Calibri"/>
        <family val="2"/>
        <scheme val="minor"/>
      </rPr>
      <t>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A</t>
    </r>
  </si>
  <si>
    <r>
      <t>HA</t>
    </r>
    <r>
      <rPr>
        <vertAlign val="superscript"/>
        <sz val="11"/>
        <color theme="1"/>
        <rFont val="Symbol"/>
        <family val="1"/>
        <charset val="2"/>
      </rPr>
      <t>-</t>
    </r>
  </si>
  <si>
    <t>SMD with inclusion of explicit waters</t>
  </si>
  <si>
    <r>
      <t>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A(H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  <r>
      <rPr>
        <vertAlign val="subscript"/>
        <sz val="8"/>
        <rFont val="Calibri"/>
        <family val="2"/>
        <scheme val="minor"/>
      </rPr>
      <t>2</t>
    </r>
  </si>
  <si>
    <r>
      <t>HA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  <r>
      <rPr>
        <vertAlign val="subscript"/>
        <sz val="8"/>
        <rFont val="Calibri"/>
        <family val="2"/>
        <scheme val="minor"/>
      </rPr>
      <t>2</t>
    </r>
  </si>
  <si>
    <r>
      <t>A</t>
    </r>
    <r>
      <rPr>
        <vertAlign val="superscript"/>
        <sz val="11"/>
        <rFont val="Calibri"/>
        <family val="2"/>
        <scheme val="minor"/>
      </rPr>
      <t>2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  <r>
      <rPr>
        <vertAlign val="subscript"/>
        <sz val="8"/>
        <rFont val="Calibri"/>
        <family val="2"/>
        <scheme val="minor"/>
      </rPr>
      <t>2</t>
    </r>
  </si>
  <si>
    <r>
      <t>A</t>
    </r>
    <r>
      <rPr>
        <vertAlign val="superscript"/>
        <sz val="11"/>
        <rFont val="Calibri"/>
        <family val="2"/>
        <scheme val="minor"/>
      </rPr>
      <t>2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 xml:space="preserve"> (a=0.9)</t>
    </r>
  </si>
  <si>
    <t>A theoretical study of oxidation of ascorbic acid and its antioxidant mechanism</t>
  </si>
  <si>
    <r>
      <t>Yi-Jung Tu,</t>
    </r>
    <r>
      <rPr>
        <vertAlign val="superscript"/>
        <sz val="11"/>
        <color theme="1"/>
        <rFont val="Times New Roman"/>
        <family val="1"/>
      </rPr>
      <t>1</t>
    </r>
    <r>
      <rPr>
        <sz val="11"/>
        <color theme="1"/>
        <rFont val="Times New Roman"/>
        <family val="1"/>
      </rPr>
      <t xml:space="preserve"> David Njus,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 xml:space="preserve"> and H. Bernhard Schlegel</t>
    </r>
    <r>
      <rPr>
        <vertAlign val="superscript"/>
        <sz val="11"/>
        <color theme="1"/>
        <rFont val="Times New Roman"/>
        <family val="1"/>
      </rPr>
      <t xml:space="preserve"> *,1</t>
    </r>
  </si>
  <si>
    <r>
      <t>1</t>
    </r>
    <r>
      <rPr>
        <i/>
        <sz val="11"/>
        <color rgb="FF000000"/>
        <rFont val="Times New Roman"/>
        <family val="1"/>
      </rPr>
      <t xml:space="preserve"> Department of Chemistry, Wayne State University, Detroit, MI, 48202</t>
    </r>
  </si>
  <si>
    <r>
      <t>2</t>
    </r>
    <r>
      <rPr>
        <i/>
        <sz val="11"/>
        <color rgb="FF000000"/>
        <rFont val="Times New Roman"/>
        <family val="1"/>
      </rPr>
      <t xml:space="preserve"> Department of Biological Science, Wayne State University, Detroit, MI, 48202</t>
    </r>
  </si>
  <si>
    <r>
      <t>HA</t>
    </r>
    <r>
      <rPr>
        <b/>
        <vertAlign val="superscript"/>
        <sz val="11"/>
        <color theme="1"/>
        <rFont val="Calibri"/>
        <family val="2"/>
        <scheme val="minor"/>
      </rPr>
      <t>.</t>
    </r>
    <r>
      <rPr>
        <b/>
        <sz val="11"/>
        <color theme="1"/>
        <rFont val="Calibri"/>
        <family val="2"/>
        <scheme val="minor"/>
      </rPr>
      <t xml:space="preserve"> </t>
    </r>
  </si>
  <si>
    <r>
      <t>A</t>
    </r>
    <r>
      <rPr>
        <b/>
        <vertAlign val="superscript"/>
        <sz val="11"/>
        <color theme="1"/>
        <rFont val="Symbol"/>
        <family val="1"/>
        <charset val="2"/>
      </rPr>
      <t>-.</t>
    </r>
  </si>
  <si>
    <r>
      <t>HA</t>
    </r>
    <r>
      <rPr>
        <vertAlign val="superscript"/>
        <sz val="11"/>
        <color theme="1"/>
        <rFont val="Symbol"/>
        <family val="1"/>
        <charset val="2"/>
      </rPr>
      <t>.</t>
    </r>
    <r>
      <rPr>
        <sz val="11"/>
        <color theme="1"/>
        <rFont val="Calibri"/>
        <family val="2"/>
        <scheme val="minor"/>
      </rPr>
      <t>(H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O)</t>
    </r>
    <r>
      <rPr>
        <vertAlign val="subscript"/>
        <sz val="11"/>
        <color theme="1"/>
        <rFont val="Calibri"/>
        <family val="2"/>
        <scheme val="minor"/>
      </rPr>
      <t>2</t>
    </r>
  </si>
  <si>
    <r>
      <t>A</t>
    </r>
    <r>
      <rPr>
        <vertAlign val="superscript"/>
        <sz val="11"/>
        <color theme="1"/>
        <rFont val="Symbol"/>
        <family val="1"/>
        <charset val="2"/>
      </rPr>
      <t>-.</t>
    </r>
    <r>
      <rPr>
        <sz val="11"/>
        <color theme="1"/>
        <rFont val="Calibri"/>
        <family val="2"/>
        <scheme val="minor"/>
      </rPr>
      <t>(H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O)</t>
    </r>
    <r>
      <rPr>
        <vertAlign val="subscript"/>
        <sz val="11"/>
        <color theme="1"/>
        <rFont val="Calibri"/>
        <family val="2"/>
        <scheme val="minor"/>
      </rPr>
      <t>2</t>
    </r>
  </si>
  <si>
    <r>
      <t>HA</t>
    </r>
    <r>
      <rPr>
        <vertAlign val="superscript"/>
        <sz val="11"/>
        <color theme="1"/>
        <rFont val="Symbol"/>
        <family val="1"/>
        <charset val="2"/>
      </rPr>
      <t>.</t>
    </r>
  </si>
  <si>
    <r>
      <t>A</t>
    </r>
    <r>
      <rPr>
        <vertAlign val="superscript"/>
        <sz val="11"/>
        <color theme="1"/>
        <rFont val="Symbol"/>
        <family val="1"/>
        <charset val="2"/>
      </rPr>
      <t>-.</t>
    </r>
  </si>
  <si>
    <t>with inclusion of explicit water</t>
  </si>
  <si>
    <r>
      <t>A</t>
    </r>
    <r>
      <rPr>
        <vertAlign val="superscript"/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Symbol"/>
        <family val="1"/>
        <charset val="2"/>
      </rPr>
      <t>-</t>
    </r>
    <r>
      <rPr>
        <sz val="11"/>
        <color theme="1"/>
        <rFont val="Calibri"/>
        <family val="2"/>
        <scheme val="minor"/>
      </rPr>
      <t xml:space="preserve"> (a=0.9)</t>
    </r>
  </si>
  <si>
    <t>Eox1 (HA-, HA.)</t>
  </si>
  <si>
    <t>Eox1 (HA-, A-./H+)</t>
  </si>
  <si>
    <t>Eox1 (A2-, A-.)</t>
  </si>
  <si>
    <r>
      <t>HA</t>
    </r>
    <r>
      <rPr>
        <vertAlign val="superscript"/>
        <sz val="11"/>
        <rFont val="Symbol"/>
        <family val="1"/>
        <charset val="2"/>
      </rPr>
      <t>.</t>
    </r>
    <r>
      <rPr>
        <sz val="11"/>
        <rFont val="Calibri"/>
        <family val="2"/>
        <scheme val="minor"/>
      </rPr>
      <t>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  <r>
      <rPr>
        <vertAlign val="subscript"/>
        <sz val="11"/>
        <rFont val="Calibri"/>
        <family val="2"/>
        <scheme val="minor"/>
      </rPr>
      <t>2</t>
    </r>
  </si>
  <si>
    <r>
      <t>A</t>
    </r>
    <r>
      <rPr>
        <vertAlign val="superscript"/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Symbol"/>
        <family val="1"/>
        <charset val="2"/>
      </rPr>
      <t>-</t>
    </r>
    <r>
      <rPr>
        <sz val="11"/>
        <color theme="1"/>
        <rFont val="Calibri"/>
        <family val="2"/>
        <scheme val="minor"/>
      </rPr>
      <t xml:space="preserve"> (a=0.9)</t>
    </r>
  </si>
  <si>
    <r>
      <t>HA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  <r>
      <rPr>
        <vertAlign val="subscript"/>
        <sz val="11"/>
        <rFont val="Calibri"/>
        <family val="2"/>
        <scheme val="minor"/>
      </rPr>
      <t>2</t>
    </r>
  </si>
  <si>
    <r>
      <t>A</t>
    </r>
    <r>
      <rPr>
        <vertAlign val="superscript"/>
        <sz val="11"/>
        <rFont val="Calibri"/>
        <family val="2"/>
        <scheme val="minor"/>
      </rPr>
      <t>2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  <r>
      <rPr>
        <vertAlign val="subscript"/>
        <sz val="11"/>
        <rFont val="Calibri"/>
        <family val="2"/>
        <scheme val="minor"/>
      </rPr>
      <t>2</t>
    </r>
  </si>
  <si>
    <r>
      <t>A</t>
    </r>
    <r>
      <rPr>
        <vertAlign val="superscript"/>
        <sz val="11"/>
        <rFont val="Calibri"/>
        <family val="2"/>
        <scheme val="minor"/>
      </rPr>
      <t>2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(a=0.9)</t>
    </r>
  </si>
  <si>
    <t>Eox2 (A-., DHA1)</t>
  </si>
  <si>
    <r>
      <t>DHA1</t>
    </r>
    <r>
      <rPr>
        <sz val="11"/>
        <rFont val="Calibri"/>
        <family val="2"/>
        <scheme val="minor"/>
      </rPr>
      <t>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  <r>
      <rPr>
        <vertAlign val="subscript"/>
        <sz val="11"/>
        <rFont val="Calibri"/>
        <family val="2"/>
        <scheme val="minor"/>
      </rPr>
      <t>2</t>
    </r>
  </si>
  <si>
    <r>
      <t>DHA2(H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  <r>
      <rPr>
        <vertAlign val="subscript"/>
        <sz val="11"/>
        <rFont val="Calibri"/>
        <family val="2"/>
        <scheme val="minor"/>
      </rPr>
      <t>2</t>
    </r>
  </si>
  <si>
    <r>
      <t>DHA4(H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  <r>
      <rPr>
        <vertAlign val="subscript"/>
        <sz val="11"/>
        <rFont val="Calibri"/>
        <family val="2"/>
        <scheme val="minor"/>
      </rPr>
      <t>2</t>
    </r>
  </si>
  <si>
    <r>
      <t>DHA5(H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  <r>
      <rPr>
        <vertAlign val="subscript"/>
        <sz val="11"/>
        <rFont val="Calibri"/>
        <family val="2"/>
        <scheme val="minor"/>
      </rPr>
      <t>2</t>
    </r>
  </si>
  <si>
    <r>
      <t>DHA2(H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</si>
  <si>
    <r>
      <t>DHA4(H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</si>
  <si>
    <t>Eox2 (A-., DHA2)</t>
  </si>
  <si>
    <t>Eox2 (A-., DHA4)</t>
  </si>
  <si>
    <t>Eox2 (A-., DHA5)</t>
  </si>
  <si>
    <r>
      <t>Q</t>
    </r>
    <r>
      <rPr>
        <vertAlign val="superscript"/>
        <sz val="11"/>
        <color theme="1"/>
        <rFont val="Symbol"/>
        <family val="1"/>
        <charset val="2"/>
      </rPr>
      <t>-.</t>
    </r>
  </si>
  <si>
    <t>Eox2 (Q-., Q)</t>
  </si>
  <si>
    <t>pKa</t>
  </si>
  <si>
    <t>DHA6</t>
  </si>
  <si>
    <t>ketone</t>
  </si>
  <si>
    <t>Gemdiol</t>
  </si>
  <si>
    <t>A(-.)_2wat</t>
  </si>
  <si>
    <t>A(-.) + A(-.)</t>
  </si>
  <si>
    <t>A(-.)</t>
  </si>
  <si>
    <t>A(2-) + DHA1</t>
  </si>
  <si>
    <t>A--A</t>
  </si>
  <si>
    <t>A(-.) + A(-.) =&gt; A--A</t>
  </si>
  <si>
    <t>DHA1 + HA-</t>
  </si>
  <si>
    <t>cycA--A</t>
  </si>
  <si>
    <t>HA--Aa</t>
  </si>
  <si>
    <t>DHA5 + HA-</t>
  </si>
  <si>
    <t>HA--Ab</t>
  </si>
  <si>
    <t>cycHA--Ab</t>
  </si>
  <si>
    <t>cycHA--Aa</t>
  </si>
  <si>
    <t>pKa(HA_Aa/A_A)</t>
  </si>
  <si>
    <t>HA--Aa =&gt; cycHA--Aa</t>
  </si>
  <si>
    <t>pKa(cycHA_A/cycA_A)</t>
  </si>
  <si>
    <t>A--Aa =&gt; cycA--A</t>
  </si>
  <si>
    <t>A(-.) + O2(-.)</t>
  </si>
  <si>
    <t>O2(-.)</t>
  </si>
  <si>
    <t>H2O2</t>
  </si>
  <si>
    <t>HA--OOHa</t>
  </si>
  <si>
    <t>A--OOHa</t>
  </si>
  <si>
    <t>DHA1_H2O2</t>
  </si>
  <si>
    <t>A(-.) + O2(-.) =&gt; A--OO (a=1)</t>
  </si>
  <si>
    <t>HA--OOHb</t>
  </si>
  <si>
    <t>DHA1a + H2O2</t>
  </si>
  <si>
    <t>cycHA--OOHb</t>
  </si>
  <si>
    <t>cycHA--OOHa</t>
  </si>
  <si>
    <t>DHA1c + H2O2</t>
  </si>
  <si>
    <t>DHA5 + H2O2</t>
  </si>
  <si>
    <t>SMD/B3LYP/6-31+G(d,p) with inplusion of explicit waters</t>
  </si>
  <si>
    <r>
      <t>DHA1a(H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  <r>
      <rPr>
        <vertAlign val="subscript"/>
        <sz val="11"/>
        <rFont val="Calibri"/>
        <family val="2"/>
        <scheme val="minor"/>
      </rPr>
      <t>2</t>
    </r>
  </si>
  <si>
    <r>
      <t>DHA5b(H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  <r>
      <rPr>
        <vertAlign val="subscript"/>
        <sz val="11"/>
        <rFont val="Calibri"/>
        <family val="2"/>
        <scheme val="minor"/>
      </rPr>
      <t>2</t>
    </r>
  </si>
  <si>
    <r>
      <t>DHA3(H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  <r>
      <rPr>
        <vertAlign val="subscript"/>
        <sz val="11"/>
        <rFont val="Calibri"/>
        <family val="2"/>
        <scheme val="minor"/>
      </rPr>
      <t>2</t>
    </r>
  </si>
  <si>
    <r>
      <t>DHA1b(H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  <r>
      <rPr>
        <vertAlign val="subscript"/>
        <sz val="11"/>
        <rFont val="Calibri"/>
        <family val="2"/>
        <scheme val="minor"/>
      </rPr>
      <t>2</t>
    </r>
  </si>
  <si>
    <r>
      <rPr>
        <b/>
        <sz val="11"/>
        <rFont val="Calibri"/>
        <family val="2"/>
        <scheme val="minor"/>
      </rPr>
      <t>DHA</t>
    </r>
    <r>
      <rPr>
        <sz val="11"/>
        <rFont val="Calibri"/>
        <family val="2"/>
        <scheme val="minor"/>
      </rPr>
      <t>s</t>
    </r>
  </si>
  <si>
    <r>
      <t>DHA4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</si>
  <si>
    <r>
      <t>DHA3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</si>
  <si>
    <r>
      <t>DHA2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</si>
  <si>
    <r>
      <t>DHA6</t>
    </r>
    <r>
      <rPr>
        <vertAlign val="superscript"/>
        <sz val="11"/>
        <rFont val="Symbol"/>
        <family val="1"/>
        <charset val="2"/>
      </rPr>
      <t>-</t>
    </r>
  </si>
  <si>
    <r>
      <rPr>
        <b/>
        <sz val="11"/>
        <rFont val="Calibri"/>
        <family val="2"/>
        <scheme val="minor"/>
      </rPr>
      <t>DHA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>s</t>
    </r>
  </si>
  <si>
    <r>
      <rPr>
        <sz val="11"/>
        <rFont val="Symbol"/>
        <family val="1"/>
        <charset val="2"/>
      </rPr>
      <t>D</t>
    </r>
    <r>
      <rPr>
        <sz val="11"/>
        <rFont val="Calibri"/>
        <family val="2"/>
        <scheme val="minor"/>
      </rPr>
      <t>H (kcal/mol)</t>
    </r>
  </si>
  <si>
    <r>
      <rPr>
        <sz val="11"/>
        <rFont val="Symbol"/>
        <family val="1"/>
        <charset val="2"/>
      </rPr>
      <t>D</t>
    </r>
    <r>
      <rPr>
        <sz val="11"/>
        <rFont val="Calibri"/>
        <family val="2"/>
        <scheme val="minor"/>
      </rPr>
      <t>G (kcal/mol)</t>
    </r>
  </si>
  <si>
    <t>DHA2 =&gt; DHA4</t>
  </si>
  <si>
    <r>
      <t>DHA2</t>
    </r>
    <r>
      <rPr>
        <vertAlign val="superscript"/>
        <sz val="11"/>
        <rFont val="Symbol"/>
        <family val="1"/>
        <charset val="2"/>
      </rPr>
      <t>-</t>
    </r>
    <r>
      <rPr>
        <sz val="11"/>
        <rFont val="Calibri"/>
        <family val="2"/>
        <scheme val="minor"/>
      </rPr>
      <t xml:space="preserve"> =&gt; DHA4</t>
    </r>
    <r>
      <rPr>
        <vertAlign val="superscript"/>
        <sz val="11"/>
        <rFont val="Symbol"/>
        <family val="1"/>
        <charset val="2"/>
      </rPr>
      <t>-</t>
    </r>
  </si>
  <si>
    <t>Reactions</t>
  </si>
  <si>
    <t>SMD/CBS-QB3 with inclusion of explicit water</t>
  </si>
  <si>
    <t>redox potential</t>
  </si>
  <si>
    <t>1,2-Catechol (Q)</t>
  </si>
  <si>
    <t>Relative enthalpy and free energy of DHAs</t>
  </si>
  <si>
    <r>
      <t>E0</t>
    </r>
    <r>
      <rPr>
        <vertAlign val="subscript"/>
        <sz val="11"/>
        <rFont val="Calibri"/>
        <family val="2"/>
        <scheme val="minor"/>
      </rPr>
      <t>(cor.)</t>
    </r>
    <r>
      <rPr>
        <sz val="11"/>
        <rFont val="Calibri"/>
        <family val="2"/>
        <scheme val="minor"/>
      </rPr>
      <t xml:space="preserve"> (V)</t>
    </r>
  </si>
  <si>
    <t>Hydration</t>
  </si>
  <si>
    <r>
      <rPr>
        <sz val="11"/>
        <color rgb="FFFF0000"/>
        <rFont val="Symbol"/>
        <family val="1"/>
        <charset val="2"/>
      </rPr>
      <t>D</t>
    </r>
    <r>
      <rPr>
        <sz val="11"/>
        <color rgb="FFFF0000"/>
        <rFont val="Calibri"/>
        <family val="2"/>
        <scheme val="minor"/>
      </rPr>
      <t>G</t>
    </r>
    <r>
      <rPr>
        <vertAlign val="subscript"/>
        <sz val="11"/>
        <color rgb="FFFF0000"/>
        <rFont val="Calibri"/>
        <family val="2"/>
        <scheme val="minor"/>
      </rPr>
      <t>(cor.)</t>
    </r>
    <r>
      <rPr>
        <sz val="11"/>
        <color rgb="FFFF0000"/>
        <rFont val="Calibri"/>
        <family val="2"/>
        <scheme val="minor"/>
      </rPr>
      <t xml:space="preserve"> (kcal/mol)</t>
    </r>
  </si>
  <si>
    <r>
      <t>E0</t>
    </r>
    <r>
      <rPr>
        <vertAlign val="subscript"/>
        <sz val="11"/>
        <color rgb="FFFF0000"/>
        <rFont val="Calibri"/>
        <family val="2"/>
        <scheme val="minor"/>
      </rPr>
      <t>(cor.)</t>
    </r>
    <r>
      <rPr>
        <sz val="11"/>
        <color rgb="FFFF0000"/>
        <rFont val="Calibri"/>
        <family val="2"/>
        <scheme val="minor"/>
      </rPr>
      <t xml:space="preserve"> (V)</t>
    </r>
  </si>
  <si>
    <r>
      <rPr>
        <sz val="11"/>
        <color rgb="FFFF0000"/>
        <rFont val="Symbol"/>
        <family val="1"/>
        <charset val="2"/>
      </rPr>
      <t>D</t>
    </r>
    <r>
      <rPr>
        <sz val="11"/>
        <color rgb="FFFF0000"/>
        <rFont val="Calibri"/>
        <family val="2"/>
        <scheme val="minor"/>
      </rPr>
      <t>G</t>
    </r>
    <r>
      <rPr>
        <vertAlign val="subscript"/>
        <sz val="11"/>
        <color rgb="FFFF0000"/>
        <rFont val="Calibri"/>
        <family val="2"/>
        <scheme val="minor"/>
      </rPr>
      <t>(cor.)</t>
    </r>
    <r>
      <rPr>
        <sz val="11"/>
        <color rgb="FFFF0000"/>
        <rFont val="Calibri"/>
        <family val="2"/>
        <scheme val="minor"/>
      </rPr>
      <t xml:space="preserve"> (kcal/mol) is </t>
    </r>
    <r>
      <rPr>
        <sz val="11"/>
        <color rgb="FFFF0000"/>
        <rFont val="Symbol"/>
        <family val="1"/>
        <charset val="2"/>
      </rPr>
      <t>D</t>
    </r>
    <r>
      <rPr>
        <sz val="11"/>
        <color rgb="FFFF0000"/>
        <rFont val="Calibri"/>
        <family val="2"/>
        <scheme val="minor"/>
      </rPr>
      <t>G corrected with the expermental value of 3.68 kcal/mol</t>
    </r>
  </si>
  <si>
    <t>ts(HA--Ab/cycHA--Ab)</t>
  </si>
  <si>
    <t>Shortname</t>
  </si>
  <si>
    <t>Label</t>
  </si>
  <si>
    <t>Lactone_dimerization</t>
  </si>
  <si>
    <r>
      <rPr>
        <sz val="11"/>
        <color rgb="FFFF0000"/>
        <rFont val="Symbol"/>
        <family val="1"/>
        <charset val="2"/>
      </rPr>
      <t>D</t>
    </r>
    <r>
      <rPr>
        <sz val="11"/>
        <color rgb="FFFF0000"/>
        <rFont val="Calibri"/>
        <family val="2"/>
        <scheme val="minor"/>
      </rPr>
      <t>G</t>
    </r>
    <r>
      <rPr>
        <vertAlign val="subscript"/>
        <sz val="11"/>
        <color rgb="FFFF0000"/>
        <rFont val="Calibri"/>
        <family val="2"/>
        <scheme val="minor"/>
      </rPr>
      <t>(cor.)</t>
    </r>
    <r>
      <rPr>
        <sz val="11"/>
        <color rgb="FFFF0000"/>
        <rFont val="Calibri"/>
        <family val="2"/>
        <scheme val="minor"/>
      </rPr>
      <t xml:space="preserve"> (CBS-QB3) </t>
    </r>
    <r>
      <rPr>
        <sz val="11"/>
        <color rgb="FFFF0000"/>
        <rFont val="Symbol"/>
        <family val="1"/>
        <charset val="2"/>
      </rPr>
      <t>- D</t>
    </r>
    <r>
      <rPr>
        <sz val="11"/>
        <color rgb="FFFF0000"/>
        <rFont val="Calibri"/>
        <family val="2"/>
        <scheme val="minor"/>
      </rPr>
      <t>G (B3LYP)(kcal/mol)</t>
    </r>
  </si>
  <si>
    <r>
      <t>A</t>
    </r>
    <r>
      <rPr>
        <vertAlign val="superscript"/>
        <sz val="11"/>
        <color theme="1"/>
        <rFont val="Symbol"/>
        <family val="1"/>
        <charset val="2"/>
      </rPr>
      <t>-.</t>
    </r>
    <r>
      <rPr>
        <sz val="11"/>
        <color theme="1"/>
        <rFont val="Calibri"/>
        <family val="2"/>
        <scheme val="minor"/>
      </rPr>
      <t>(H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O)</t>
    </r>
  </si>
  <si>
    <r>
      <t>A</t>
    </r>
    <r>
      <rPr>
        <vertAlign val="superscript"/>
        <sz val="11"/>
        <color theme="1"/>
        <rFont val="Symbol"/>
        <family val="1"/>
        <charset val="2"/>
      </rPr>
      <t>-.</t>
    </r>
    <r>
      <rPr>
        <sz val="11"/>
        <color theme="1"/>
        <rFont val="Calibri"/>
        <family val="2"/>
        <scheme val="minor"/>
      </rPr>
      <t>(H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O)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+ A-.</t>
    </r>
  </si>
  <si>
    <t>HA--Ab =&gt; cycHA--Ab</t>
  </si>
  <si>
    <t>shortname</t>
  </si>
  <si>
    <r>
      <t>L</t>
    </r>
    <r>
      <rPr>
        <vertAlign val="superscript"/>
        <sz val="11"/>
        <color theme="1"/>
        <rFont val="Symbol"/>
        <family val="1"/>
        <charset val="2"/>
      </rPr>
      <t>-.</t>
    </r>
    <r>
      <rPr>
        <sz val="11"/>
        <color theme="1"/>
        <rFont val="Calibri"/>
        <family val="2"/>
        <scheme val="minor"/>
      </rPr>
      <t>(H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O)</t>
    </r>
  </si>
  <si>
    <t xml:space="preserve">SMD/B3LYP/6-31+G(d,p) </t>
  </si>
  <si>
    <r>
      <t>DHA5a(H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  <r>
      <rPr>
        <vertAlign val="subscript"/>
        <sz val="11"/>
        <rFont val="Calibri"/>
        <family val="2"/>
        <scheme val="minor"/>
      </rPr>
      <t>2</t>
    </r>
  </si>
  <si>
    <r>
      <t>DHA1c(H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  <r>
      <rPr>
        <vertAlign val="subscript"/>
        <sz val="11"/>
        <rFont val="Calibri"/>
        <family val="2"/>
        <scheme val="minor"/>
      </rPr>
      <t>2</t>
    </r>
  </si>
  <si>
    <r>
      <rPr>
        <b/>
        <sz val="11"/>
        <rFont val="Calibri"/>
        <family val="2"/>
        <scheme val="minor"/>
      </rPr>
      <t>TS</t>
    </r>
    <r>
      <rPr>
        <sz val="11"/>
        <rFont val="Calibri"/>
        <family val="2"/>
        <scheme val="minor"/>
      </rPr>
      <t>(DHA5b/DHA4)</t>
    </r>
  </si>
  <si>
    <r>
      <rPr>
        <b/>
        <sz val="11"/>
        <rFont val="Calibri"/>
        <family val="2"/>
        <scheme val="minor"/>
      </rPr>
      <t>TS</t>
    </r>
    <r>
      <rPr>
        <sz val="11"/>
        <rFont val="Calibri"/>
        <family val="2"/>
        <scheme val="minor"/>
      </rPr>
      <t>(DHA1c/5a)</t>
    </r>
  </si>
  <si>
    <r>
      <t>HA</t>
    </r>
    <r>
      <rPr>
        <vertAlign val="superscript"/>
        <sz val="11"/>
        <rFont val="Symbol"/>
        <family val="1"/>
        <charset val="2"/>
      </rPr>
      <t>-</t>
    </r>
  </si>
  <si>
    <t>3a</t>
  </si>
  <si>
    <t>3b</t>
  </si>
  <si>
    <t>4b</t>
  </si>
  <si>
    <t>4a</t>
  </si>
  <si>
    <t>Disprportionation of ascorbic acid radicals</t>
  </si>
  <si>
    <t>Conversion</t>
  </si>
  <si>
    <r>
      <t>2 L</t>
    </r>
    <r>
      <rPr>
        <vertAlign val="superscript"/>
        <sz val="11"/>
        <rFont val="Symbol"/>
        <family val="1"/>
        <charset val="2"/>
      </rPr>
      <t>-</t>
    </r>
    <r>
      <rPr>
        <vertAlign val="superscript"/>
        <sz val="11"/>
        <rFont val="Calibri"/>
        <family val="2"/>
        <scheme val="minor"/>
      </rPr>
      <t>.</t>
    </r>
    <r>
      <rPr>
        <sz val="11"/>
        <rFont val="Calibri"/>
        <family val="2"/>
        <scheme val="minor"/>
      </rPr>
      <t>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=&gt; A--A</t>
    </r>
    <r>
      <rPr>
        <vertAlign val="superscript"/>
        <sz val="11"/>
        <rFont val="Calibri"/>
        <family val="2"/>
        <scheme val="minor"/>
      </rPr>
      <t>2</t>
    </r>
    <r>
      <rPr>
        <vertAlign val="superscript"/>
        <sz val="11"/>
        <rFont val="Symbol"/>
        <family val="1"/>
        <charset val="2"/>
      </rPr>
      <t>-</t>
    </r>
  </si>
  <si>
    <r>
      <t>L--L</t>
    </r>
    <r>
      <rPr>
        <vertAlign val="superscript"/>
        <sz val="11"/>
        <rFont val="Symbol"/>
        <family val="1"/>
        <charset val="2"/>
      </rPr>
      <t>2-</t>
    </r>
    <r>
      <rPr>
        <vertAlign val="superscript"/>
        <sz val="11"/>
        <rFont val="Calibri"/>
        <family val="2"/>
        <scheme val="minor"/>
      </rPr>
      <t>.</t>
    </r>
    <r>
      <rPr>
        <sz val="11"/>
        <rFont val="Calibri"/>
        <family val="2"/>
        <scheme val="minor"/>
      </rPr>
      <t>(H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O)</t>
    </r>
    <r>
      <rPr>
        <vertAlign val="subscript"/>
        <sz val="11"/>
        <rFont val="Calibri"/>
        <family val="2"/>
        <scheme val="minor"/>
      </rPr>
      <t>2</t>
    </r>
  </si>
  <si>
    <t>pKa(cycHA-OO/cycA-OO)</t>
  </si>
  <si>
    <t>pKa(cycA-OOH/cycA-OO)</t>
  </si>
  <si>
    <t>cycA--OOa</t>
  </si>
  <si>
    <t>pKa(cycHA-OOH/cycA-OOH)</t>
  </si>
  <si>
    <t>cycA--OOHa</t>
  </si>
  <si>
    <t>pKa(cycHA-OOH/cycHA-OO)</t>
  </si>
  <si>
    <t>cycHA--OOa</t>
  </si>
  <si>
    <t>pKa(HA-OO/A-OO)</t>
  </si>
  <si>
    <t>pKa(A-OOH/A-OO)</t>
  </si>
  <si>
    <t>pKa(HA-OOHa/A-OOHa)</t>
  </si>
  <si>
    <t>pKa(HA-OOHa/HA-OOa)</t>
  </si>
  <si>
    <t>HA--OOa</t>
  </si>
  <si>
    <t>Energy diagram estimated at CBS-QB3</t>
  </si>
  <si>
    <r>
      <rPr>
        <b/>
        <sz val="11"/>
        <rFont val="Calibri"/>
        <family val="2"/>
        <scheme val="minor"/>
      </rPr>
      <t>TS</t>
    </r>
    <r>
      <rPr>
        <sz val="11"/>
        <rFont val="Calibri"/>
        <family val="2"/>
        <scheme val="minor"/>
      </rPr>
      <t>(DHA1c/DHA5a)</t>
    </r>
  </si>
  <si>
    <t>Reaction of ascorbic acid radical with superoxide</t>
  </si>
  <si>
    <t>A--OOa(a=1)</t>
  </si>
  <si>
    <t>9a</t>
  </si>
  <si>
    <t>9b</t>
  </si>
  <si>
    <t>10b</t>
  </si>
  <si>
    <r>
      <rPr>
        <b/>
        <sz val="11"/>
        <color theme="1"/>
        <rFont val="Calibri"/>
        <family val="2"/>
        <scheme val="minor"/>
      </rPr>
      <t>TS</t>
    </r>
    <r>
      <rPr>
        <sz val="11"/>
        <color theme="1"/>
        <rFont val="Calibri"/>
        <family val="2"/>
        <scheme val="minor"/>
      </rPr>
      <t>(9b/10b)</t>
    </r>
  </si>
  <si>
    <t>10a</t>
  </si>
  <si>
    <r>
      <rPr>
        <b/>
        <sz val="11"/>
        <color theme="1"/>
        <rFont val="Calibri"/>
        <family val="2"/>
        <scheme val="minor"/>
      </rPr>
      <t>TS</t>
    </r>
    <r>
      <rPr>
        <sz val="11"/>
        <color theme="1"/>
        <rFont val="Calibri"/>
        <family val="2"/>
        <scheme val="minor"/>
      </rPr>
      <t>(10a/DHA5 +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</si>
  <si>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TS</t>
    </r>
    <r>
      <rPr>
        <sz val="11"/>
        <color theme="1"/>
        <rFont val="Calibri"/>
        <family val="2"/>
        <scheme val="minor"/>
      </rPr>
      <t>(9a/DHA1 +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</si>
  <si>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9a</t>
    </r>
    <r>
      <rPr>
        <sz val="11"/>
        <color theme="1"/>
        <rFont val="Calibri"/>
        <family val="2"/>
        <scheme val="minor"/>
      </rPr>
      <t xml:space="preserve"> =&gt; </t>
    </r>
    <r>
      <rPr>
        <b/>
        <sz val="11"/>
        <color theme="1"/>
        <rFont val="Calibri"/>
        <family val="2"/>
        <scheme val="minor"/>
      </rPr>
      <t>TS</t>
    </r>
    <r>
      <rPr>
        <sz val="11"/>
        <color theme="1"/>
        <rFont val="Calibri"/>
        <family val="2"/>
        <scheme val="minor"/>
      </rPr>
      <t>(9a/DHA1_H2O2)</t>
    </r>
  </si>
  <si>
    <r>
      <rPr>
        <b/>
        <sz val="11"/>
        <color theme="1"/>
        <rFont val="Calibri"/>
        <family val="2"/>
        <scheme val="minor"/>
      </rPr>
      <t>9b</t>
    </r>
    <r>
      <rPr>
        <sz val="11"/>
        <color theme="1"/>
        <rFont val="Calibri"/>
        <family val="2"/>
        <scheme val="minor"/>
      </rPr>
      <t xml:space="preserve"> =&gt; </t>
    </r>
    <r>
      <rPr>
        <b/>
        <sz val="11"/>
        <color theme="1"/>
        <rFont val="Calibri"/>
        <family val="2"/>
        <scheme val="minor"/>
      </rPr>
      <t>TS</t>
    </r>
    <r>
      <rPr>
        <sz val="11"/>
        <color theme="1"/>
        <rFont val="Calibri"/>
        <family val="2"/>
        <scheme val="minor"/>
      </rPr>
      <t>(9b/10b)</t>
    </r>
  </si>
  <si>
    <r>
      <rPr>
        <b/>
        <sz val="11"/>
        <color theme="1"/>
        <rFont val="Calibri"/>
        <family val="2"/>
        <scheme val="minor"/>
      </rPr>
      <t>10a</t>
    </r>
    <r>
      <rPr>
        <sz val="11"/>
        <color theme="1"/>
        <rFont val="Calibri"/>
        <family val="2"/>
        <scheme val="minor"/>
      </rPr>
      <t xml:space="preserve"> =&gt; </t>
    </r>
    <r>
      <rPr>
        <b/>
        <sz val="11"/>
        <color theme="1"/>
        <rFont val="Calibri"/>
        <family val="2"/>
        <scheme val="minor"/>
      </rPr>
      <t>TS</t>
    </r>
    <r>
      <rPr>
        <sz val="11"/>
        <color theme="1"/>
        <rFont val="Calibri"/>
        <family val="2"/>
        <scheme val="minor"/>
      </rPr>
      <t>(DHA1c/DHA5a)</t>
    </r>
  </si>
  <si>
    <r>
      <rPr>
        <b/>
        <sz val="11"/>
        <color theme="1"/>
        <rFont val="Calibri"/>
        <family val="2"/>
        <scheme val="minor"/>
      </rPr>
      <t>9a</t>
    </r>
    <r>
      <rPr>
        <sz val="11"/>
        <color theme="1"/>
        <rFont val="Calibri"/>
        <family val="2"/>
        <scheme val="minor"/>
      </rPr>
      <t xml:space="preserve"> =&gt; </t>
    </r>
    <r>
      <rPr>
        <b/>
        <sz val="11"/>
        <color theme="1"/>
        <rFont val="Calibri"/>
        <family val="2"/>
        <scheme val="minor"/>
      </rPr>
      <t>10a</t>
    </r>
  </si>
  <si>
    <r>
      <rPr>
        <b/>
        <sz val="11"/>
        <color theme="1"/>
        <rFont val="Calibri"/>
        <family val="2"/>
        <scheme val="minor"/>
      </rPr>
      <t>11</t>
    </r>
    <r>
      <rPr>
        <sz val="11"/>
        <color theme="1"/>
        <rFont val="Calibri"/>
        <family val="2"/>
        <scheme val="minor"/>
      </rPr>
      <t xml:space="preserve"> =&gt; </t>
    </r>
    <r>
      <rPr>
        <b/>
        <sz val="11"/>
        <color theme="1"/>
        <rFont val="Calibri"/>
        <family val="2"/>
        <scheme val="minor"/>
      </rPr>
      <t>12</t>
    </r>
  </si>
  <si>
    <r>
      <rPr>
        <b/>
        <sz val="11"/>
        <color theme="1"/>
        <rFont val="Calibri"/>
        <family val="2"/>
        <scheme val="minor"/>
      </rPr>
      <t>7</t>
    </r>
    <r>
      <rPr>
        <sz val="11"/>
        <color theme="1"/>
        <rFont val="Calibri"/>
        <family val="2"/>
        <scheme val="minor"/>
      </rPr>
      <t xml:space="preserve"> =&gt; </t>
    </r>
    <r>
      <rPr>
        <b/>
        <sz val="11"/>
        <color theme="1"/>
        <rFont val="Calibri"/>
        <family val="2"/>
        <scheme val="minor"/>
      </rPr>
      <t>8</t>
    </r>
  </si>
  <si>
    <r>
      <rPr>
        <b/>
        <sz val="11"/>
        <color theme="1"/>
        <rFont val="Calibri"/>
        <family val="2"/>
        <scheme val="minor"/>
      </rPr>
      <t>5</t>
    </r>
    <r>
      <rPr>
        <sz val="11"/>
        <color theme="1"/>
        <rFont val="Calibri"/>
        <family val="2"/>
        <scheme val="minor"/>
      </rPr>
      <t xml:space="preserve"> =&gt; </t>
    </r>
    <r>
      <rPr>
        <b/>
        <sz val="11"/>
        <color theme="1"/>
        <rFont val="Calibri"/>
        <family val="2"/>
        <scheme val="minor"/>
      </rPr>
      <t>6</t>
    </r>
  </si>
  <si>
    <t>Cyclization</t>
  </si>
  <si>
    <r>
      <rPr>
        <b/>
        <sz val="11"/>
        <rFont val="Calibri"/>
        <family val="2"/>
        <scheme val="minor"/>
      </rPr>
      <t>pKa</t>
    </r>
    <r>
      <rPr>
        <sz val="11"/>
        <rFont val="Calibri"/>
        <family val="2"/>
        <scheme val="minor"/>
      </rPr>
      <t>'s</t>
    </r>
  </si>
  <si>
    <t>A--Ooa</t>
  </si>
  <si>
    <r>
      <t>TS(</t>
    </r>
    <r>
      <rPr>
        <sz val="11"/>
        <color theme="1"/>
        <rFont val="Calibri"/>
        <family val="2"/>
        <scheme val="minor"/>
      </rPr>
      <t>3b/4b</t>
    </r>
    <r>
      <rPr>
        <b/>
        <sz val="11"/>
        <color theme="1"/>
        <rFont val="Calibri"/>
        <family val="2"/>
        <scheme val="minor"/>
      </rPr>
      <t>)</t>
    </r>
  </si>
  <si>
    <t>TS(9b/10b)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</si>
</sst>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00"/>
    <numFmt numFmtId="165" formatCode="0.000000"/>
    <numFmt numFmtId="166" formatCode="0.00000"/>
    <numFmt numFmtId="167" formatCode="0.0"/>
    <numFmt numFmtId="168" formatCode="0.0000"/>
    <numFmt numFmtId="171" formatCode="0.000E+00"/>
    <numFmt numFmtId="173" formatCode="0.0000000000000"/>
  </numFmts>
  <fonts count="4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rgb="FF92D05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rgb="FF0070C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bscript"/>
      <sz val="1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perscript"/>
      <sz val="11"/>
      <color theme="1"/>
      <name val="Symbol"/>
      <family val="1"/>
      <charset val="2"/>
    </font>
    <font>
      <b/>
      <vertAlign val="superscript"/>
      <sz val="11"/>
      <color theme="1"/>
      <name val="Symbol"/>
      <family val="1"/>
      <charset val="2"/>
    </font>
    <font>
      <vertAlign val="superscript"/>
      <sz val="11"/>
      <name val="Calibri"/>
      <family val="2"/>
      <scheme val="minor"/>
    </font>
    <font>
      <vertAlign val="superscript"/>
      <sz val="11"/>
      <name val="Symbol"/>
      <family val="1"/>
      <charset val="2"/>
    </font>
    <font>
      <vertAlign val="subscript"/>
      <sz val="8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Times New Roman"/>
      <family val="1"/>
    </font>
    <font>
      <vertAlign val="superscript"/>
      <sz val="11"/>
      <color theme="1"/>
      <name val="Times New Roman"/>
      <family val="1"/>
    </font>
    <font>
      <i/>
      <vertAlign val="superscript"/>
      <sz val="11"/>
      <color rgb="FF000000"/>
      <name val="Times New Roman"/>
      <family val="1"/>
    </font>
    <font>
      <i/>
      <sz val="11"/>
      <color rgb="FF000000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10.5"/>
      <color theme="1"/>
      <name val="Courier New"/>
      <family val="3"/>
    </font>
    <font>
      <sz val="11"/>
      <name val="Symbol"/>
      <family val="1"/>
      <charset val="2"/>
    </font>
    <font>
      <b/>
      <sz val="12"/>
      <color theme="1"/>
      <name val="Calibri"/>
      <family val="2"/>
      <scheme val="minor"/>
    </font>
    <font>
      <sz val="11"/>
      <color rgb="FFFF0000"/>
      <name val="Symbol"/>
      <family val="1"/>
      <charset val="2"/>
    </font>
    <font>
      <vertAlign val="subscript"/>
      <sz val="11"/>
      <color rgb="FFFF0000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3" fillId="0" borderId="0">
      <alignment vertical="center"/>
    </xf>
  </cellStyleXfs>
  <cellXfs count="222">
    <xf numFmtId="0" fontId="0" fillId="0" borderId="0" xfId="0"/>
    <xf numFmtId="0" fontId="0" fillId="0" borderId="0" xfId="0" applyFont="1"/>
    <xf numFmtId="0" fontId="2" fillId="0" borderId="0" xfId="0" applyFont="1"/>
    <xf numFmtId="0" fontId="0" fillId="0" borderId="0" xfId="0"/>
    <xf numFmtId="2" fontId="0" fillId="0" borderId="0" xfId="0" applyNumberFormat="1"/>
    <xf numFmtId="0" fontId="0" fillId="0" borderId="0" xfId="0" applyFill="1"/>
    <xf numFmtId="2" fontId="1" fillId="0" borderId="0" xfId="0" applyNumberFormat="1" applyFont="1"/>
    <xf numFmtId="0" fontId="0" fillId="0" borderId="0" xfId="0" applyFont="1" applyAlignment="1">
      <alignment horizontal="right"/>
    </xf>
    <xf numFmtId="0" fontId="0" fillId="0" borderId="0" xfId="0" applyNumberFormat="1"/>
    <xf numFmtId="9" fontId="0" fillId="0" borderId="0" xfId="1" applyFont="1"/>
    <xf numFmtId="2" fontId="5" fillId="0" borderId="0" xfId="0" applyNumberFormat="1" applyFont="1"/>
    <xf numFmtId="0" fontId="0" fillId="0" borderId="0" xfId="0" applyBorder="1"/>
    <xf numFmtId="2" fontId="0" fillId="0" borderId="0" xfId="0" applyNumberFormat="1" applyBorder="1"/>
    <xf numFmtId="0" fontId="0" fillId="0" borderId="0" xfId="0" applyFill="1" applyBorder="1"/>
    <xf numFmtId="11" fontId="0" fillId="0" borderId="0" xfId="0" applyNumberFormat="1"/>
    <xf numFmtId="164" fontId="0" fillId="0" borderId="0" xfId="0" applyNumberFormat="1" applyFill="1"/>
    <xf numFmtId="164" fontId="0" fillId="0" borderId="0" xfId="0" applyNumberFormat="1"/>
    <xf numFmtId="2" fontId="2" fillId="0" borderId="0" xfId="0" applyNumberFormat="1" applyFont="1"/>
    <xf numFmtId="2" fontId="6" fillId="0" borderId="0" xfId="0" applyNumberFormat="1" applyFont="1"/>
    <xf numFmtId="2" fontId="7" fillId="0" borderId="0" xfId="0" applyNumberFormat="1" applyFont="1"/>
    <xf numFmtId="2" fontId="8" fillId="0" borderId="0" xfId="0" applyNumberFormat="1" applyFont="1"/>
    <xf numFmtId="0" fontId="10" fillId="0" borderId="0" xfId="0" applyFont="1"/>
    <xf numFmtId="0" fontId="10" fillId="0" borderId="0" xfId="0" applyNumberFormat="1" applyFont="1"/>
    <xf numFmtId="9" fontId="10" fillId="0" borderId="0" xfId="1" applyFont="1"/>
    <xf numFmtId="164" fontId="2" fillId="0" borderId="0" xfId="0" applyNumberFormat="1" applyFont="1"/>
    <xf numFmtId="164" fontId="1" fillId="0" borderId="0" xfId="0" applyNumberFormat="1" applyFont="1"/>
    <xf numFmtId="168" fontId="2" fillId="0" borderId="0" xfId="0" applyNumberFormat="1" applyFont="1"/>
    <xf numFmtId="0" fontId="1" fillId="0" borderId="0" xfId="0" applyFont="1"/>
    <xf numFmtId="0" fontId="18" fillId="0" borderId="0" xfId="0" applyFont="1"/>
    <xf numFmtId="0" fontId="18" fillId="0" borderId="0" xfId="0" applyFont="1" applyFill="1"/>
    <xf numFmtId="164" fontId="18" fillId="0" borderId="0" xfId="0" applyNumberFormat="1" applyFont="1" applyFill="1"/>
    <xf numFmtId="0" fontId="19" fillId="0" borderId="0" xfId="0" applyFont="1"/>
    <xf numFmtId="0" fontId="18" fillId="0" borderId="0" xfId="0" applyFont="1" applyAlignment="1">
      <alignment horizontal="right"/>
    </xf>
    <xf numFmtId="164" fontId="18" fillId="0" borderId="0" xfId="0" applyNumberFormat="1" applyFont="1"/>
    <xf numFmtId="0" fontId="18" fillId="0" borderId="0" xfId="0" applyNumberFormat="1" applyFont="1"/>
    <xf numFmtId="9" fontId="18" fillId="0" borderId="0" xfId="1" applyFont="1"/>
    <xf numFmtId="0" fontId="19" fillId="0" borderId="0" xfId="0" applyFont="1" applyFill="1" applyBorder="1"/>
    <xf numFmtId="2" fontId="18" fillId="0" borderId="0" xfId="0" applyNumberFormat="1" applyFont="1"/>
    <xf numFmtId="0" fontId="18" fillId="0" borderId="0" xfId="0" applyFont="1" applyBorder="1"/>
    <xf numFmtId="0" fontId="4" fillId="0" borderId="0" xfId="0" applyFont="1"/>
    <xf numFmtId="0" fontId="13" fillId="0" borderId="0" xfId="0" applyFont="1"/>
    <xf numFmtId="0" fontId="11" fillId="0" borderId="0" xfId="0" applyFont="1"/>
    <xf numFmtId="0" fontId="12" fillId="0" borderId="0" xfId="0" applyFont="1"/>
    <xf numFmtId="168" fontId="18" fillId="0" borderId="0" xfId="0" applyNumberFormat="1" applyFont="1"/>
    <xf numFmtId="164" fontId="19" fillId="0" borderId="0" xfId="0" applyNumberFormat="1" applyFont="1"/>
    <xf numFmtId="2" fontId="14" fillId="0" borderId="0" xfId="0" applyNumberFormat="1" applyFont="1"/>
    <xf numFmtId="2" fontId="15" fillId="0" borderId="0" xfId="0" applyNumberFormat="1" applyFont="1"/>
    <xf numFmtId="2" fontId="9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68" fontId="19" fillId="0" borderId="0" xfId="0" applyNumberFormat="1" applyFont="1"/>
    <xf numFmtId="2" fontId="10" fillId="0" borderId="0" xfId="0" applyNumberFormat="1" applyFont="1"/>
    <xf numFmtId="9" fontId="0" fillId="0" borderId="0" xfId="0" applyNumberFormat="1"/>
    <xf numFmtId="9" fontId="18" fillId="0" borderId="0" xfId="1" applyNumberFormat="1" applyFont="1"/>
    <xf numFmtId="9" fontId="0" fillId="0" borderId="0" xfId="1" applyNumberFormat="1" applyFont="1"/>
    <xf numFmtId="164" fontId="18" fillId="0" borderId="0" xfId="0" applyNumberFormat="1" applyFont="1" applyBorder="1"/>
    <xf numFmtId="0" fontId="18" fillId="0" borderId="0" xfId="0" applyFont="1" applyFill="1" applyBorder="1"/>
    <xf numFmtId="2" fontId="18" fillId="0" borderId="0" xfId="0" applyNumberFormat="1" applyFont="1" applyBorder="1"/>
    <xf numFmtId="168" fontId="6" fillId="0" borderId="0" xfId="0" applyNumberFormat="1" applyFont="1"/>
    <xf numFmtId="168" fontId="14" fillId="0" borderId="0" xfId="0" applyNumberFormat="1" applyFont="1"/>
    <xf numFmtId="2" fontId="20" fillId="0" borderId="0" xfId="0" applyNumberFormat="1" applyFont="1"/>
    <xf numFmtId="2" fontId="21" fillId="0" borderId="0" xfId="0" applyNumberFormat="1" applyFont="1"/>
    <xf numFmtId="0" fontId="18" fillId="0" borderId="0" xfId="0" applyFont="1" applyBorder="1" applyAlignment="1">
      <alignment horizontal="right"/>
    </xf>
    <xf numFmtId="166" fontId="18" fillId="0" borderId="0" xfId="0" applyNumberFormat="1" applyFont="1" applyBorder="1"/>
    <xf numFmtId="0" fontId="5" fillId="0" borderId="0" xfId="0" applyFont="1"/>
    <xf numFmtId="2" fontId="19" fillId="0" borderId="0" xfId="0" applyNumberFormat="1" applyFont="1" applyBorder="1"/>
    <xf numFmtId="2" fontId="19" fillId="0" borderId="0" xfId="0" applyNumberFormat="1" applyFont="1"/>
    <xf numFmtId="165" fontId="18" fillId="0" borderId="0" xfId="0" applyNumberFormat="1" applyFont="1" applyBorder="1"/>
    <xf numFmtId="0" fontId="18" fillId="0" borderId="0" xfId="0" applyNumberFormat="1" applyFont="1" applyBorder="1"/>
    <xf numFmtId="9" fontId="18" fillId="0" borderId="0" xfId="1" applyFont="1" applyBorder="1"/>
    <xf numFmtId="0" fontId="19" fillId="0" borderId="0" xfId="0" applyFont="1" applyBorder="1"/>
    <xf numFmtId="164" fontId="18" fillId="0" borderId="0" xfId="0" applyNumberFormat="1" applyFont="1" applyFill="1" applyBorder="1"/>
    <xf numFmtId="171" fontId="18" fillId="0" borderId="0" xfId="0" applyNumberFormat="1" applyFont="1" applyBorder="1"/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66" fontId="22" fillId="0" borderId="0" xfId="0" applyNumberFormat="1" applyFont="1"/>
    <xf numFmtId="2" fontId="0" fillId="0" borderId="0" xfId="0" applyNumberFormat="1" applyFont="1"/>
    <xf numFmtId="2" fontId="18" fillId="0" borderId="0" xfId="1" applyNumberFormat="1" applyFont="1"/>
    <xf numFmtId="165" fontId="18" fillId="0" borderId="0" xfId="0" applyNumberFormat="1" applyFont="1"/>
    <xf numFmtId="0" fontId="1" fillId="0" borderId="0" xfId="0" applyFont="1" applyBorder="1"/>
    <xf numFmtId="165" fontId="1" fillId="0" borderId="0" xfId="0" applyNumberFormat="1" applyFont="1" applyBorder="1"/>
    <xf numFmtId="165" fontId="1" fillId="0" borderId="0" xfId="0" applyNumberFormat="1" applyFont="1"/>
    <xf numFmtId="0" fontId="1" fillId="0" borderId="0" xfId="0" applyFont="1" applyBorder="1" applyAlignment="1">
      <alignment horizontal="right"/>
    </xf>
    <xf numFmtId="0" fontId="5" fillId="0" borderId="0" xfId="0" applyFont="1" applyBorder="1"/>
    <xf numFmtId="165" fontId="5" fillId="0" borderId="0" xfId="0" applyNumberFormat="1" applyFont="1" applyBorder="1"/>
    <xf numFmtId="2" fontId="5" fillId="0" borderId="0" xfId="0" applyNumberFormat="1" applyFont="1" applyBorder="1" applyAlignment="1">
      <alignment horizontal="right"/>
    </xf>
    <xf numFmtId="0" fontId="5" fillId="0" borderId="0" xfId="0" applyNumberFormat="1" applyFont="1"/>
    <xf numFmtId="0" fontId="5" fillId="0" borderId="0" xfId="0" applyFont="1" applyAlignment="1">
      <alignment horizontal="right"/>
    </xf>
    <xf numFmtId="11" fontId="2" fillId="0" borderId="0" xfId="0" applyNumberFormat="1" applyFont="1"/>
    <xf numFmtId="168" fontId="0" fillId="0" borderId="0" xfId="0" applyNumberFormat="1"/>
    <xf numFmtId="0" fontId="2" fillId="0" borderId="0" xfId="0" applyFont="1" applyAlignment="1"/>
    <xf numFmtId="0" fontId="0" fillId="0" borderId="0" xfId="0" applyAlignment="1"/>
    <xf numFmtId="0" fontId="18" fillId="0" borderId="0" xfId="0" applyFont="1" applyAlignment="1"/>
    <xf numFmtId="0" fontId="18" fillId="0" borderId="0" xfId="0" applyFont="1" applyFill="1" applyAlignment="1"/>
    <xf numFmtId="0" fontId="18" fillId="0" borderId="0" xfId="0" applyFont="1" applyBorder="1" applyAlignment="1"/>
    <xf numFmtId="167" fontId="18" fillId="0" borderId="0" xfId="0" applyNumberFormat="1" applyFont="1" applyAlignment="1"/>
    <xf numFmtId="2" fontId="18" fillId="0" borderId="0" xfId="0" applyNumberFormat="1" applyFont="1" applyAlignment="1"/>
    <xf numFmtId="0" fontId="18" fillId="0" borderId="0" xfId="0" applyNumberFormat="1" applyFont="1" applyAlignment="1"/>
    <xf numFmtId="9" fontId="18" fillId="0" borderId="0" xfId="1" applyFont="1" applyAlignment="1"/>
    <xf numFmtId="2" fontId="1" fillId="0" borderId="0" xfId="0" applyNumberFormat="1" applyFont="1" applyAlignment="1"/>
    <xf numFmtId="2" fontId="18" fillId="0" borderId="0" xfId="0" applyNumberFormat="1" applyFont="1" applyBorder="1" applyAlignment="1"/>
    <xf numFmtId="2" fontId="18" fillId="0" borderId="0" xfId="0" applyNumberFormat="1" applyFont="1" applyFill="1" applyBorder="1" applyAlignment="1"/>
    <xf numFmtId="165" fontId="18" fillId="0" borderId="0" xfId="0" applyNumberFormat="1" applyFont="1" applyBorder="1" applyAlignment="1"/>
    <xf numFmtId="0" fontId="1" fillId="0" borderId="0" xfId="0" applyFont="1" applyAlignment="1"/>
    <xf numFmtId="0" fontId="0" fillId="2" borderId="0" xfId="0" applyFill="1" applyAlignment="1"/>
    <xf numFmtId="0" fontId="18" fillId="2" borderId="0" xfId="0" applyFont="1" applyFill="1" applyAlignment="1"/>
    <xf numFmtId="0" fontId="18" fillId="2" borderId="0" xfId="0" applyFont="1" applyFill="1" applyBorder="1" applyAlignment="1"/>
    <xf numFmtId="0" fontId="18" fillId="2" borderId="0" xfId="0" applyFont="1" applyFill="1" applyAlignment="1">
      <alignment horizontal="right"/>
    </xf>
    <xf numFmtId="0" fontId="18" fillId="2" borderId="0" xfId="0" applyNumberFormat="1" applyFont="1" applyFill="1" applyAlignment="1"/>
    <xf numFmtId="9" fontId="18" fillId="2" borderId="0" xfId="1" applyFont="1" applyFill="1" applyAlignment="1"/>
    <xf numFmtId="0" fontId="19" fillId="2" borderId="0" xfId="0" applyFont="1" applyFill="1" applyAlignment="1"/>
    <xf numFmtId="0" fontId="0" fillId="2" borderId="0" xfId="0" applyFill="1" applyBorder="1" applyAlignment="1"/>
    <xf numFmtId="0" fontId="0" fillId="2" borderId="1" xfId="0" applyFill="1" applyBorder="1" applyAlignment="1"/>
    <xf numFmtId="0" fontId="18" fillId="2" borderId="1" xfId="0" applyFont="1" applyFill="1" applyBorder="1" applyAlignment="1"/>
    <xf numFmtId="0" fontId="19" fillId="2" borderId="0" xfId="0" applyFont="1" applyFill="1" applyBorder="1" applyAlignment="1"/>
    <xf numFmtId="167" fontId="18" fillId="0" borderId="0" xfId="0" applyNumberFormat="1" applyFont="1" applyBorder="1" applyAlignment="1"/>
    <xf numFmtId="165" fontId="18" fillId="0" borderId="0" xfId="0" applyNumberFormat="1" applyFont="1" applyAlignment="1"/>
    <xf numFmtId="0" fontId="0" fillId="0" borderId="0" xfId="0" applyFont="1" applyAlignment="1"/>
    <xf numFmtId="167" fontId="18" fillId="2" borderId="0" xfId="0" applyNumberFormat="1" applyFont="1" applyFill="1" applyAlignment="1"/>
    <xf numFmtId="0" fontId="5" fillId="2" borderId="0" xfId="0" applyFont="1" applyFill="1" applyAlignment="1"/>
    <xf numFmtId="2" fontId="5" fillId="2" borderId="0" xfId="0" applyNumberFormat="1" applyFont="1" applyFill="1" applyAlignment="1"/>
    <xf numFmtId="0" fontId="0" fillId="2" borderId="0" xfId="0" applyFont="1" applyFill="1" applyBorder="1" applyAlignment="1"/>
    <xf numFmtId="9" fontId="0" fillId="2" borderId="0" xfId="1" applyFont="1" applyFill="1" applyBorder="1" applyAlignment="1"/>
    <xf numFmtId="0" fontId="0" fillId="0" borderId="0" xfId="0" applyFill="1" applyAlignment="1"/>
    <xf numFmtId="0" fontId="0" fillId="0" borderId="0" xfId="0" applyFont="1" applyAlignment="1">
      <alignment horizontal="left"/>
    </xf>
    <xf numFmtId="0" fontId="0" fillId="0" borderId="0" xfId="0" applyFont="1" applyFill="1" applyAlignment="1">
      <alignment horizontal="left"/>
    </xf>
    <xf numFmtId="0" fontId="38" fillId="0" borderId="0" xfId="0" applyFont="1" applyAlignment="1">
      <alignment horizontal="left" vertical="center"/>
    </xf>
    <xf numFmtId="0" fontId="18" fillId="0" borderId="0" xfId="0" applyFont="1" applyFill="1" applyBorder="1" applyAlignment="1"/>
    <xf numFmtId="0" fontId="0" fillId="2" borderId="0" xfId="0" applyFill="1"/>
    <xf numFmtId="0" fontId="2" fillId="2" borderId="0" xfId="0" applyFont="1" applyFill="1" applyBorder="1"/>
    <xf numFmtId="0" fontId="2" fillId="2" borderId="0" xfId="0" applyFont="1" applyFill="1"/>
    <xf numFmtId="0" fontId="1" fillId="2" borderId="0" xfId="0" applyFont="1" applyFill="1" applyAlignment="1">
      <alignment horizontal="right"/>
    </xf>
    <xf numFmtId="164" fontId="0" fillId="2" borderId="0" xfId="0" applyNumberFormat="1" applyFill="1" applyBorder="1"/>
    <xf numFmtId="0" fontId="0" fillId="2" borderId="0" xfId="0" applyFill="1" applyBorder="1"/>
    <xf numFmtId="0" fontId="0" fillId="2" borderId="0" xfId="0" applyFont="1" applyFill="1"/>
    <xf numFmtId="0" fontId="0" fillId="2" borderId="0" xfId="0" applyNumberFormat="1" applyFill="1"/>
    <xf numFmtId="9" fontId="0" fillId="2" borderId="0" xfId="1" applyFont="1" applyFill="1"/>
    <xf numFmtId="0" fontId="18" fillId="2" borderId="0" xfId="0" applyFont="1" applyFill="1"/>
    <xf numFmtId="2" fontId="18" fillId="2" borderId="0" xfId="0" applyNumberFormat="1" applyFont="1" applyFill="1" applyBorder="1"/>
    <xf numFmtId="0" fontId="19" fillId="2" borderId="0" xfId="0" applyFont="1" applyFill="1"/>
    <xf numFmtId="0" fontId="19" fillId="2" borderId="0" xfId="0" applyFont="1" applyFill="1" applyAlignment="1">
      <alignment horizontal="right"/>
    </xf>
    <xf numFmtId="2" fontId="18" fillId="0" borderId="0" xfId="0" applyNumberFormat="1" applyFont="1" applyBorder="1" applyAlignment="1">
      <alignment horizontal="right"/>
    </xf>
    <xf numFmtId="0" fontId="0" fillId="2" borderId="0" xfId="0" applyFont="1" applyFill="1" applyBorder="1"/>
    <xf numFmtId="0" fontId="10" fillId="2" borderId="0" xfId="0" applyFont="1" applyFill="1"/>
    <xf numFmtId="2" fontId="18" fillId="2" borderId="0" xfId="0" applyNumberFormat="1" applyFont="1" applyFill="1"/>
    <xf numFmtId="0" fontId="19" fillId="2" borderId="0" xfId="0" applyFont="1" applyFill="1" applyBorder="1" applyAlignment="1">
      <alignment horizontal="center"/>
    </xf>
    <xf numFmtId="0" fontId="38" fillId="0" borderId="0" xfId="0" applyFont="1" applyAlignment="1">
      <alignment horizontal="left" vertical="center"/>
    </xf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167" fontId="18" fillId="0" borderId="0" xfId="0" applyNumberFormat="1" applyFont="1" applyBorder="1" applyAlignment="1">
      <alignment horizontal="right"/>
    </xf>
    <xf numFmtId="167" fontId="18" fillId="0" borderId="0" xfId="0" applyNumberFormat="1" applyFont="1" applyBorder="1"/>
    <xf numFmtId="167" fontId="0" fillId="0" borderId="0" xfId="0" applyNumberFormat="1"/>
    <xf numFmtId="0" fontId="18" fillId="2" borderId="0" xfId="0" applyFont="1" applyFill="1" applyBorder="1" applyAlignment="1">
      <alignment horizontal="right"/>
    </xf>
    <xf numFmtId="0" fontId="18" fillId="2" borderId="0" xfId="0" applyFont="1" applyFill="1" applyBorder="1"/>
    <xf numFmtId="0" fontId="18" fillId="2" borderId="1" xfId="0" applyFont="1" applyFill="1" applyBorder="1" applyAlignment="1">
      <alignment horizontal="right"/>
    </xf>
    <xf numFmtId="0" fontId="0" fillId="2" borderId="1" xfId="0" applyFill="1" applyBorder="1"/>
    <xf numFmtId="0" fontId="18" fillId="2" borderId="1" xfId="0" applyFont="1" applyFill="1" applyBorder="1"/>
    <xf numFmtId="2" fontId="18" fillId="2" borderId="1" xfId="0" applyNumberFormat="1" applyFont="1" applyFill="1" applyBorder="1"/>
    <xf numFmtId="0" fontId="18" fillId="2" borderId="1" xfId="0" applyNumberFormat="1" applyFont="1" applyFill="1" applyBorder="1"/>
    <xf numFmtId="0" fontId="19" fillId="2" borderId="0" xfId="0" applyFont="1" applyFill="1" applyBorder="1"/>
    <xf numFmtId="2" fontId="0" fillId="2" borderId="0" xfId="0" applyNumberFormat="1" applyFill="1"/>
    <xf numFmtId="164" fontId="18" fillId="2" borderId="0" xfId="0" applyNumberFormat="1" applyFont="1" applyFill="1"/>
    <xf numFmtId="165" fontId="18" fillId="0" borderId="0" xfId="1" applyNumberFormat="1" applyFont="1"/>
    <xf numFmtId="0" fontId="39" fillId="0" borderId="0" xfId="0" applyFont="1" applyAlignment="1">
      <alignment horizontal="left" vertical="center"/>
    </xf>
    <xf numFmtId="166" fontId="18" fillId="0" borderId="0" xfId="0" applyNumberFormat="1" applyFont="1"/>
    <xf numFmtId="2" fontId="10" fillId="0" borderId="0" xfId="0" applyNumberFormat="1" applyFont="1" applyFill="1" applyBorder="1"/>
    <xf numFmtId="164" fontId="0" fillId="0" borderId="0" xfId="0" applyNumberFormat="1" applyBorder="1"/>
    <xf numFmtId="2" fontId="10" fillId="0" borderId="0" xfId="0" applyNumberFormat="1" applyFont="1" applyFill="1"/>
    <xf numFmtId="0" fontId="22" fillId="0" borderId="0" xfId="0" applyFont="1"/>
    <xf numFmtId="0" fontId="40" fillId="0" borderId="0" xfId="0" applyFont="1" applyAlignment="1">
      <alignment vertical="center"/>
    </xf>
    <xf numFmtId="166" fontId="1" fillId="0" borderId="0" xfId="0" applyNumberFormat="1" applyFont="1"/>
    <xf numFmtId="168" fontId="1" fillId="0" borderId="0" xfId="0" applyNumberFormat="1" applyFont="1"/>
    <xf numFmtId="0" fontId="18" fillId="0" borderId="0" xfId="0" applyFont="1" applyFill="1" applyBorder="1" applyAlignment="1">
      <alignment horizontal="left"/>
    </xf>
    <xf numFmtId="166" fontId="0" fillId="0" borderId="0" xfId="0" applyNumberFormat="1"/>
    <xf numFmtId="173" fontId="0" fillId="0" borderId="0" xfId="0" applyNumberFormat="1"/>
    <xf numFmtId="11" fontId="18" fillId="0" borderId="0" xfId="0" applyNumberFormat="1" applyFont="1" applyFill="1" applyBorder="1"/>
    <xf numFmtId="2" fontId="18" fillId="0" borderId="0" xfId="0" applyNumberFormat="1" applyFont="1" applyFill="1" applyBorder="1"/>
    <xf numFmtId="2" fontId="22" fillId="0" borderId="0" xfId="0" applyNumberFormat="1" applyFont="1"/>
    <xf numFmtId="0" fontId="5" fillId="0" borderId="0" xfId="0" applyFont="1" applyFill="1" applyBorder="1"/>
    <xf numFmtId="166" fontId="18" fillId="2" borderId="0" xfId="0" applyNumberFormat="1" applyFont="1" applyFill="1"/>
    <xf numFmtId="2" fontId="10" fillId="2" borderId="0" xfId="0" applyNumberFormat="1" applyFont="1" applyFill="1" applyBorder="1"/>
    <xf numFmtId="164" fontId="0" fillId="2" borderId="0" xfId="0" applyNumberFormat="1" applyFill="1"/>
    <xf numFmtId="2" fontId="10" fillId="2" borderId="0" xfId="0" applyNumberFormat="1" applyFont="1" applyFill="1"/>
    <xf numFmtId="0" fontId="19" fillId="2" borderId="1" xfId="0" applyFont="1" applyFill="1" applyBorder="1"/>
    <xf numFmtId="2" fontId="0" fillId="2" borderId="1" xfId="0" applyNumberFormat="1" applyFill="1" applyBorder="1"/>
    <xf numFmtId="9" fontId="0" fillId="2" borderId="1" xfId="1" applyNumberFormat="1" applyFont="1" applyFill="1" applyBorder="1"/>
    <xf numFmtId="0" fontId="42" fillId="0" borderId="0" xfId="0" applyFont="1"/>
    <xf numFmtId="0" fontId="0" fillId="2" borderId="1" xfId="0" applyFont="1" applyFill="1" applyBorder="1"/>
    <xf numFmtId="164" fontId="10" fillId="2" borderId="0" xfId="0" applyNumberFormat="1" applyFont="1" applyFill="1"/>
    <xf numFmtId="2" fontId="1" fillId="2" borderId="0" xfId="0" applyNumberFormat="1" applyFont="1" applyFill="1"/>
    <xf numFmtId="0" fontId="40" fillId="2" borderId="0" xfId="0" applyFont="1" applyFill="1" applyAlignment="1">
      <alignment vertical="center"/>
    </xf>
    <xf numFmtId="0" fontId="1" fillId="2" borderId="1" xfId="0" applyFont="1" applyFill="1" applyBorder="1"/>
    <xf numFmtId="2" fontId="1" fillId="2" borderId="1" xfId="0" applyNumberFormat="1" applyFont="1" applyFill="1" applyBorder="1"/>
    <xf numFmtId="0" fontId="1" fillId="2" borderId="0" xfId="0" applyFont="1" applyFill="1"/>
    <xf numFmtId="0" fontId="1" fillId="0" borderId="0" xfId="0" applyFont="1" applyFill="1"/>
    <xf numFmtId="0" fontId="45" fillId="0" borderId="0" xfId="0" applyFont="1"/>
    <xf numFmtId="2" fontId="45" fillId="0" borderId="0" xfId="0" applyNumberFormat="1" applyFont="1"/>
    <xf numFmtId="0" fontId="45" fillId="0" borderId="0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164" fontId="45" fillId="0" borderId="0" xfId="0" applyNumberFormat="1" applyFont="1"/>
    <xf numFmtId="0" fontId="18" fillId="2" borderId="1" xfId="0" applyFont="1" applyFill="1" applyBorder="1" applyAlignment="1">
      <alignment horizontal="left"/>
    </xf>
    <xf numFmtId="2" fontId="0" fillId="2" borderId="0" xfId="0" applyNumberFormat="1" applyFill="1" applyBorder="1"/>
    <xf numFmtId="0" fontId="0" fillId="2" borderId="0" xfId="0" applyFont="1" applyFill="1" applyAlignment="1">
      <alignment horizontal="left"/>
    </xf>
    <xf numFmtId="0" fontId="18" fillId="2" borderId="0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2" fillId="2" borderId="0" xfId="0" applyFont="1" applyFill="1"/>
    <xf numFmtId="2" fontId="22" fillId="2" borderId="0" xfId="0" applyNumberFormat="1" applyFont="1" applyFill="1"/>
    <xf numFmtId="0" fontId="5" fillId="2" borderId="0" xfId="0" applyFont="1" applyFill="1"/>
    <xf numFmtId="0" fontId="5" fillId="2" borderId="0" xfId="0" applyFont="1" applyFill="1" applyBorder="1"/>
    <xf numFmtId="0" fontId="46" fillId="0" borderId="0" xfId="0" applyFont="1"/>
    <xf numFmtId="164" fontId="5" fillId="2" borderId="0" xfId="0" applyNumberFormat="1" applyFont="1" applyFill="1"/>
    <xf numFmtId="0" fontId="0" fillId="2" borderId="0" xfId="0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18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2" fontId="0" fillId="0" borderId="0" xfId="0" applyNumberFormat="1" applyAlignment="1">
      <alignment vertical="center"/>
    </xf>
    <xf numFmtId="0" fontId="19" fillId="0" borderId="0" xfId="0" applyFont="1" applyFill="1" applyBorder="1" applyAlignment="1">
      <alignment horizontal="left"/>
    </xf>
    <xf numFmtId="2" fontId="2" fillId="0" borderId="0" xfId="0" applyNumberFormat="1" applyFont="1" applyAlignment="1">
      <alignment horizontal="left"/>
    </xf>
  </cellXfs>
  <cellStyles count="3">
    <cellStyle name="Normal" xfId="0" builtinId="0"/>
    <cellStyle name="Percent" xfId="1" builtinId="5"/>
    <cellStyle name="Style 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[1]DISP!$M$5:$M$20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xVal>
          <c:yVal>
            <c:numRef>
              <c:f>[1]DISP!$O$5:$O$8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7.7522523629744864</c:v>
                </c:pt>
                <c:pt idx="3">
                  <c:v>7.7522523629744864</c:v>
                </c:pt>
              </c:numCache>
            </c:numRef>
          </c:yVal>
          <c:smooth val="0"/>
        </c:ser>
        <c:ser>
          <c:idx val="2"/>
          <c:order val="1"/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[1]DISP!$M$5:$M$20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xVal>
          <c:yVal>
            <c:numRef>
              <c:f>[1]DISP!$Q$5:$Q$10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-1.2843213575825487</c:v>
                </c:pt>
                <c:pt idx="3">
                  <c:v>-1.2843213575825487</c:v>
                </c:pt>
                <c:pt idx="4">
                  <c:v>2.973749163822534</c:v>
                </c:pt>
                <c:pt idx="5">
                  <c:v>2.973749163822534</c:v>
                </c:pt>
              </c:numCache>
            </c:numRef>
          </c:yVal>
          <c:smooth val="0"/>
        </c:ser>
        <c:ser>
          <c:idx val="3"/>
          <c:order val="2"/>
          <c:spPr>
            <a:ln w="25400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[1]DISP!$M$5:$M$20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xVal>
          <c:yVal>
            <c:numRef>
              <c:f>[1]DISP!$S$5:$S$20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-1.2843213575825487</c:v>
                </c:pt>
                <c:pt idx="3">
                  <c:v>-1.2843213575825487</c:v>
                </c:pt>
                <c:pt idx="4">
                  <c:v>-4.3701840875997631</c:v>
                </c:pt>
                <c:pt idx="5">
                  <c:v>-4.3701840875997631</c:v>
                </c:pt>
                <c:pt idx="6">
                  <c:v>-5.7357997490935073</c:v>
                </c:pt>
                <c:pt idx="7">
                  <c:v>-5.7357997490935073</c:v>
                </c:pt>
              </c:numCache>
            </c:numRef>
          </c:yVal>
          <c:smooth val="0"/>
        </c:ser>
        <c:ser>
          <c:idx val="0"/>
          <c:order val="3"/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[1]DISP!$M$5:$M$20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xVal>
          <c:yVal>
            <c:numRef>
              <c:f>[1]DISP!$U$5:$U$20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-1.2843213575825487</c:v>
                </c:pt>
                <c:pt idx="3">
                  <c:v>-1.2843213575825487</c:v>
                </c:pt>
                <c:pt idx="4">
                  <c:v>-3.3607686497079445</c:v>
                </c:pt>
                <c:pt idx="5">
                  <c:v>-3.3607686497079445</c:v>
                </c:pt>
                <c:pt idx="6">
                  <c:v>1.7929668738352742</c:v>
                </c:pt>
                <c:pt idx="7">
                  <c:v>1.7929668738352742</c:v>
                </c:pt>
                <c:pt idx="8">
                  <c:v>12.289318280301506</c:v>
                </c:pt>
                <c:pt idx="9">
                  <c:v>12.289318280301506</c:v>
                </c:pt>
                <c:pt idx="10">
                  <c:v>-6.5045331686899406</c:v>
                </c:pt>
                <c:pt idx="11">
                  <c:v>-6.5045331686899406</c:v>
                </c:pt>
                <c:pt idx="12">
                  <c:v>-8.601042408104556</c:v>
                </c:pt>
                <c:pt idx="13">
                  <c:v>-8.601042408104556</c:v>
                </c:pt>
                <c:pt idx="14">
                  <c:v>-5.7357997490935073</c:v>
                </c:pt>
                <c:pt idx="15">
                  <c:v>-5.7357997490935073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70418192"/>
        <c:axId val="-570417648"/>
      </c:scatterChart>
      <c:valAx>
        <c:axId val="-570418192"/>
        <c:scaling>
          <c:orientation val="minMax"/>
          <c:max val="16"/>
        </c:scaling>
        <c:delete val="1"/>
        <c:axPos val="b"/>
        <c:numFmt formatCode="General" sourceLinked="1"/>
        <c:majorTickMark val="none"/>
        <c:minorTickMark val="none"/>
        <c:tickLblPos val="nextTo"/>
        <c:crossAx val="-570417648"/>
        <c:crossesAt val="-15"/>
        <c:crossBetween val="midCat"/>
      </c:valAx>
      <c:valAx>
        <c:axId val="-5704176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Relative free energy (kcal/mol)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70418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[1]Sheet4!$L$5:$L$24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[1]Sheet4!$N$5:$N$24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-5.3959541905380535</c:v>
                </c:pt>
                <c:pt idx="3">
                  <c:v>-5.3959541905380535</c:v>
                </c:pt>
                <c:pt idx="4">
                  <c:v>-28.268255043004785</c:v>
                </c:pt>
                <c:pt idx="5">
                  <c:v>-28.268255043004785</c:v>
                </c:pt>
                <c:pt idx="6">
                  <c:v>-38.601033557027336</c:v>
                </c:pt>
                <c:pt idx="7">
                  <c:v>-38.601033557027336</c:v>
                </c:pt>
                <c:pt idx="8">
                  <c:v>-20.504287086488603</c:v>
                </c:pt>
                <c:pt idx="9">
                  <c:v>-20.504287086488603</c:v>
                </c:pt>
                <c:pt idx="10">
                  <c:v>-33.76230780254491</c:v>
                </c:pt>
                <c:pt idx="11">
                  <c:v>-33.76230780254491</c:v>
                </c:pt>
                <c:pt idx="12">
                  <c:v>-35.287783396974419</c:v>
                </c:pt>
                <c:pt idx="13">
                  <c:v>-35.287783396974419</c:v>
                </c:pt>
                <c:pt idx="14">
                  <c:v>-24.234831064058085</c:v>
                </c:pt>
                <c:pt idx="15">
                  <c:v>-24.234831064058085</c:v>
                </c:pt>
                <c:pt idx="16">
                  <c:v>-42.471856715461008</c:v>
                </c:pt>
                <c:pt idx="17">
                  <c:v>-42.471856715461008</c:v>
                </c:pt>
              </c:numCache>
            </c:numRef>
          </c:yVal>
          <c:smooth val="0"/>
        </c:ser>
        <c:ser>
          <c:idx val="1"/>
          <c:order val="1"/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[1]Sheet4!$L$5:$L$24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[1]Sheet4!$Q$5:$Q$24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-5.3959541905380535</c:v>
                </c:pt>
                <c:pt idx="3">
                  <c:v>-5.3959541905380535</c:v>
                </c:pt>
                <c:pt idx="4">
                  <c:v>-28.268255043004785</c:v>
                </c:pt>
                <c:pt idx="5">
                  <c:v>-28.268255043004785</c:v>
                </c:pt>
                <c:pt idx="6">
                  <c:v>-38.601033557027336</c:v>
                </c:pt>
                <c:pt idx="7">
                  <c:v>-38.601033557027336</c:v>
                </c:pt>
                <c:pt idx="8">
                  <c:v>-37.395587807503262</c:v>
                </c:pt>
                <c:pt idx="9">
                  <c:v>-37.395587807503262</c:v>
                </c:pt>
                <c:pt idx="10">
                  <c:v>-29.729304246025663</c:v>
                </c:pt>
                <c:pt idx="11">
                  <c:v>-29.729304246025663</c:v>
                </c:pt>
                <c:pt idx="12">
                  <c:v>-49.156370856487342</c:v>
                </c:pt>
                <c:pt idx="13">
                  <c:v>-49.156370856487342</c:v>
                </c:pt>
                <c:pt idx="14">
                  <c:v>-45.15662530352688</c:v>
                </c:pt>
                <c:pt idx="15">
                  <c:v>-45.15662530352688</c:v>
                </c:pt>
                <c:pt idx="16">
                  <c:v>-26.029508234021364</c:v>
                </c:pt>
                <c:pt idx="17">
                  <c:v>-26.029508234021364</c:v>
                </c:pt>
                <c:pt idx="18">
                  <c:v>-42.471856715461008</c:v>
                </c:pt>
                <c:pt idx="19">
                  <c:v>-42.471856715461008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79968928"/>
        <c:axId val="-479965664"/>
      </c:scatterChart>
      <c:valAx>
        <c:axId val="-479968928"/>
        <c:scaling>
          <c:orientation val="minMax"/>
          <c:max val="20"/>
        </c:scaling>
        <c:delete val="1"/>
        <c:axPos val="b"/>
        <c:numFmt formatCode="General" sourceLinked="1"/>
        <c:majorTickMark val="none"/>
        <c:minorTickMark val="none"/>
        <c:tickLblPos val="nextTo"/>
        <c:crossAx val="-479965664"/>
        <c:crossesAt val="-50"/>
        <c:crossBetween val="midCat"/>
      </c:valAx>
      <c:valAx>
        <c:axId val="-479965664"/>
        <c:scaling>
          <c:orientation val="minMax"/>
          <c:min val="-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Relative free energy (kcal/mol)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7996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chart" Target="../charts/chart2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23</xdr:row>
      <xdr:rowOff>0</xdr:rowOff>
    </xdr:from>
    <xdr:to>
      <xdr:col>23</xdr:col>
      <xdr:colOff>365125</xdr:colOff>
      <xdr:row>51</xdr:row>
      <xdr:rowOff>168275</xdr:rowOff>
    </xdr:to>
    <xdr:graphicFrame macro="">
      <xdr:nvGraphicFramePr>
        <xdr:cNvPr id="58" name="Chart 5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272945</xdr:colOff>
      <xdr:row>46</xdr:row>
      <xdr:rowOff>38862</xdr:rowOff>
    </xdr:from>
    <xdr:to>
      <xdr:col>19</xdr:col>
      <xdr:colOff>324965</xdr:colOff>
      <xdr:row>48</xdr:row>
      <xdr:rowOff>119527</xdr:rowOff>
    </xdr:to>
    <xdr:sp macro="" textlink="">
      <xdr:nvSpPr>
        <xdr:cNvPr id="59" name="Rectangle 58"/>
        <xdr:cNvSpPr/>
      </xdr:nvSpPr>
      <xdr:spPr>
        <a:xfrm>
          <a:off x="13671445" y="8865362"/>
          <a:ext cx="1734770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/>
            <a:t>-5.74</a:t>
          </a:r>
        </a:p>
        <a:p>
          <a:r>
            <a:rPr lang="en-US" sz="1200" b="1"/>
            <a:t>DHA5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/>
            <a:t> + </a:t>
          </a:r>
          <a:r>
            <a:rPr lang="en-US" sz="1200" b="1"/>
            <a:t>HA</a:t>
          </a:r>
          <a:r>
            <a:rPr lang="en-US" sz="1200" b="1" baseline="30000">
              <a:latin typeface="Symbol" panose="05050102010706020507" pitchFamily="18" charset="2"/>
            </a:rPr>
            <a:t>-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endParaRPr lang="en-US" sz="1200"/>
        </a:p>
      </xdr:txBody>
    </xdr:sp>
    <xdr:clientData/>
  </xdr:twoCellAnchor>
  <xdr:twoCellAnchor>
    <xdr:from>
      <xdr:col>22</xdr:col>
      <xdr:colOff>240804</xdr:colOff>
      <xdr:row>46</xdr:row>
      <xdr:rowOff>70945</xdr:rowOff>
    </xdr:from>
    <xdr:to>
      <xdr:col>25</xdr:col>
      <xdr:colOff>165824</xdr:colOff>
      <xdr:row>48</xdr:row>
      <xdr:rowOff>151610</xdr:rowOff>
    </xdr:to>
    <xdr:sp macro="" textlink="">
      <xdr:nvSpPr>
        <xdr:cNvPr id="60" name="Rectangle 59"/>
        <xdr:cNvSpPr/>
      </xdr:nvSpPr>
      <xdr:spPr>
        <a:xfrm>
          <a:off x="17608054" y="8897445"/>
          <a:ext cx="1734770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/>
            <a:t>-5.74</a:t>
          </a:r>
        </a:p>
        <a:p>
          <a:r>
            <a:rPr lang="en-US" sz="1200" b="1"/>
            <a:t>DHA5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/>
            <a:t> + </a:t>
          </a:r>
          <a:r>
            <a:rPr lang="en-US" sz="1200" b="1"/>
            <a:t>HA</a:t>
          </a:r>
          <a:r>
            <a:rPr lang="en-US" sz="1200" b="1" baseline="30000">
              <a:latin typeface="Symbol" panose="05050102010706020507" pitchFamily="18" charset="2"/>
            </a:rPr>
            <a:t>-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endParaRPr lang="en-US" sz="1200"/>
        </a:p>
      </xdr:txBody>
    </xdr:sp>
    <xdr:clientData/>
  </xdr:twoCellAnchor>
  <xdr:twoCellAnchor>
    <xdr:from>
      <xdr:col>13</xdr:col>
      <xdr:colOff>459488</xdr:colOff>
      <xdr:row>29</xdr:row>
      <xdr:rowOff>20351</xdr:rowOff>
    </xdr:from>
    <xdr:to>
      <xdr:col>15</xdr:col>
      <xdr:colOff>490669</xdr:colOff>
      <xdr:row>31</xdr:row>
      <xdr:rowOff>69266</xdr:rowOff>
    </xdr:to>
    <xdr:sp macro="" textlink="">
      <xdr:nvSpPr>
        <xdr:cNvPr id="61" name="Rectangle 60"/>
        <xdr:cNvSpPr/>
      </xdr:nvSpPr>
      <xdr:spPr>
        <a:xfrm>
          <a:off x="10492488" y="5655976"/>
          <a:ext cx="1713931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DHA1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/>
            <a:t> + </a:t>
          </a:r>
          <a:r>
            <a:rPr lang="en-US" sz="1200" b="1"/>
            <a:t>A</a:t>
          </a:r>
          <a:r>
            <a:rPr lang="en-US" sz="1200" baseline="30000">
              <a:latin typeface="Symbol" panose="05050102010706020507" pitchFamily="18" charset="2"/>
            </a:rPr>
            <a:t>2-</a:t>
          </a:r>
          <a:r>
            <a:rPr lang="en-US" sz="1200" b="1" baseline="30000">
              <a:latin typeface="Symbol" panose="05050102010706020507" pitchFamily="18" charset="2"/>
            </a:rPr>
            <a:t> 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</a:p>
        <a:p>
          <a:r>
            <a:rPr lang="en-US" sz="1200"/>
            <a:t>                                  7.75 </a:t>
          </a:r>
        </a:p>
      </xdr:txBody>
    </xdr:sp>
    <xdr:clientData/>
  </xdr:twoCellAnchor>
  <xdr:twoCellAnchor>
    <xdr:from>
      <xdr:col>15</xdr:col>
      <xdr:colOff>615752</xdr:colOff>
      <xdr:row>33</xdr:row>
      <xdr:rowOff>190018</xdr:rowOff>
    </xdr:from>
    <xdr:to>
      <xdr:col>17</xdr:col>
      <xdr:colOff>743113</xdr:colOff>
      <xdr:row>36</xdr:row>
      <xdr:rowOff>80183</xdr:rowOff>
    </xdr:to>
    <xdr:sp macro="" textlink="">
      <xdr:nvSpPr>
        <xdr:cNvPr id="62" name="Rectangle 61"/>
        <xdr:cNvSpPr/>
      </xdr:nvSpPr>
      <xdr:spPr>
        <a:xfrm>
          <a:off x="12331502" y="6651143"/>
          <a:ext cx="1810111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DHA1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/>
            <a:t> + </a:t>
          </a:r>
          <a:r>
            <a:rPr lang="en-US" sz="1200" b="1"/>
            <a:t>HA</a:t>
          </a:r>
          <a:r>
            <a:rPr lang="en-US" sz="1200" baseline="30000">
              <a:latin typeface="Symbol" panose="05050102010706020507" pitchFamily="18" charset="2"/>
            </a:rPr>
            <a:t>-</a:t>
          </a:r>
          <a:r>
            <a:rPr lang="en-US" sz="1200" b="1" baseline="30000">
              <a:latin typeface="Symbol" panose="05050102010706020507" pitchFamily="18" charset="2"/>
            </a:rPr>
            <a:t> 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</a:p>
        <a:p>
          <a:r>
            <a:rPr lang="en-US" sz="1200"/>
            <a:t>         2.97</a:t>
          </a:r>
        </a:p>
      </xdr:txBody>
    </xdr:sp>
    <xdr:clientData/>
  </xdr:twoCellAnchor>
  <xdr:twoCellAnchor>
    <xdr:from>
      <xdr:col>14</xdr:col>
      <xdr:colOff>783046</xdr:colOff>
      <xdr:row>41</xdr:row>
      <xdr:rowOff>40187</xdr:rowOff>
    </xdr:from>
    <xdr:to>
      <xdr:col>15</xdr:col>
      <xdr:colOff>599223</xdr:colOff>
      <xdr:row>43</xdr:row>
      <xdr:rowOff>152602</xdr:rowOff>
    </xdr:to>
    <xdr:sp macro="" textlink="">
      <xdr:nvSpPr>
        <xdr:cNvPr id="63" name="Rectangle 62"/>
        <xdr:cNvSpPr/>
      </xdr:nvSpPr>
      <xdr:spPr>
        <a:xfrm>
          <a:off x="11657421" y="7977687"/>
          <a:ext cx="657552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/>
            <a:t>-1.28</a:t>
          </a:r>
        </a:p>
        <a:p>
          <a:r>
            <a:rPr lang="en-US" sz="1200" b="1"/>
            <a:t>1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endParaRPr lang="en-US" sz="1200"/>
        </a:p>
      </xdr:txBody>
    </xdr:sp>
    <xdr:clientData/>
  </xdr:twoCellAnchor>
  <xdr:twoCellAnchor>
    <xdr:from>
      <xdr:col>16</xdr:col>
      <xdr:colOff>69702</xdr:colOff>
      <xdr:row>44</xdr:row>
      <xdr:rowOff>155513</xdr:rowOff>
    </xdr:from>
    <xdr:to>
      <xdr:col>16</xdr:col>
      <xdr:colOff>727254</xdr:colOff>
      <xdr:row>47</xdr:row>
      <xdr:rowOff>61553</xdr:rowOff>
    </xdr:to>
    <xdr:sp macro="" textlink="">
      <xdr:nvSpPr>
        <xdr:cNvPr id="64" name="Rectangle 63"/>
        <xdr:cNvSpPr/>
      </xdr:nvSpPr>
      <xdr:spPr>
        <a:xfrm>
          <a:off x="12626827" y="8616888"/>
          <a:ext cx="657552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2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</a:p>
        <a:p>
          <a:r>
            <a:rPr lang="en-US" sz="1200"/>
            <a:t>-4.37</a:t>
          </a:r>
        </a:p>
      </xdr:txBody>
    </xdr:sp>
    <xdr:clientData/>
  </xdr:twoCellAnchor>
  <xdr:twoCellAnchor>
    <xdr:from>
      <xdr:col>13</xdr:col>
      <xdr:colOff>264973</xdr:colOff>
      <xdr:row>39</xdr:row>
      <xdr:rowOff>152461</xdr:rowOff>
    </xdr:from>
    <xdr:to>
      <xdr:col>14</xdr:col>
      <xdr:colOff>550830</xdr:colOff>
      <xdr:row>42</xdr:row>
      <xdr:rowOff>90251</xdr:rowOff>
    </xdr:to>
    <xdr:sp macro="" textlink="">
      <xdr:nvSpPr>
        <xdr:cNvPr id="65" name="Rectangle 64"/>
        <xdr:cNvSpPr/>
      </xdr:nvSpPr>
      <xdr:spPr>
        <a:xfrm>
          <a:off x="10297973" y="7740711"/>
          <a:ext cx="1127232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/>
            <a:t>           0.00</a:t>
          </a:r>
          <a:endParaRPr lang="en-US" sz="1200" b="1"/>
        </a:p>
        <a:p>
          <a:r>
            <a:rPr lang="en-US" sz="1200" b="1"/>
            <a:t>A</a:t>
          </a:r>
          <a:r>
            <a:rPr lang="en-US" sz="1200" b="1" baseline="30000">
              <a:latin typeface="Symbol" panose="05050102010706020507" pitchFamily="18" charset="2"/>
            </a:rPr>
            <a:t>-</a:t>
          </a:r>
          <a:r>
            <a:rPr lang="en-US" sz="1200" b="1" baseline="30000">
              <a:latin typeface="Calibri" panose="020F0502020204030204" pitchFamily="34" charset="0"/>
            </a:rPr>
            <a:t>•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 + </a:t>
          </a:r>
          <a:r>
            <a:rPr lang="en-US" sz="1200" b="1"/>
            <a:t>A</a:t>
          </a:r>
          <a:r>
            <a:rPr lang="en-US" sz="1200" b="1" baseline="30000">
              <a:latin typeface="Symbol" panose="05050102010706020507" pitchFamily="18" charset="2"/>
            </a:rPr>
            <a:t>-</a:t>
          </a:r>
          <a:r>
            <a:rPr lang="en-US" sz="1200" b="1" baseline="30000">
              <a:latin typeface="Calibri" panose="020F0502020204030204" pitchFamily="34" charset="0"/>
            </a:rPr>
            <a:t>•</a:t>
          </a:r>
          <a:endParaRPr lang="en-US" sz="1200" baseline="30000"/>
        </a:p>
      </xdr:txBody>
    </xdr:sp>
    <xdr:clientData/>
  </xdr:twoCellAnchor>
  <xdr:twoCellAnchor>
    <xdr:from>
      <xdr:col>16</xdr:col>
      <xdr:colOff>56054</xdr:colOff>
      <xdr:row>40</xdr:row>
      <xdr:rowOff>163215</xdr:rowOff>
    </xdr:from>
    <xdr:to>
      <xdr:col>16</xdr:col>
      <xdr:colOff>788947</xdr:colOff>
      <xdr:row>43</xdr:row>
      <xdr:rowOff>101005</xdr:rowOff>
    </xdr:to>
    <xdr:sp macro="" textlink="">
      <xdr:nvSpPr>
        <xdr:cNvPr id="66" name="Rectangle 65"/>
        <xdr:cNvSpPr/>
      </xdr:nvSpPr>
      <xdr:spPr>
        <a:xfrm>
          <a:off x="12613179" y="7926090"/>
          <a:ext cx="732893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3a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</a:p>
        <a:p>
          <a:r>
            <a:rPr lang="en-US" sz="1200"/>
            <a:t>-3.36</a:t>
          </a:r>
        </a:p>
      </xdr:txBody>
    </xdr:sp>
    <xdr:clientData/>
  </xdr:twoCellAnchor>
  <xdr:twoCellAnchor>
    <xdr:from>
      <xdr:col>17</xdr:col>
      <xdr:colOff>237374</xdr:colOff>
      <xdr:row>37</xdr:row>
      <xdr:rowOff>159115</xdr:rowOff>
    </xdr:from>
    <xdr:to>
      <xdr:col>18</xdr:col>
      <xdr:colOff>136907</xdr:colOff>
      <xdr:row>40</xdr:row>
      <xdr:rowOff>81030</xdr:rowOff>
    </xdr:to>
    <xdr:sp macro="" textlink="">
      <xdr:nvSpPr>
        <xdr:cNvPr id="67" name="Rectangle 66"/>
        <xdr:cNvSpPr/>
      </xdr:nvSpPr>
      <xdr:spPr>
        <a:xfrm>
          <a:off x="13635874" y="7382240"/>
          <a:ext cx="740908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/>
            <a:t>1.79</a:t>
          </a:r>
        </a:p>
        <a:p>
          <a:r>
            <a:rPr lang="en-US" sz="1200" b="1"/>
            <a:t>3b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18</xdr:col>
      <xdr:colOff>132788</xdr:colOff>
      <xdr:row>24</xdr:row>
      <xdr:rowOff>56056</xdr:rowOff>
    </xdr:from>
    <xdr:to>
      <xdr:col>20</xdr:col>
      <xdr:colOff>55799</xdr:colOff>
      <xdr:row>26</xdr:row>
      <xdr:rowOff>136721</xdr:rowOff>
    </xdr:to>
    <xdr:sp macro="" textlink="">
      <xdr:nvSpPr>
        <xdr:cNvPr id="68" name="Rectangle 67"/>
        <xdr:cNvSpPr/>
      </xdr:nvSpPr>
      <xdr:spPr>
        <a:xfrm>
          <a:off x="14372663" y="4707431"/>
          <a:ext cx="1605761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TS(3b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 b="1"/>
            <a:t>/4b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/>
            <a:t>)</a:t>
          </a:r>
        </a:p>
        <a:p>
          <a:r>
            <a:rPr lang="en-US" sz="1200"/>
            <a:t>        12.29</a:t>
          </a:r>
        </a:p>
      </xdr:txBody>
    </xdr:sp>
    <xdr:clientData/>
  </xdr:twoCellAnchor>
  <xdr:twoCellAnchor>
    <xdr:from>
      <xdr:col>19</xdr:col>
      <xdr:colOff>612029</xdr:colOff>
      <xdr:row>44</xdr:row>
      <xdr:rowOff>115230</xdr:rowOff>
    </xdr:from>
    <xdr:to>
      <xdr:col>20</xdr:col>
      <xdr:colOff>511562</xdr:colOff>
      <xdr:row>47</xdr:row>
      <xdr:rowOff>21270</xdr:rowOff>
    </xdr:to>
    <xdr:sp macro="" textlink="">
      <xdr:nvSpPr>
        <xdr:cNvPr id="69" name="Rectangle 68"/>
        <xdr:cNvSpPr/>
      </xdr:nvSpPr>
      <xdr:spPr>
        <a:xfrm>
          <a:off x="15693279" y="8576605"/>
          <a:ext cx="740908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4b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</a:p>
        <a:p>
          <a:r>
            <a:rPr lang="en-US" sz="1200"/>
            <a:t>-6.50</a:t>
          </a:r>
        </a:p>
      </xdr:txBody>
    </xdr:sp>
    <xdr:clientData/>
  </xdr:twoCellAnchor>
  <xdr:twoCellAnchor>
    <xdr:from>
      <xdr:col>20</xdr:col>
      <xdr:colOff>693708</xdr:colOff>
      <xdr:row>46</xdr:row>
      <xdr:rowOff>188352</xdr:rowOff>
    </xdr:from>
    <xdr:to>
      <xdr:col>21</xdr:col>
      <xdr:colOff>585226</xdr:colOff>
      <xdr:row>49</xdr:row>
      <xdr:rowOff>78517</xdr:rowOff>
    </xdr:to>
    <xdr:sp macro="" textlink="">
      <xdr:nvSpPr>
        <xdr:cNvPr id="70" name="Rectangle 69"/>
        <xdr:cNvSpPr/>
      </xdr:nvSpPr>
      <xdr:spPr>
        <a:xfrm>
          <a:off x="16616333" y="9014852"/>
          <a:ext cx="732893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4a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</a:p>
        <a:p>
          <a:r>
            <a:rPr lang="en-US" sz="1200"/>
            <a:t>-8.60</a:t>
          </a:r>
        </a:p>
      </xdr:txBody>
    </xdr:sp>
    <xdr:clientData/>
  </xdr:twoCellAnchor>
  <xdr:twoCellAnchor editAs="oneCell">
    <xdr:from>
      <xdr:col>13</xdr:col>
      <xdr:colOff>571097</xdr:colOff>
      <xdr:row>45</xdr:row>
      <xdr:rowOff>38748</xdr:rowOff>
    </xdr:from>
    <xdr:to>
      <xdr:col>15</xdr:col>
      <xdr:colOff>340496</xdr:colOff>
      <xdr:row>53</xdr:row>
      <xdr:rowOff>14686</xdr:rowOff>
    </xdr:to>
    <xdr:pic>
      <xdr:nvPicPr>
        <xdr:cNvPr id="71" name="Picture 70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021" t="33349" r="45035" b="37359"/>
        <a:stretch/>
      </xdr:blipFill>
      <xdr:spPr>
        <a:xfrm>
          <a:off x="10604097" y="8674748"/>
          <a:ext cx="1452149" cy="1499938"/>
        </a:xfrm>
        <a:prstGeom prst="rect">
          <a:avLst/>
        </a:prstGeom>
      </xdr:spPr>
    </xdr:pic>
    <xdr:clientData/>
  </xdr:twoCellAnchor>
  <xdr:twoCellAnchor>
    <xdr:from>
      <xdr:col>14</xdr:col>
      <xdr:colOff>122155</xdr:colOff>
      <xdr:row>53</xdr:row>
      <xdr:rowOff>14686</xdr:rowOff>
    </xdr:from>
    <xdr:to>
      <xdr:col>14</xdr:col>
      <xdr:colOff>779707</xdr:colOff>
      <xdr:row>54</xdr:row>
      <xdr:rowOff>101185</xdr:rowOff>
    </xdr:to>
    <xdr:sp macro="" textlink="">
      <xdr:nvSpPr>
        <xdr:cNvPr id="72" name="Rectangle 71"/>
        <xdr:cNvSpPr/>
      </xdr:nvSpPr>
      <xdr:spPr>
        <a:xfrm>
          <a:off x="10996530" y="10174686"/>
          <a:ext cx="657552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1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endParaRPr lang="en-US" sz="1200"/>
        </a:p>
      </xdr:txBody>
    </xdr:sp>
    <xdr:clientData/>
  </xdr:twoCellAnchor>
  <xdr:twoCellAnchor editAs="oneCell">
    <xdr:from>
      <xdr:col>15</xdr:col>
      <xdr:colOff>697420</xdr:colOff>
      <xdr:row>47</xdr:row>
      <xdr:rowOff>36333</xdr:rowOff>
    </xdr:from>
    <xdr:to>
      <xdr:col>17</xdr:col>
      <xdr:colOff>265354</xdr:colOff>
      <xdr:row>54</xdr:row>
      <xdr:rowOff>189765</xdr:rowOff>
    </xdr:to>
    <xdr:pic>
      <xdr:nvPicPr>
        <xdr:cNvPr id="73" name="Picture 72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2070" t="37933" r="44198" b="33029"/>
        <a:stretch/>
      </xdr:blipFill>
      <xdr:spPr>
        <a:xfrm>
          <a:off x="12413170" y="9053333"/>
          <a:ext cx="1250684" cy="1486932"/>
        </a:xfrm>
        <a:prstGeom prst="rect">
          <a:avLst/>
        </a:prstGeom>
      </xdr:spPr>
    </xdr:pic>
    <xdr:clientData/>
  </xdr:twoCellAnchor>
  <xdr:twoCellAnchor>
    <xdr:from>
      <xdr:col>16</xdr:col>
      <xdr:colOff>304364</xdr:colOff>
      <xdr:row>54</xdr:row>
      <xdr:rowOff>145642</xdr:rowOff>
    </xdr:from>
    <xdr:to>
      <xdr:col>17</xdr:col>
      <xdr:colOff>120541</xdr:colOff>
      <xdr:row>56</xdr:row>
      <xdr:rowOff>41641</xdr:rowOff>
    </xdr:to>
    <xdr:sp macro="" textlink="">
      <xdr:nvSpPr>
        <xdr:cNvPr id="74" name="Rectangle 73"/>
        <xdr:cNvSpPr/>
      </xdr:nvSpPr>
      <xdr:spPr>
        <a:xfrm>
          <a:off x="12861489" y="10496142"/>
          <a:ext cx="657552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2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</a:p>
      </xdr:txBody>
    </xdr:sp>
    <xdr:clientData/>
  </xdr:twoCellAnchor>
  <xdr:twoCellAnchor editAs="oneCell">
    <xdr:from>
      <xdr:col>15</xdr:col>
      <xdr:colOff>601696</xdr:colOff>
      <xdr:row>23</xdr:row>
      <xdr:rowOff>16032</xdr:rowOff>
    </xdr:from>
    <xdr:to>
      <xdr:col>17</xdr:col>
      <xdr:colOff>366540</xdr:colOff>
      <xdr:row>30</xdr:row>
      <xdr:rowOff>161216</xdr:rowOff>
    </xdr:to>
    <xdr:pic>
      <xdr:nvPicPr>
        <xdr:cNvPr id="75" name="Picture 7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9151" t="32742" r="44955" b="37451"/>
        <a:stretch/>
      </xdr:blipFill>
      <xdr:spPr>
        <a:xfrm>
          <a:off x="12317446" y="4476907"/>
          <a:ext cx="1447594" cy="1526309"/>
        </a:xfrm>
        <a:prstGeom prst="rect">
          <a:avLst/>
        </a:prstGeom>
      </xdr:spPr>
    </xdr:pic>
    <xdr:clientData/>
  </xdr:twoCellAnchor>
  <xdr:twoCellAnchor>
    <xdr:from>
      <xdr:col>16</xdr:col>
      <xdr:colOff>473607</xdr:colOff>
      <xdr:row>30</xdr:row>
      <xdr:rowOff>133624</xdr:rowOff>
    </xdr:from>
    <xdr:to>
      <xdr:col>17</xdr:col>
      <xdr:colOff>365125</xdr:colOff>
      <xdr:row>31</xdr:row>
      <xdr:rowOff>204248</xdr:rowOff>
    </xdr:to>
    <xdr:sp macro="" textlink="">
      <xdr:nvSpPr>
        <xdr:cNvPr id="76" name="Rectangle 75"/>
        <xdr:cNvSpPr/>
      </xdr:nvSpPr>
      <xdr:spPr>
        <a:xfrm>
          <a:off x="13030732" y="5975624"/>
          <a:ext cx="732893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3a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</a:p>
      </xdr:txBody>
    </xdr:sp>
    <xdr:clientData/>
  </xdr:twoCellAnchor>
  <xdr:twoCellAnchor editAs="oneCell">
    <xdr:from>
      <xdr:col>18</xdr:col>
      <xdr:colOff>136908</xdr:colOff>
      <xdr:row>35</xdr:row>
      <xdr:rowOff>29356</xdr:rowOff>
    </xdr:from>
    <xdr:to>
      <xdr:col>20</xdr:col>
      <xdr:colOff>6225</xdr:colOff>
      <xdr:row>41</xdr:row>
      <xdr:rowOff>76963</xdr:rowOff>
    </xdr:to>
    <xdr:pic>
      <xdr:nvPicPr>
        <xdr:cNvPr id="77" name="Picture 7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9643" t="36020" r="44452" b="43147"/>
        <a:stretch/>
      </xdr:blipFill>
      <xdr:spPr>
        <a:xfrm>
          <a:off x="14376783" y="6871481"/>
          <a:ext cx="1552067" cy="1142982"/>
        </a:xfrm>
        <a:prstGeom prst="rect">
          <a:avLst/>
        </a:prstGeom>
      </xdr:spPr>
    </xdr:pic>
    <xdr:clientData/>
  </xdr:twoCellAnchor>
  <xdr:twoCellAnchor>
    <xdr:from>
      <xdr:col>18</xdr:col>
      <xdr:colOff>475277</xdr:colOff>
      <xdr:row>40</xdr:row>
      <xdr:rowOff>146135</xdr:rowOff>
    </xdr:from>
    <xdr:to>
      <xdr:col>19</xdr:col>
      <xdr:colOff>374810</xdr:colOff>
      <xdr:row>42</xdr:row>
      <xdr:rowOff>73884</xdr:rowOff>
    </xdr:to>
    <xdr:sp macro="" textlink="">
      <xdr:nvSpPr>
        <xdr:cNvPr id="78" name="Rectangle 77"/>
        <xdr:cNvSpPr/>
      </xdr:nvSpPr>
      <xdr:spPr>
        <a:xfrm>
          <a:off x="14715152" y="7909010"/>
          <a:ext cx="740908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3b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</a:p>
      </xdr:txBody>
    </xdr:sp>
    <xdr:clientData/>
  </xdr:twoCellAnchor>
  <xdr:twoCellAnchor editAs="oneCell">
    <xdr:from>
      <xdr:col>18</xdr:col>
      <xdr:colOff>428099</xdr:colOff>
      <xdr:row>48</xdr:row>
      <xdr:rowOff>127794</xdr:rowOff>
    </xdr:from>
    <xdr:to>
      <xdr:col>20</xdr:col>
      <xdr:colOff>321520</xdr:colOff>
      <xdr:row>54</xdr:row>
      <xdr:rowOff>115760</xdr:rowOff>
    </xdr:to>
    <xdr:pic>
      <xdr:nvPicPr>
        <xdr:cNvPr id="79" name="Picture 78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9396" t="36459" r="44452" b="42927"/>
        <a:stretch/>
      </xdr:blipFill>
      <xdr:spPr>
        <a:xfrm>
          <a:off x="14667974" y="9335294"/>
          <a:ext cx="1576171" cy="1130966"/>
        </a:xfrm>
        <a:prstGeom prst="rect">
          <a:avLst/>
        </a:prstGeom>
      </xdr:spPr>
    </xdr:pic>
    <xdr:clientData/>
  </xdr:twoCellAnchor>
  <xdr:twoCellAnchor>
    <xdr:from>
      <xdr:col>19</xdr:col>
      <xdr:colOff>4355</xdr:colOff>
      <xdr:row>53</xdr:row>
      <xdr:rowOff>151476</xdr:rowOff>
    </xdr:from>
    <xdr:to>
      <xdr:col>19</xdr:col>
      <xdr:colOff>745263</xdr:colOff>
      <xdr:row>55</xdr:row>
      <xdr:rowOff>47475</xdr:rowOff>
    </xdr:to>
    <xdr:sp macro="" textlink="">
      <xdr:nvSpPr>
        <xdr:cNvPr id="80" name="Rectangle 79"/>
        <xdr:cNvSpPr/>
      </xdr:nvSpPr>
      <xdr:spPr>
        <a:xfrm>
          <a:off x="15085605" y="10311476"/>
          <a:ext cx="740908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4b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</a:p>
      </xdr:txBody>
    </xdr:sp>
    <xdr:clientData/>
  </xdr:twoCellAnchor>
  <xdr:twoCellAnchor editAs="oneCell">
    <xdr:from>
      <xdr:col>22</xdr:col>
      <xdr:colOff>486</xdr:colOff>
      <xdr:row>49</xdr:row>
      <xdr:rowOff>35894</xdr:rowOff>
    </xdr:from>
    <xdr:to>
      <xdr:col>24</xdr:col>
      <xdr:colOff>40480</xdr:colOff>
      <xdr:row>56</xdr:row>
      <xdr:rowOff>106064</xdr:rowOff>
    </xdr:to>
    <xdr:pic>
      <xdr:nvPicPr>
        <xdr:cNvPr id="81" name="Picture 80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9890" t="34923" r="46424" b="37665"/>
        <a:stretch/>
      </xdr:blipFill>
      <xdr:spPr>
        <a:xfrm>
          <a:off x="17367736" y="9433894"/>
          <a:ext cx="1246494" cy="1403670"/>
        </a:xfrm>
        <a:prstGeom prst="rect">
          <a:avLst/>
        </a:prstGeom>
      </xdr:spPr>
    </xdr:pic>
    <xdr:clientData/>
  </xdr:twoCellAnchor>
  <xdr:twoCellAnchor>
    <xdr:from>
      <xdr:col>21</xdr:col>
      <xdr:colOff>214261</xdr:colOff>
      <xdr:row>54</xdr:row>
      <xdr:rowOff>106327</xdr:rowOff>
    </xdr:from>
    <xdr:to>
      <xdr:col>22</xdr:col>
      <xdr:colOff>343904</xdr:colOff>
      <xdr:row>56</xdr:row>
      <xdr:rowOff>2326</xdr:rowOff>
    </xdr:to>
    <xdr:sp macro="" textlink="">
      <xdr:nvSpPr>
        <xdr:cNvPr id="82" name="Rectangle 81"/>
        <xdr:cNvSpPr/>
      </xdr:nvSpPr>
      <xdr:spPr>
        <a:xfrm>
          <a:off x="16978261" y="10456827"/>
          <a:ext cx="732893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4a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</a:p>
      </xdr:txBody>
    </xdr:sp>
    <xdr:clientData/>
  </xdr:twoCellAnchor>
  <xdr:twoCellAnchor editAs="oneCell">
    <xdr:from>
      <xdr:col>20</xdr:col>
      <xdr:colOff>370109</xdr:colOff>
      <xdr:row>24</xdr:row>
      <xdr:rowOff>41028</xdr:rowOff>
    </xdr:from>
    <xdr:to>
      <xdr:col>22</xdr:col>
      <xdr:colOff>429443</xdr:colOff>
      <xdr:row>30</xdr:row>
      <xdr:rowOff>17470</xdr:rowOff>
    </xdr:to>
    <xdr:pic>
      <xdr:nvPicPr>
        <xdr:cNvPr id="83" name="Picture 82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9643" t="36239" r="44945" b="42489"/>
        <a:stretch/>
      </xdr:blipFill>
      <xdr:spPr>
        <a:xfrm>
          <a:off x="16292734" y="4692403"/>
          <a:ext cx="1503959" cy="1167067"/>
        </a:xfrm>
        <a:prstGeom prst="rect">
          <a:avLst/>
        </a:prstGeom>
      </xdr:spPr>
    </xdr:pic>
    <xdr:clientData/>
  </xdr:twoCellAnchor>
  <xdr:twoCellAnchor>
    <xdr:from>
      <xdr:col>20</xdr:col>
      <xdr:colOff>317570</xdr:colOff>
      <xdr:row>30</xdr:row>
      <xdr:rowOff>41290</xdr:rowOff>
    </xdr:from>
    <xdr:to>
      <xdr:col>22</xdr:col>
      <xdr:colOff>478706</xdr:colOff>
      <xdr:row>31</xdr:row>
      <xdr:rowOff>111914</xdr:rowOff>
    </xdr:to>
    <xdr:sp macro="" textlink="">
      <xdr:nvSpPr>
        <xdr:cNvPr id="84" name="Rectangle 83"/>
        <xdr:cNvSpPr/>
      </xdr:nvSpPr>
      <xdr:spPr>
        <a:xfrm>
          <a:off x="16240195" y="5883290"/>
          <a:ext cx="1605761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TS(3b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 b="1"/>
            <a:t>/4b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/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29</xdr:row>
      <xdr:rowOff>92312</xdr:rowOff>
    </xdr:from>
    <xdr:to>
      <xdr:col>24</xdr:col>
      <xdr:colOff>489857</xdr:colOff>
      <xdr:row>58</xdr:row>
      <xdr:rowOff>54212</xdr:rowOff>
    </xdr:to>
    <xdr:graphicFrame macro="">
      <xdr:nvGraphicFramePr>
        <xdr:cNvPr id="39" name="Chart 3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312774</xdr:colOff>
      <xdr:row>28</xdr:row>
      <xdr:rowOff>0</xdr:rowOff>
    </xdr:from>
    <xdr:to>
      <xdr:col>13</xdr:col>
      <xdr:colOff>658880</xdr:colOff>
      <xdr:row>30</xdr:row>
      <xdr:rowOff>80665</xdr:rowOff>
    </xdr:to>
    <xdr:sp macro="" textlink="">
      <xdr:nvSpPr>
        <xdr:cNvPr id="40" name="Rectangle 39"/>
        <xdr:cNvSpPr/>
      </xdr:nvSpPr>
      <xdr:spPr>
        <a:xfrm>
          <a:off x="9538417" y="5592536"/>
          <a:ext cx="1189749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A</a:t>
          </a:r>
          <a:r>
            <a:rPr lang="en-US" sz="1200" b="1" baseline="30000">
              <a:latin typeface="Symbol" panose="05050102010706020507" pitchFamily="18" charset="2"/>
            </a:rPr>
            <a:t>-</a:t>
          </a:r>
          <a:r>
            <a:rPr lang="en-US" sz="1200" b="1" baseline="30000">
              <a:latin typeface="Calibri" panose="020F0502020204030204" pitchFamily="34" charset="0"/>
            </a:rPr>
            <a:t>•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 + </a:t>
          </a:r>
          <a:r>
            <a:rPr lang="en-US" sz="1200" b="1">
              <a:latin typeface="Calibri" panose="020F0502020204030204" pitchFamily="34" charset="0"/>
            </a:rPr>
            <a:t>O</a:t>
          </a:r>
          <a:r>
            <a:rPr lang="en-US" sz="1200" b="1" baseline="-25000">
              <a:latin typeface="Calibri" panose="020F0502020204030204" pitchFamily="34" charset="0"/>
            </a:rPr>
            <a:t>2</a:t>
          </a:r>
          <a:r>
            <a:rPr lang="en-US" sz="1200" b="1" baseline="30000">
              <a:latin typeface="Symbol" panose="05050102010706020507" pitchFamily="18" charset="2"/>
            </a:rPr>
            <a:t>-</a:t>
          </a:r>
          <a:r>
            <a:rPr lang="en-US" sz="1200" b="1" baseline="30000">
              <a:latin typeface="Calibri" panose="020F0502020204030204" pitchFamily="34" charset="0"/>
            </a:rPr>
            <a:t>•</a:t>
          </a:r>
        </a:p>
        <a:p>
          <a:r>
            <a:rPr lang="en-US" sz="1200">
              <a:latin typeface="Calibri" panose="020F0502020204030204" pitchFamily="34" charset="0"/>
            </a:rPr>
            <a:t>      0.00</a:t>
          </a:r>
          <a:endParaRPr lang="en-US" sz="1200" baseline="-25000">
            <a:latin typeface="Calibri" panose="020F0502020204030204" pitchFamily="34" charset="0"/>
          </a:endParaRPr>
        </a:p>
      </xdr:txBody>
    </xdr:sp>
    <xdr:clientData/>
  </xdr:twoCellAnchor>
  <xdr:twoCellAnchor>
    <xdr:from>
      <xdr:col>13</xdr:col>
      <xdr:colOff>507792</xdr:colOff>
      <xdr:row>30</xdr:row>
      <xdr:rowOff>183685</xdr:rowOff>
    </xdr:from>
    <xdr:to>
      <xdr:col>14</xdr:col>
      <xdr:colOff>321701</xdr:colOff>
      <xdr:row>33</xdr:row>
      <xdr:rowOff>73850</xdr:rowOff>
    </xdr:to>
    <xdr:sp macro="" textlink="">
      <xdr:nvSpPr>
        <xdr:cNvPr id="41" name="Rectangle 40"/>
        <xdr:cNvSpPr/>
      </xdr:nvSpPr>
      <xdr:spPr>
        <a:xfrm>
          <a:off x="10577078" y="6157221"/>
          <a:ext cx="657552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5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endParaRPr lang="en-US" sz="1200" b="1" baseline="30000">
            <a:latin typeface="Calibri" panose="020F0502020204030204" pitchFamily="34" charset="0"/>
          </a:endParaRPr>
        </a:p>
        <a:p>
          <a:r>
            <a:rPr lang="en-US" sz="1200">
              <a:latin typeface="Calibri" panose="020F0502020204030204" pitchFamily="34" charset="0"/>
            </a:rPr>
            <a:t> -5.4</a:t>
          </a:r>
          <a:endParaRPr lang="en-US" sz="1200" baseline="-25000">
            <a:latin typeface="Calibri" panose="020F0502020204030204" pitchFamily="34" charset="0"/>
          </a:endParaRPr>
        </a:p>
      </xdr:txBody>
    </xdr:sp>
    <xdr:clientData/>
  </xdr:twoCellAnchor>
  <xdr:twoCellAnchor>
    <xdr:from>
      <xdr:col>14</xdr:col>
      <xdr:colOff>449595</xdr:colOff>
      <xdr:row>43</xdr:row>
      <xdr:rowOff>54145</xdr:rowOff>
    </xdr:from>
    <xdr:to>
      <xdr:col>15</xdr:col>
      <xdr:colOff>494826</xdr:colOff>
      <xdr:row>45</xdr:row>
      <xdr:rowOff>134810</xdr:rowOff>
    </xdr:to>
    <xdr:sp macro="" textlink="">
      <xdr:nvSpPr>
        <xdr:cNvPr id="42" name="Rectangle 41"/>
        <xdr:cNvSpPr/>
      </xdr:nvSpPr>
      <xdr:spPr>
        <a:xfrm>
          <a:off x="11362524" y="8504181"/>
          <a:ext cx="657552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7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endParaRPr lang="en-US" sz="1200" b="1" baseline="30000">
            <a:latin typeface="Calibri" panose="020F0502020204030204" pitchFamily="34" charset="0"/>
          </a:endParaRPr>
        </a:p>
        <a:p>
          <a:r>
            <a:rPr lang="en-US" sz="1200">
              <a:latin typeface="Calibri" panose="020F0502020204030204" pitchFamily="34" charset="0"/>
            </a:rPr>
            <a:t> -28.27</a:t>
          </a:r>
          <a:endParaRPr lang="en-US" sz="1200" baseline="-25000">
            <a:latin typeface="Calibri" panose="020F0502020204030204" pitchFamily="34" charset="0"/>
          </a:endParaRPr>
        </a:p>
      </xdr:txBody>
    </xdr:sp>
    <xdr:clientData/>
  </xdr:twoCellAnchor>
  <xdr:twoCellAnchor>
    <xdr:from>
      <xdr:col>15</xdr:col>
      <xdr:colOff>535209</xdr:colOff>
      <xdr:row>48</xdr:row>
      <xdr:rowOff>154376</xdr:rowOff>
    </xdr:from>
    <xdr:to>
      <xdr:col>17</xdr:col>
      <xdr:colOff>43459</xdr:colOff>
      <xdr:row>51</xdr:row>
      <xdr:rowOff>44541</xdr:rowOff>
    </xdr:to>
    <xdr:sp macro="" textlink="">
      <xdr:nvSpPr>
        <xdr:cNvPr id="43" name="Rectangle 42"/>
        <xdr:cNvSpPr/>
      </xdr:nvSpPr>
      <xdr:spPr>
        <a:xfrm>
          <a:off x="12060459" y="9556912"/>
          <a:ext cx="732893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9a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endParaRPr lang="en-US" sz="1200" b="1" baseline="30000">
            <a:latin typeface="Calibri" panose="020F0502020204030204" pitchFamily="34" charset="0"/>
          </a:endParaRPr>
        </a:p>
        <a:p>
          <a:r>
            <a:rPr lang="en-US" sz="1200">
              <a:latin typeface="Calibri" panose="020F0502020204030204" pitchFamily="34" charset="0"/>
            </a:rPr>
            <a:t> -38.60</a:t>
          </a:r>
          <a:endParaRPr lang="en-US" sz="1200" baseline="-25000">
            <a:latin typeface="Calibri" panose="020F0502020204030204" pitchFamily="34" charset="0"/>
          </a:endParaRPr>
        </a:p>
      </xdr:txBody>
    </xdr:sp>
    <xdr:clientData/>
  </xdr:twoCellAnchor>
  <xdr:twoCellAnchor>
    <xdr:from>
      <xdr:col>18</xdr:col>
      <xdr:colOff>130155</xdr:colOff>
      <xdr:row>48</xdr:row>
      <xdr:rowOff>154376</xdr:rowOff>
    </xdr:from>
    <xdr:to>
      <xdr:col>20</xdr:col>
      <xdr:colOff>378992</xdr:colOff>
      <xdr:row>51</xdr:row>
      <xdr:rowOff>44541</xdr:rowOff>
    </xdr:to>
    <xdr:sp macro="" textlink="">
      <xdr:nvSpPr>
        <xdr:cNvPr id="44" name="Rectangle 43"/>
        <xdr:cNvSpPr/>
      </xdr:nvSpPr>
      <xdr:spPr>
        <a:xfrm>
          <a:off x="13492369" y="9556912"/>
          <a:ext cx="1473480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>
              <a:latin typeface="Calibri" panose="020F0502020204030204" pitchFamily="34" charset="0"/>
            </a:rPr>
            <a:t>       -33.76</a:t>
          </a:r>
          <a:endParaRPr lang="en-US" sz="1200" b="1"/>
        </a:p>
        <a:p>
          <a:r>
            <a:rPr lang="en-US" sz="1200" b="1"/>
            <a:t>DHA1a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 + </a:t>
          </a:r>
          <a:r>
            <a:rPr lang="en-US" sz="1200" b="1">
              <a:latin typeface="Calibri" panose="020F0502020204030204" pitchFamily="34" charset="0"/>
            </a:rPr>
            <a:t>H</a:t>
          </a:r>
          <a:r>
            <a:rPr lang="en-US" sz="1200" b="1" baseline="-25000">
              <a:latin typeface="Calibri" panose="020F0502020204030204" pitchFamily="34" charset="0"/>
            </a:rPr>
            <a:t>2</a:t>
          </a:r>
          <a:r>
            <a:rPr lang="en-US" sz="1200" b="1">
              <a:latin typeface="Calibri" panose="020F0502020204030204" pitchFamily="34" charset="0"/>
            </a:rPr>
            <a:t>O</a:t>
          </a:r>
          <a:r>
            <a:rPr lang="en-US" sz="1200" b="1" baseline="-25000">
              <a:latin typeface="Calibri" panose="020F0502020204030204" pitchFamily="34" charset="0"/>
            </a:rPr>
            <a:t>2</a:t>
          </a:r>
          <a:endParaRPr lang="en-US" sz="1200" b="1" baseline="30000">
            <a:latin typeface="Calibri" panose="020F0502020204030204" pitchFamily="34" charset="0"/>
          </a:endParaRPr>
        </a:p>
      </xdr:txBody>
    </xdr:sp>
    <xdr:clientData/>
  </xdr:twoCellAnchor>
  <xdr:twoCellAnchor>
    <xdr:from>
      <xdr:col>15</xdr:col>
      <xdr:colOff>60860</xdr:colOff>
      <xdr:row>39</xdr:row>
      <xdr:rowOff>41083</xdr:rowOff>
    </xdr:from>
    <xdr:to>
      <xdr:col>19</xdr:col>
      <xdr:colOff>30057</xdr:colOff>
      <xdr:row>41</xdr:row>
      <xdr:rowOff>121748</xdr:rowOff>
    </xdr:to>
    <xdr:sp macro="" textlink="">
      <xdr:nvSpPr>
        <xdr:cNvPr id="45" name="Rectangle 44"/>
        <xdr:cNvSpPr/>
      </xdr:nvSpPr>
      <xdr:spPr>
        <a:xfrm>
          <a:off x="11586110" y="7729119"/>
          <a:ext cx="2418483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TS(9a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 b="1"/>
            <a:t> -&gt; DHA1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 + </a:t>
          </a:r>
          <a:r>
            <a:rPr lang="en-US" sz="1200" b="1">
              <a:latin typeface="Calibri" panose="020F0502020204030204" pitchFamily="34" charset="0"/>
            </a:rPr>
            <a:t>H</a:t>
          </a:r>
          <a:r>
            <a:rPr lang="en-US" sz="1200" b="1" baseline="-25000">
              <a:latin typeface="Calibri" panose="020F0502020204030204" pitchFamily="34" charset="0"/>
            </a:rPr>
            <a:t>2</a:t>
          </a:r>
          <a:r>
            <a:rPr lang="en-US" sz="1200" b="1">
              <a:latin typeface="Calibri" panose="020F0502020204030204" pitchFamily="34" charset="0"/>
            </a:rPr>
            <a:t>O</a:t>
          </a:r>
          <a:r>
            <a:rPr lang="en-US" sz="1200" b="1" baseline="-25000">
              <a:latin typeface="Calibri" panose="020F0502020204030204" pitchFamily="34" charset="0"/>
            </a:rPr>
            <a:t>2</a:t>
          </a:r>
          <a:r>
            <a:rPr lang="en-US" sz="1200" b="1"/>
            <a:t>)</a:t>
          </a:r>
          <a:endParaRPr lang="en-US" sz="1200" b="1" baseline="30000">
            <a:latin typeface="Calibri" panose="020F0502020204030204" pitchFamily="34" charset="0"/>
          </a:endParaRPr>
        </a:p>
        <a:p>
          <a:r>
            <a:rPr lang="en-US" sz="1200">
              <a:latin typeface="Calibri" panose="020F0502020204030204" pitchFamily="34" charset="0"/>
            </a:rPr>
            <a:t>                               -20.50</a:t>
          </a:r>
          <a:endParaRPr lang="en-US" sz="1200" baseline="-25000">
            <a:latin typeface="Calibri" panose="020F0502020204030204" pitchFamily="34" charset="0"/>
          </a:endParaRPr>
        </a:p>
      </xdr:txBody>
    </xdr:sp>
    <xdr:clientData/>
  </xdr:twoCellAnchor>
  <xdr:twoCellAnchor>
    <xdr:from>
      <xdr:col>17</xdr:col>
      <xdr:colOff>69328</xdr:colOff>
      <xdr:row>48</xdr:row>
      <xdr:rowOff>45746</xdr:rowOff>
    </xdr:from>
    <xdr:to>
      <xdr:col>18</xdr:col>
      <xdr:colOff>197915</xdr:colOff>
      <xdr:row>50</xdr:row>
      <xdr:rowOff>126411</xdr:rowOff>
    </xdr:to>
    <xdr:sp macro="" textlink="">
      <xdr:nvSpPr>
        <xdr:cNvPr id="46" name="Rectangle 45"/>
        <xdr:cNvSpPr/>
      </xdr:nvSpPr>
      <xdr:spPr>
        <a:xfrm>
          <a:off x="12819221" y="9448282"/>
          <a:ext cx="740908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9b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endParaRPr lang="en-US" sz="1200" b="1" baseline="30000">
            <a:latin typeface="Calibri" panose="020F0502020204030204" pitchFamily="34" charset="0"/>
          </a:endParaRPr>
        </a:p>
        <a:p>
          <a:r>
            <a:rPr lang="en-US" sz="1200">
              <a:latin typeface="Calibri" panose="020F0502020204030204" pitchFamily="34" charset="0"/>
            </a:rPr>
            <a:t> -37.40</a:t>
          </a:r>
          <a:endParaRPr lang="en-US" sz="1200" baseline="-25000">
            <a:latin typeface="Calibri" panose="020F0502020204030204" pitchFamily="34" charset="0"/>
          </a:endParaRPr>
        </a:p>
      </xdr:txBody>
    </xdr:sp>
    <xdr:clientData/>
  </xdr:twoCellAnchor>
  <xdr:twoCellAnchor>
    <xdr:from>
      <xdr:col>18</xdr:col>
      <xdr:colOff>191663</xdr:colOff>
      <xdr:row>44</xdr:row>
      <xdr:rowOff>16760</xdr:rowOff>
    </xdr:from>
    <xdr:to>
      <xdr:col>21</xdr:col>
      <xdr:colOff>18167</xdr:colOff>
      <xdr:row>46</xdr:row>
      <xdr:rowOff>97425</xdr:rowOff>
    </xdr:to>
    <xdr:sp macro="" textlink="">
      <xdr:nvSpPr>
        <xdr:cNvPr id="47" name="Rectangle 46"/>
        <xdr:cNvSpPr/>
      </xdr:nvSpPr>
      <xdr:spPr>
        <a:xfrm>
          <a:off x="13553877" y="8657296"/>
          <a:ext cx="1663469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TS(9b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 b="1" baseline="30000">
              <a:latin typeface="Calibri" panose="020F0502020204030204" pitchFamily="34" charset="0"/>
            </a:rPr>
            <a:t>/</a:t>
          </a:r>
          <a:r>
            <a:rPr lang="en-US" sz="1200" b="1"/>
            <a:t>10b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 b="1">
              <a:latin typeface="Calibri" panose="020F0502020204030204" pitchFamily="34" charset="0"/>
            </a:rPr>
            <a:t>)</a:t>
          </a:r>
        </a:p>
        <a:p>
          <a:r>
            <a:rPr lang="en-US" sz="1200">
              <a:latin typeface="Calibri" panose="020F0502020204030204" pitchFamily="34" charset="0"/>
            </a:rPr>
            <a:t>    -29.73</a:t>
          </a:r>
          <a:endParaRPr lang="en-US" sz="1200" baseline="-25000">
            <a:latin typeface="Calibri" panose="020F0502020204030204" pitchFamily="34" charset="0"/>
          </a:endParaRPr>
        </a:p>
      </xdr:txBody>
    </xdr:sp>
    <xdr:clientData/>
  </xdr:twoCellAnchor>
  <xdr:twoCellAnchor>
    <xdr:from>
      <xdr:col>19</xdr:col>
      <xdr:colOff>583702</xdr:colOff>
      <xdr:row>54</xdr:row>
      <xdr:rowOff>92963</xdr:rowOff>
    </xdr:from>
    <xdr:to>
      <xdr:col>21</xdr:col>
      <xdr:colOff>178514</xdr:colOff>
      <xdr:row>56</xdr:row>
      <xdr:rowOff>173628</xdr:rowOff>
    </xdr:to>
    <xdr:sp macro="" textlink="">
      <xdr:nvSpPr>
        <xdr:cNvPr id="48" name="Rectangle 47"/>
        <xdr:cNvSpPr/>
      </xdr:nvSpPr>
      <xdr:spPr>
        <a:xfrm>
          <a:off x="14558238" y="10638499"/>
          <a:ext cx="819455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10b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endParaRPr lang="en-US" sz="1200" b="1" baseline="30000">
            <a:latin typeface="Calibri" panose="020F0502020204030204" pitchFamily="34" charset="0"/>
          </a:endParaRPr>
        </a:p>
        <a:p>
          <a:r>
            <a:rPr lang="en-US" sz="1200">
              <a:latin typeface="Calibri" panose="020F0502020204030204" pitchFamily="34" charset="0"/>
            </a:rPr>
            <a:t> -49.16</a:t>
          </a:r>
          <a:endParaRPr lang="en-US" sz="1200" baseline="-25000">
            <a:latin typeface="Calibri" panose="020F0502020204030204" pitchFamily="34" charset="0"/>
          </a:endParaRPr>
        </a:p>
      </xdr:txBody>
    </xdr:sp>
    <xdr:clientData/>
  </xdr:twoCellAnchor>
  <xdr:twoCellAnchor>
    <xdr:from>
      <xdr:col>19</xdr:col>
      <xdr:colOff>476835</xdr:colOff>
      <xdr:row>47</xdr:row>
      <xdr:rowOff>10413</xdr:rowOff>
    </xdr:from>
    <xdr:to>
      <xdr:col>22</xdr:col>
      <xdr:colOff>102131</xdr:colOff>
      <xdr:row>49</xdr:row>
      <xdr:rowOff>91078</xdr:rowOff>
    </xdr:to>
    <xdr:sp macro="" textlink="">
      <xdr:nvSpPr>
        <xdr:cNvPr id="49" name="Rectangle 48"/>
        <xdr:cNvSpPr/>
      </xdr:nvSpPr>
      <xdr:spPr>
        <a:xfrm>
          <a:off x="14451371" y="9222449"/>
          <a:ext cx="1462260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DHA1c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 + </a:t>
          </a:r>
          <a:r>
            <a:rPr lang="en-US" sz="1200" b="1">
              <a:latin typeface="Calibri" panose="020F0502020204030204" pitchFamily="34" charset="0"/>
            </a:rPr>
            <a:t>H</a:t>
          </a:r>
          <a:r>
            <a:rPr lang="en-US" sz="1200" b="1" baseline="-25000">
              <a:latin typeface="Calibri" panose="020F0502020204030204" pitchFamily="34" charset="0"/>
            </a:rPr>
            <a:t>2</a:t>
          </a:r>
          <a:r>
            <a:rPr lang="en-US" sz="1200" b="1">
              <a:latin typeface="Calibri" panose="020F0502020204030204" pitchFamily="34" charset="0"/>
            </a:rPr>
            <a:t>O</a:t>
          </a:r>
          <a:r>
            <a:rPr lang="en-US" sz="1200" b="1" baseline="-25000">
              <a:latin typeface="Calibri" panose="020F0502020204030204" pitchFamily="34" charset="0"/>
            </a:rPr>
            <a:t>2</a:t>
          </a:r>
          <a:endParaRPr lang="en-US" sz="1200" b="1" baseline="30000">
            <a:latin typeface="Calibri" panose="020F0502020204030204" pitchFamily="34" charset="0"/>
          </a:endParaRPr>
        </a:p>
        <a:p>
          <a:r>
            <a:rPr lang="en-US" sz="1200">
              <a:latin typeface="Calibri" panose="020F0502020204030204" pitchFamily="34" charset="0"/>
            </a:rPr>
            <a:t>-35.29</a:t>
          </a:r>
          <a:endParaRPr lang="en-US" sz="1200" baseline="-25000">
            <a:latin typeface="Calibri" panose="020F0502020204030204" pitchFamily="34" charset="0"/>
          </a:endParaRPr>
        </a:p>
      </xdr:txBody>
    </xdr:sp>
    <xdr:clientData/>
  </xdr:twoCellAnchor>
  <xdr:twoCellAnchor>
    <xdr:from>
      <xdr:col>20</xdr:col>
      <xdr:colOff>586785</xdr:colOff>
      <xdr:row>52</xdr:row>
      <xdr:rowOff>72209</xdr:rowOff>
    </xdr:from>
    <xdr:to>
      <xdr:col>22</xdr:col>
      <xdr:colOff>173583</xdr:colOff>
      <xdr:row>54</xdr:row>
      <xdr:rowOff>152874</xdr:rowOff>
    </xdr:to>
    <xdr:sp macro="" textlink="">
      <xdr:nvSpPr>
        <xdr:cNvPr id="50" name="Rectangle 49"/>
        <xdr:cNvSpPr/>
      </xdr:nvSpPr>
      <xdr:spPr>
        <a:xfrm>
          <a:off x="15173642" y="10236745"/>
          <a:ext cx="811441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10a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endParaRPr lang="en-US" sz="1200" b="1" baseline="30000">
            <a:latin typeface="Calibri" panose="020F0502020204030204" pitchFamily="34" charset="0"/>
          </a:endParaRPr>
        </a:p>
        <a:p>
          <a:r>
            <a:rPr lang="en-US" sz="1200">
              <a:latin typeface="Calibri" panose="020F0502020204030204" pitchFamily="34" charset="0"/>
            </a:rPr>
            <a:t> -45.16</a:t>
          </a:r>
          <a:endParaRPr lang="en-US" sz="1200" baseline="-25000">
            <a:latin typeface="Calibri" panose="020F0502020204030204" pitchFamily="34" charset="0"/>
          </a:endParaRPr>
        </a:p>
      </xdr:txBody>
    </xdr:sp>
    <xdr:clientData/>
  </xdr:twoCellAnchor>
  <xdr:twoCellAnchor>
    <xdr:from>
      <xdr:col>20</xdr:col>
      <xdr:colOff>31454</xdr:colOff>
      <xdr:row>40</xdr:row>
      <xdr:rowOff>190483</xdr:rowOff>
    </xdr:from>
    <xdr:to>
      <xdr:col>23</xdr:col>
      <xdr:colOff>375728</xdr:colOff>
      <xdr:row>43</xdr:row>
      <xdr:rowOff>80648</xdr:rowOff>
    </xdr:to>
    <xdr:sp macro="" textlink="">
      <xdr:nvSpPr>
        <xdr:cNvPr id="51" name="Rectangle 50"/>
        <xdr:cNvSpPr/>
      </xdr:nvSpPr>
      <xdr:spPr>
        <a:xfrm>
          <a:off x="14618311" y="8069019"/>
          <a:ext cx="2181238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TS(DHA1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 b="1"/>
            <a:t> -&gt; DHA5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 b="1"/>
            <a:t>)</a:t>
          </a:r>
          <a:endParaRPr lang="en-US" sz="1200" b="1" baseline="30000">
            <a:latin typeface="Calibri" panose="020F0502020204030204" pitchFamily="34" charset="0"/>
          </a:endParaRPr>
        </a:p>
        <a:p>
          <a:r>
            <a:rPr lang="en-US" sz="1200">
              <a:latin typeface="Calibri" panose="020F0502020204030204" pitchFamily="34" charset="0"/>
            </a:rPr>
            <a:t>                  -24.23</a:t>
          </a:r>
          <a:endParaRPr lang="en-US" sz="1200" baseline="-25000">
            <a:latin typeface="Calibri" panose="020F0502020204030204" pitchFamily="34" charset="0"/>
          </a:endParaRPr>
        </a:p>
      </xdr:txBody>
    </xdr:sp>
    <xdr:clientData/>
  </xdr:twoCellAnchor>
  <xdr:twoCellAnchor>
    <xdr:from>
      <xdr:col>23</xdr:col>
      <xdr:colOff>466546</xdr:colOff>
      <xdr:row>50</xdr:row>
      <xdr:rowOff>165868</xdr:rowOff>
    </xdr:from>
    <xdr:to>
      <xdr:col>26</xdr:col>
      <xdr:colOff>27721</xdr:colOff>
      <xdr:row>53</xdr:row>
      <xdr:rowOff>56033</xdr:rowOff>
    </xdr:to>
    <xdr:sp macro="" textlink="">
      <xdr:nvSpPr>
        <xdr:cNvPr id="52" name="Rectangle 51"/>
        <xdr:cNvSpPr/>
      </xdr:nvSpPr>
      <xdr:spPr>
        <a:xfrm>
          <a:off x="16890367" y="9949404"/>
          <a:ext cx="1398140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DHA5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 + </a:t>
          </a:r>
          <a:r>
            <a:rPr lang="en-US" sz="1200" b="1">
              <a:latin typeface="Calibri" panose="020F0502020204030204" pitchFamily="34" charset="0"/>
            </a:rPr>
            <a:t>H</a:t>
          </a:r>
          <a:r>
            <a:rPr lang="en-US" sz="1200" b="1" baseline="-25000">
              <a:latin typeface="Calibri" panose="020F0502020204030204" pitchFamily="34" charset="0"/>
            </a:rPr>
            <a:t>2</a:t>
          </a:r>
          <a:r>
            <a:rPr lang="en-US" sz="1200" b="1">
              <a:latin typeface="Calibri" panose="020F0502020204030204" pitchFamily="34" charset="0"/>
            </a:rPr>
            <a:t>O</a:t>
          </a:r>
          <a:r>
            <a:rPr lang="en-US" sz="1200" b="1" baseline="-25000">
              <a:latin typeface="Calibri" panose="020F0502020204030204" pitchFamily="34" charset="0"/>
            </a:rPr>
            <a:t>2</a:t>
          </a:r>
          <a:endParaRPr lang="en-US" sz="1200" b="1" baseline="30000">
            <a:latin typeface="Calibri" panose="020F0502020204030204" pitchFamily="34" charset="0"/>
          </a:endParaRPr>
        </a:p>
        <a:p>
          <a:r>
            <a:rPr lang="en-US" sz="1200">
              <a:latin typeface="Calibri" panose="020F0502020204030204" pitchFamily="34" charset="0"/>
            </a:rPr>
            <a:t> -42.47</a:t>
          </a:r>
          <a:endParaRPr lang="en-US" sz="1200" baseline="-25000">
            <a:latin typeface="Calibri" panose="020F0502020204030204" pitchFamily="34" charset="0"/>
          </a:endParaRPr>
        </a:p>
      </xdr:txBody>
    </xdr:sp>
    <xdr:clientData/>
  </xdr:twoCellAnchor>
  <xdr:twoCellAnchor>
    <xdr:from>
      <xdr:col>22</xdr:col>
      <xdr:colOff>55954</xdr:colOff>
      <xdr:row>53</xdr:row>
      <xdr:rowOff>56033</xdr:rowOff>
    </xdr:from>
    <xdr:to>
      <xdr:col>24</xdr:col>
      <xdr:colOff>229451</xdr:colOff>
      <xdr:row>55</xdr:row>
      <xdr:rowOff>136698</xdr:rowOff>
    </xdr:to>
    <xdr:sp macro="" textlink="">
      <xdr:nvSpPr>
        <xdr:cNvPr id="53" name="Rectangle 52"/>
        <xdr:cNvSpPr/>
      </xdr:nvSpPr>
      <xdr:spPr>
        <a:xfrm>
          <a:off x="15867454" y="10411069"/>
          <a:ext cx="1398140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>
              <a:latin typeface="Calibri" panose="020F0502020204030204" pitchFamily="34" charset="0"/>
            </a:rPr>
            <a:t>       -42.47</a:t>
          </a:r>
          <a:endParaRPr lang="en-US" sz="1200" b="1"/>
        </a:p>
        <a:p>
          <a:r>
            <a:rPr lang="en-US" sz="1200" b="1"/>
            <a:t>DHA5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 + </a:t>
          </a:r>
          <a:r>
            <a:rPr lang="en-US" sz="1200" b="1">
              <a:latin typeface="Calibri" panose="020F0502020204030204" pitchFamily="34" charset="0"/>
            </a:rPr>
            <a:t>H</a:t>
          </a:r>
          <a:r>
            <a:rPr lang="en-US" sz="1200" b="1" baseline="-25000">
              <a:latin typeface="Calibri" panose="020F0502020204030204" pitchFamily="34" charset="0"/>
            </a:rPr>
            <a:t>2</a:t>
          </a:r>
          <a:r>
            <a:rPr lang="en-US" sz="1200" b="1">
              <a:latin typeface="Calibri" panose="020F0502020204030204" pitchFamily="34" charset="0"/>
            </a:rPr>
            <a:t>O</a:t>
          </a:r>
          <a:r>
            <a:rPr lang="en-US" sz="1200" b="1" baseline="-25000">
              <a:latin typeface="Calibri" panose="020F0502020204030204" pitchFamily="34" charset="0"/>
            </a:rPr>
            <a:t>2</a:t>
          </a:r>
          <a:endParaRPr lang="en-US" sz="1200" b="1" baseline="30000">
            <a:latin typeface="Calibri" panose="020F0502020204030204" pitchFamily="34" charset="0"/>
          </a:endParaRPr>
        </a:p>
      </xdr:txBody>
    </xdr:sp>
    <xdr:clientData/>
  </xdr:twoCellAnchor>
  <xdr:twoCellAnchor>
    <xdr:from>
      <xdr:col>22</xdr:col>
      <xdr:colOff>65721</xdr:colOff>
      <xdr:row>32</xdr:row>
      <xdr:rowOff>100284</xdr:rowOff>
    </xdr:from>
    <xdr:to>
      <xdr:col>26</xdr:col>
      <xdr:colOff>79802</xdr:colOff>
      <xdr:row>33</xdr:row>
      <xdr:rowOff>186783</xdr:rowOff>
    </xdr:to>
    <xdr:sp macro="" textlink="">
      <xdr:nvSpPr>
        <xdr:cNvPr id="54" name="Rectangle 53"/>
        <xdr:cNvSpPr/>
      </xdr:nvSpPr>
      <xdr:spPr>
        <a:xfrm>
          <a:off x="15877221" y="6454820"/>
          <a:ext cx="2463367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TS(10a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 b="1"/>
            <a:t> -&gt; DHA5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 + </a:t>
          </a:r>
          <a:r>
            <a:rPr lang="en-US" sz="1200" b="1">
              <a:latin typeface="Calibri" panose="020F0502020204030204" pitchFamily="34" charset="0"/>
            </a:rPr>
            <a:t>H</a:t>
          </a:r>
          <a:r>
            <a:rPr lang="en-US" sz="1200" b="1" baseline="-25000">
              <a:latin typeface="Calibri" panose="020F0502020204030204" pitchFamily="34" charset="0"/>
            </a:rPr>
            <a:t>2</a:t>
          </a:r>
          <a:r>
            <a:rPr lang="en-US" sz="1200" b="1">
              <a:latin typeface="Calibri" panose="020F0502020204030204" pitchFamily="34" charset="0"/>
            </a:rPr>
            <a:t>O</a:t>
          </a:r>
          <a:r>
            <a:rPr lang="en-US" sz="1200" b="1" baseline="-25000">
              <a:latin typeface="Calibri" panose="020F0502020204030204" pitchFamily="34" charset="0"/>
            </a:rPr>
            <a:t>2</a:t>
          </a:r>
          <a:r>
            <a:rPr lang="en-US" sz="1200" b="1"/>
            <a:t>)</a:t>
          </a:r>
          <a:endParaRPr lang="en-US" sz="1200" b="1" baseline="30000">
            <a:latin typeface="Calibri" panose="020F0502020204030204" pitchFamily="34" charset="0"/>
          </a:endParaRPr>
        </a:p>
      </xdr:txBody>
    </xdr:sp>
    <xdr:clientData/>
  </xdr:twoCellAnchor>
  <xdr:twoCellAnchor editAs="oneCell">
    <xdr:from>
      <xdr:col>12</xdr:col>
      <xdr:colOff>433852</xdr:colOff>
      <xdr:row>34</xdr:row>
      <xdr:rowOff>77632</xdr:rowOff>
    </xdr:from>
    <xdr:to>
      <xdr:col>14</xdr:col>
      <xdr:colOff>34</xdr:colOff>
      <xdr:row>38</xdr:row>
      <xdr:rowOff>182224</xdr:rowOff>
    </xdr:to>
    <xdr:pic>
      <xdr:nvPicPr>
        <xdr:cNvPr id="55" name="Picture 5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8719" t="36779" r="43765" b="41682"/>
        <a:stretch/>
      </xdr:blipFill>
      <xdr:spPr>
        <a:xfrm>
          <a:off x="9659495" y="6813168"/>
          <a:ext cx="1253468" cy="866592"/>
        </a:xfrm>
        <a:prstGeom prst="rect">
          <a:avLst/>
        </a:prstGeom>
      </xdr:spPr>
    </xdr:pic>
    <xdr:clientData/>
  </xdr:twoCellAnchor>
  <xdr:twoCellAnchor>
    <xdr:from>
      <xdr:col>12</xdr:col>
      <xdr:colOff>597758</xdr:colOff>
      <xdr:row>38</xdr:row>
      <xdr:rowOff>173796</xdr:rowOff>
    </xdr:from>
    <xdr:to>
      <xdr:col>13</xdr:col>
      <xdr:colOff>411667</xdr:colOff>
      <xdr:row>40</xdr:row>
      <xdr:rowOff>69795</xdr:rowOff>
    </xdr:to>
    <xdr:sp macro="" textlink="">
      <xdr:nvSpPr>
        <xdr:cNvPr id="56" name="Rectangle 55"/>
        <xdr:cNvSpPr/>
      </xdr:nvSpPr>
      <xdr:spPr>
        <a:xfrm>
          <a:off x="9823401" y="7671332"/>
          <a:ext cx="657552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5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endParaRPr lang="en-US" sz="1200" b="1" baseline="30000">
            <a:latin typeface="Calibri" panose="020F0502020204030204" pitchFamily="34" charset="0"/>
          </a:endParaRPr>
        </a:p>
      </xdr:txBody>
    </xdr:sp>
    <xdr:clientData/>
  </xdr:twoCellAnchor>
  <xdr:twoCellAnchor editAs="oneCell">
    <xdr:from>
      <xdr:col>12</xdr:col>
      <xdr:colOff>597963</xdr:colOff>
      <xdr:row>42</xdr:row>
      <xdr:rowOff>159644</xdr:rowOff>
    </xdr:from>
    <xdr:to>
      <xdr:col>14</xdr:col>
      <xdr:colOff>210517</xdr:colOff>
      <xdr:row>47</xdr:row>
      <xdr:rowOff>75465</xdr:rowOff>
    </xdr:to>
    <xdr:pic>
      <xdr:nvPicPr>
        <xdr:cNvPr id="57" name="Picture 5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8287" t="36587" r="43549" b="41831"/>
        <a:stretch/>
      </xdr:blipFill>
      <xdr:spPr>
        <a:xfrm>
          <a:off x="9823606" y="8419180"/>
          <a:ext cx="1299840" cy="868321"/>
        </a:xfrm>
        <a:prstGeom prst="rect">
          <a:avLst/>
        </a:prstGeom>
      </xdr:spPr>
    </xdr:pic>
    <xdr:clientData/>
  </xdr:twoCellAnchor>
  <xdr:twoCellAnchor>
    <xdr:from>
      <xdr:col>13</xdr:col>
      <xdr:colOff>158106</xdr:colOff>
      <xdr:row>47</xdr:row>
      <xdr:rowOff>26914</xdr:rowOff>
    </xdr:from>
    <xdr:to>
      <xdr:col>13</xdr:col>
      <xdr:colOff>815658</xdr:colOff>
      <xdr:row>48</xdr:row>
      <xdr:rowOff>113413</xdr:rowOff>
    </xdr:to>
    <xdr:sp macro="" textlink="">
      <xdr:nvSpPr>
        <xdr:cNvPr id="58" name="Rectangle 57"/>
        <xdr:cNvSpPr/>
      </xdr:nvSpPr>
      <xdr:spPr>
        <a:xfrm>
          <a:off x="10227392" y="9238950"/>
          <a:ext cx="657552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7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endParaRPr lang="en-US" sz="1200" b="1" baseline="30000">
            <a:latin typeface="Calibri" panose="020F0502020204030204" pitchFamily="34" charset="0"/>
          </a:endParaRPr>
        </a:p>
      </xdr:txBody>
    </xdr:sp>
    <xdr:clientData/>
  </xdr:twoCellAnchor>
  <xdr:twoCellAnchor editAs="oneCell">
    <xdr:from>
      <xdr:col>13</xdr:col>
      <xdr:colOff>561633</xdr:colOff>
      <xdr:row>50</xdr:row>
      <xdr:rowOff>7190</xdr:rowOff>
    </xdr:from>
    <xdr:to>
      <xdr:col>15</xdr:col>
      <xdr:colOff>367367</xdr:colOff>
      <xdr:row>54</xdr:row>
      <xdr:rowOff>109851</xdr:rowOff>
    </xdr:to>
    <xdr:pic>
      <xdr:nvPicPr>
        <xdr:cNvPr id="59" name="Picture 58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8164" t="36678" r="44205" b="41831"/>
        <a:stretch/>
      </xdr:blipFill>
      <xdr:spPr>
        <a:xfrm>
          <a:off x="10630919" y="9790726"/>
          <a:ext cx="1261698" cy="864661"/>
        </a:xfrm>
        <a:prstGeom prst="rect">
          <a:avLst/>
        </a:prstGeom>
      </xdr:spPr>
    </xdr:pic>
    <xdr:clientData/>
  </xdr:twoCellAnchor>
  <xdr:twoCellAnchor>
    <xdr:from>
      <xdr:col>14</xdr:col>
      <xdr:colOff>32945</xdr:colOff>
      <xdr:row>54</xdr:row>
      <xdr:rowOff>63344</xdr:rowOff>
    </xdr:from>
    <xdr:to>
      <xdr:col>15</xdr:col>
      <xdr:colOff>153517</xdr:colOff>
      <xdr:row>55</xdr:row>
      <xdr:rowOff>149843</xdr:rowOff>
    </xdr:to>
    <xdr:sp macro="" textlink="">
      <xdr:nvSpPr>
        <xdr:cNvPr id="60" name="Rectangle 59"/>
        <xdr:cNvSpPr/>
      </xdr:nvSpPr>
      <xdr:spPr>
        <a:xfrm>
          <a:off x="10945874" y="10608880"/>
          <a:ext cx="732893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9a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endParaRPr lang="en-US" sz="1200" b="1" baseline="30000">
            <a:latin typeface="Calibri" panose="020F0502020204030204" pitchFamily="34" charset="0"/>
          </a:endParaRPr>
        </a:p>
      </xdr:txBody>
    </xdr:sp>
    <xdr:clientData/>
  </xdr:twoCellAnchor>
  <xdr:twoCellAnchor>
    <xdr:from>
      <xdr:col>16</xdr:col>
      <xdr:colOff>150485</xdr:colOff>
      <xdr:row>58</xdr:row>
      <xdr:rowOff>109535</xdr:rowOff>
    </xdr:from>
    <xdr:to>
      <xdr:col>17</xdr:col>
      <xdr:colOff>510393</xdr:colOff>
      <xdr:row>60</xdr:row>
      <xdr:rowOff>5534</xdr:rowOff>
    </xdr:to>
    <xdr:sp macro="" textlink="">
      <xdr:nvSpPr>
        <xdr:cNvPr id="61" name="Rectangle 60"/>
        <xdr:cNvSpPr/>
      </xdr:nvSpPr>
      <xdr:spPr>
        <a:xfrm>
          <a:off x="12519378" y="11417071"/>
          <a:ext cx="740908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9b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endParaRPr lang="en-US" sz="1200" b="1" baseline="30000">
            <a:latin typeface="Calibri" panose="020F0502020204030204" pitchFamily="34" charset="0"/>
          </a:endParaRPr>
        </a:p>
      </xdr:txBody>
    </xdr:sp>
    <xdr:clientData/>
  </xdr:twoCellAnchor>
  <xdr:twoCellAnchor editAs="oneCell">
    <xdr:from>
      <xdr:col>16</xdr:col>
      <xdr:colOff>31245</xdr:colOff>
      <xdr:row>52</xdr:row>
      <xdr:rowOff>127296</xdr:rowOff>
    </xdr:from>
    <xdr:to>
      <xdr:col>18</xdr:col>
      <xdr:colOff>17312</xdr:colOff>
      <xdr:row>58</xdr:row>
      <xdr:rowOff>87180</xdr:rowOff>
    </xdr:to>
    <xdr:pic>
      <xdr:nvPicPr>
        <xdr:cNvPr id="62" name="Picture 6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2849" t="36239" r="43465" b="36349"/>
        <a:stretch/>
      </xdr:blipFill>
      <xdr:spPr>
        <a:xfrm>
          <a:off x="12400138" y="10291832"/>
          <a:ext cx="979388" cy="1102884"/>
        </a:xfrm>
        <a:prstGeom prst="rect">
          <a:avLst/>
        </a:prstGeom>
      </xdr:spPr>
    </xdr:pic>
    <xdr:clientData/>
  </xdr:twoCellAnchor>
  <xdr:twoCellAnchor editAs="oneCell">
    <xdr:from>
      <xdr:col>15</xdr:col>
      <xdr:colOff>199682</xdr:colOff>
      <xdr:row>30</xdr:row>
      <xdr:rowOff>126684</xdr:rowOff>
    </xdr:from>
    <xdr:to>
      <xdr:col>17</xdr:col>
      <xdr:colOff>245611</xdr:colOff>
      <xdr:row>34</xdr:row>
      <xdr:rowOff>185248</xdr:rowOff>
    </xdr:to>
    <xdr:pic>
      <xdr:nvPicPr>
        <xdr:cNvPr id="63" name="Picture 62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8040" t="37116" r="44205" b="42489"/>
        <a:stretch/>
      </xdr:blipFill>
      <xdr:spPr>
        <a:xfrm>
          <a:off x="11724932" y="6100220"/>
          <a:ext cx="1270572" cy="820564"/>
        </a:xfrm>
        <a:prstGeom prst="rect">
          <a:avLst/>
        </a:prstGeom>
      </xdr:spPr>
    </xdr:pic>
    <xdr:clientData/>
  </xdr:twoCellAnchor>
  <xdr:twoCellAnchor>
    <xdr:from>
      <xdr:col>15</xdr:col>
      <xdr:colOff>59650</xdr:colOff>
      <xdr:row>28</xdr:row>
      <xdr:rowOff>188521</xdr:rowOff>
    </xdr:from>
    <xdr:to>
      <xdr:col>18</xdr:col>
      <xdr:colOff>607506</xdr:colOff>
      <xdr:row>30</xdr:row>
      <xdr:rowOff>84520</xdr:rowOff>
    </xdr:to>
    <xdr:sp macro="" textlink="">
      <xdr:nvSpPr>
        <xdr:cNvPr id="64" name="Rectangle 63"/>
        <xdr:cNvSpPr/>
      </xdr:nvSpPr>
      <xdr:spPr>
        <a:xfrm>
          <a:off x="11584900" y="5781057"/>
          <a:ext cx="2384820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TS(9a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 b="1"/>
            <a:t> -&gt; DHA1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 + </a:t>
          </a:r>
          <a:r>
            <a:rPr lang="en-US" sz="1200" b="1">
              <a:latin typeface="Calibri" panose="020F0502020204030204" pitchFamily="34" charset="0"/>
            </a:rPr>
            <a:t>H</a:t>
          </a:r>
          <a:r>
            <a:rPr lang="en-US" sz="1200" b="1" baseline="-25000">
              <a:latin typeface="Calibri" panose="020F0502020204030204" pitchFamily="34" charset="0"/>
            </a:rPr>
            <a:t>2</a:t>
          </a:r>
          <a:r>
            <a:rPr lang="en-US" sz="1200" b="1">
              <a:latin typeface="Calibri" panose="020F0502020204030204" pitchFamily="34" charset="0"/>
            </a:rPr>
            <a:t>O</a:t>
          </a:r>
          <a:r>
            <a:rPr lang="en-US" sz="1200" b="1" baseline="-25000">
              <a:latin typeface="Calibri" panose="020F0502020204030204" pitchFamily="34" charset="0"/>
            </a:rPr>
            <a:t>2</a:t>
          </a:r>
          <a:r>
            <a:rPr lang="en-US" sz="1200" b="1"/>
            <a:t>)</a:t>
          </a:r>
          <a:endParaRPr lang="en-US" sz="1200" b="1" baseline="30000">
            <a:latin typeface="Calibri" panose="020F0502020204030204" pitchFamily="34" charset="0"/>
          </a:endParaRPr>
        </a:p>
      </xdr:txBody>
    </xdr:sp>
    <xdr:clientData/>
  </xdr:twoCellAnchor>
  <xdr:twoCellAnchor>
    <xdr:from>
      <xdr:col>22</xdr:col>
      <xdr:colOff>187750</xdr:colOff>
      <xdr:row>42</xdr:row>
      <xdr:rowOff>47431</xdr:rowOff>
    </xdr:from>
    <xdr:to>
      <xdr:col>26</xdr:col>
      <xdr:colOff>201831</xdr:colOff>
      <xdr:row>44</xdr:row>
      <xdr:rowOff>128096</xdr:rowOff>
    </xdr:to>
    <xdr:sp macro="" textlink="">
      <xdr:nvSpPr>
        <xdr:cNvPr id="65" name="Rectangle 64"/>
        <xdr:cNvSpPr/>
      </xdr:nvSpPr>
      <xdr:spPr>
        <a:xfrm>
          <a:off x="15999250" y="8306967"/>
          <a:ext cx="2463367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TS(10a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 b="1"/>
            <a:t> -&gt; DHA5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 + </a:t>
          </a:r>
          <a:r>
            <a:rPr lang="en-US" sz="1200" b="1">
              <a:latin typeface="Calibri" panose="020F0502020204030204" pitchFamily="34" charset="0"/>
            </a:rPr>
            <a:t>H</a:t>
          </a:r>
          <a:r>
            <a:rPr lang="en-US" sz="1200" b="1" baseline="-25000">
              <a:latin typeface="Calibri" panose="020F0502020204030204" pitchFamily="34" charset="0"/>
            </a:rPr>
            <a:t>2</a:t>
          </a:r>
          <a:r>
            <a:rPr lang="en-US" sz="1200" b="1">
              <a:latin typeface="Calibri" panose="020F0502020204030204" pitchFamily="34" charset="0"/>
            </a:rPr>
            <a:t>O</a:t>
          </a:r>
          <a:r>
            <a:rPr lang="en-US" sz="1200" b="1" baseline="-25000">
              <a:latin typeface="Calibri" panose="020F0502020204030204" pitchFamily="34" charset="0"/>
            </a:rPr>
            <a:t>2</a:t>
          </a:r>
          <a:r>
            <a:rPr lang="en-US" sz="1200" b="1"/>
            <a:t>)</a:t>
          </a:r>
        </a:p>
        <a:p>
          <a:r>
            <a:rPr lang="en-US" sz="1200">
              <a:latin typeface="Calibri" panose="020F0502020204030204" pitchFamily="34" charset="0"/>
            </a:rPr>
            <a:t>        -26.03</a:t>
          </a:r>
          <a:endParaRPr lang="en-US" sz="1200" baseline="-25000">
            <a:latin typeface="Calibri" panose="020F0502020204030204" pitchFamily="34" charset="0"/>
          </a:endParaRPr>
        </a:p>
      </xdr:txBody>
    </xdr:sp>
    <xdr:clientData/>
  </xdr:twoCellAnchor>
  <xdr:twoCellAnchor>
    <xdr:from>
      <xdr:col>18</xdr:col>
      <xdr:colOff>218912</xdr:colOff>
      <xdr:row>32</xdr:row>
      <xdr:rowOff>100284</xdr:rowOff>
    </xdr:from>
    <xdr:to>
      <xdr:col>21</xdr:col>
      <xdr:colOff>47018</xdr:colOff>
      <xdr:row>33</xdr:row>
      <xdr:rowOff>186783</xdr:rowOff>
    </xdr:to>
    <xdr:sp macro="" textlink="">
      <xdr:nvSpPr>
        <xdr:cNvPr id="66" name="Rectangle 65"/>
        <xdr:cNvSpPr/>
      </xdr:nvSpPr>
      <xdr:spPr>
        <a:xfrm>
          <a:off x="13581126" y="6454820"/>
          <a:ext cx="1665071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TS(9b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 b="1" baseline="30000">
              <a:latin typeface="Calibri" panose="020F0502020204030204" pitchFamily="34" charset="0"/>
            </a:rPr>
            <a:t>/</a:t>
          </a:r>
          <a:r>
            <a:rPr lang="en-US" sz="1200" b="1"/>
            <a:t>10b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 b="1">
              <a:latin typeface="Calibri" panose="020F0502020204030204" pitchFamily="34" charset="0"/>
            </a:rPr>
            <a:t>)</a:t>
          </a:r>
        </a:p>
      </xdr:txBody>
    </xdr:sp>
    <xdr:clientData/>
  </xdr:twoCellAnchor>
  <xdr:twoCellAnchor editAs="oneCell">
    <xdr:from>
      <xdr:col>18</xdr:col>
      <xdr:colOff>525259</xdr:colOff>
      <xdr:row>33</xdr:row>
      <xdr:rowOff>173451</xdr:rowOff>
    </xdr:from>
    <xdr:to>
      <xdr:col>20</xdr:col>
      <xdr:colOff>255114</xdr:colOff>
      <xdr:row>39</xdr:row>
      <xdr:rowOff>41083</xdr:rowOff>
    </xdr:to>
    <xdr:pic>
      <xdr:nvPicPr>
        <xdr:cNvPr id="67" name="Picture 66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40383" t="34485" r="44945" b="37884"/>
        <a:stretch/>
      </xdr:blipFill>
      <xdr:spPr>
        <a:xfrm>
          <a:off x="13887473" y="6718487"/>
          <a:ext cx="954498" cy="1010632"/>
        </a:xfrm>
        <a:prstGeom prst="rect">
          <a:avLst/>
        </a:prstGeom>
      </xdr:spPr>
    </xdr:pic>
    <xdr:clientData/>
  </xdr:twoCellAnchor>
  <xdr:twoCellAnchor editAs="oneCell">
    <xdr:from>
      <xdr:col>22</xdr:col>
      <xdr:colOff>526528</xdr:colOff>
      <xdr:row>34</xdr:row>
      <xdr:rowOff>4759</xdr:rowOff>
    </xdr:from>
    <xdr:to>
      <xdr:col>25</xdr:col>
      <xdr:colOff>13019</xdr:colOff>
      <xdr:row>39</xdr:row>
      <xdr:rowOff>14003</xdr:rowOff>
    </xdr:to>
    <xdr:pic>
      <xdr:nvPicPr>
        <xdr:cNvPr id="68" name="Picture 67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40014" t="37774" r="41492" b="38322"/>
        <a:stretch/>
      </xdr:blipFill>
      <xdr:spPr>
        <a:xfrm>
          <a:off x="16338028" y="6740295"/>
          <a:ext cx="1323455" cy="961744"/>
        </a:xfrm>
        <a:prstGeom prst="rect">
          <a:avLst/>
        </a:prstGeom>
      </xdr:spPr>
    </xdr:pic>
    <xdr:clientData/>
  </xdr:twoCellAnchor>
  <xdr:twoCellAnchor editAs="oneCell">
    <xdr:from>
      <xdr:col>21</xdr:col>
      <xdr:colOff>96842</xdr:colOff>
      <xdr:row>55</xdr:row>
      <xdr:rowOff>92100</xdr:rowOff>
    </xdr:from>
    <xdr:to>
      <xdr:col>23</xdr:col>
      <xdr:colOff>107420</xdr:colOff>
      <xdr:row>60</xdr:row>
      <xdr:rowOff>13112</xdr:rowOff>
    </xdr:to>
    <xdr:pic>
      <xdr:nvPicPr>
        <xdr:cNvPr id="69" name="Picture 68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8164" t="35141" r="44575" b="43148"/>
        <a:stretch/>
      </xdr:blipFill>
      <xdr:spPr>
        <a:xfrm>
          <a:off x="15296021" y="10828136"/>
          <a:ext cx="1235220" cy="873512"/>
        </a:xfrm>
        <a:prstGeom prst="rect">
          <a:avLst/>
        </a:prstGeom>
      </xdr:spPr>
    </xdr:pic>
    <xdr:clientData/>
  </xdr:twoCellAnchor>
  <xdr:twoCellAnchor>
    <xdr:from>
      <xdr:col>21</xdr:col>
      <xdr:colOff>178514</xdr:colOff>
      <xdr:row>59</xdr:row>
      <xdr:rowOff>158218</xdr:rowOff>
    </xdr:from>
    <xdr:to>
      <xdr:col>22</xdr:col>
      <xdr:colOff>377634</xdr:colOff>
      <xdr:row>61</xdr:row>
      <xdr:rowOff>54217</xdr:rowOff>
    </xdr:to>
    <xdr:sp macro="" textlink="">
      <xdr:nvSpPr>
        <xdr:cNvPr id="70" name="Rectangle 69"/>
        <xdr:cNvSpPr/>
      </xdr:nvSpPr>
      <xdr:spPr>
        <a:xfrm>
          <a:off x="15377693" y="11656254"/>
          <a:ext cx="811441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10a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endParaRPr lang="en-US" sz="1200" b="1" baseline="30000">
            <a:latin typeface="Calibri" panose="020F0502020204030204" pitchFamily="34" charset="0"/>
          </a:endParaRPr>
        </a:p>
      </xdr:txBody>
    </xdr:sp>
    <xdr:clientData/>
  </xdr:twoCellAnchor>
  <xdr:twoCellAnchor editAs="oneCell">
    <xdr:from>
      <xdr:col>18</xdr:col>
      <xdr:colOff>195037</xdr:colOff>
      <xdr:row>55</xdr:row>
      <xdr:rowOff>75154</xdr:rowOff>
    </xdr:from>
    <xdr:to>
      <xdr:col>19</xdr:col>
      <xdr:colOff>526824</xdr:colOff>
      <xdr:row>60</xdr:row>
      <xdr:rowOff>102060</xdr:rowOff>
    </xdr:to>
    <xdr:pic>
      <xdr:nvPicPr>
        <xdr:cNvPr id="71" name="Picture 70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0999" t="35800" r="45808" b="39857"/>
        <a:stretch/>
      </xdr:blipFill>
      <xdr:spPr>
        <a:xfrm>
          <a:off x="13557251" y="10811190"/>
          <a:ext cx="944109" cy="979406"/>
        </a:xfrm>
        <a:prstGeom prst="rect">
          <a:avLst/>
        </a:prstGeom>
      </xdr:spPr>
    </xdr:pic>
    <xdr:clientData/>
  </xdr:twoCellAnchor>
  <xdr:twoCellAnchor>
    <xdr:from>
      <xdr:col>18</xdr:col>
      <xdr:colOff>592780</xdr:colOff>
      <xdr:row>60</xdr:row>
      <xdr:rowOff>36790</xdr:rowOff>
    </xdr:from>
    <xdr:to>
      <xdr:col>20</xdr:col>
      <xdr:colOff>187592</xdr:colOff>
      <xdr:row>61</xdr:row>
      <xdr:rowOff>123289</xdr:rowOff>
    </xdr:to>
    <xdr:sp macro="" textlink="">
      <xdr:nvSpPr>
        <xdr:cNvPr id="72" name="Rectangle 71"/>
        <xdr:cNvSpPr/>
      </xdr:nvSpPr>
      <xdr:spPr>
        <a:xfrm>
          <a:off x="13954994" y="11725326"/>
          <a:ext cx="819455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1"/>
            <a:t>10b</a:t>
          </a:r>
          <a:r>
            <a:rPr lang="en-US" sz="1200">
              <a:latin typeface="Calibri" panose="020F0502020204030204" pitchFamily="34" charset="0"/>
            </a:rPr>
            <a:t>(H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r>
            <a:rPr lang="en-US" sz="1200">
              <a:latin typeface="Calibri" panose="020F0502020204030204" pitchFamily="34" charset="0"/>
            </a:rPr>
            <a:t>O)</a:t>
          </a:r>
          <a:r>
            <a:rPr lang="en-US" sz="1200" baseline="-25000">
              <a:latin typeface="Calibri" panose="020F0502020204030204" pitchFamily="34" charset="0"/>
            </a:rPr>
            <a:t>2</a:t>
          </a:r>
          <a:endParaRPr lang="en-US" sz="1200" b="1" baseline="30000">
            <a:latin typeface="Calibri" panose="020F050202020403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I_reaction_0118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HAs"/>
      <sheetName val="Sheet1"/>
      <sheetName val="acetone"/>
      <sheetName val="dimer"/>
      <sheetName val="DISP"/>
      <sheetName val="A(-.)+O2(-.)_adduct"/>
      <sheetName val="Sheet4"/>
      <sheetName val="oxygen"/>
    </sheetNames>
    <sheetDataSet>
      <sheetData sheetId="0"/>
      <sheetData sheetId="1"/>
      <sheetData sheetId="2"/>
      <sheetData sheetId="3"/>
      <sheetData sheetId="4">
        <row r="5">
          <cell r="M5">
            <v>1</v>
          </cell>
          <cell r="O5">
            <v>0</v>
          </cell>
          <cell r="Q5">
            <v>0</v>
          </cell>
          <cell r="S5">
            <v>0</v>
          </cell>
          <cell r="U5">
            <v>0</v>
          </cell>
        </row>
        <row r="6">
          <cell r="M6">
            <v>2</v>
          </cell>
          <cell r="O6">
            <v>0</v>
          </cell>
          <cell r="Q6">
            <v>0</v>
          </cell>
          <cell r="S6">
            <v>0</v>
          </cell>
          <cell r="U6">
            <v>0</v>
          </cell>
        </row>
        <row r="7">
          <cell r="M7">
            <v>3</v>
          </cell>
          <cell r="O7">
            <v>7.7522523629744864</v>
          </cell>
          <cell r="Q7">
            <v>-1.2843213575825487</v>
          </cell>
          <cell r="S7">
            <v>-1.2843213575825487</v>
          </cell>
          <cell r="U7">
            <v>-1.2843213575825487</v>
          </cell>
        </row>
        <row r="8">
          <cell r="M8">
            <v>4</v>
          </cell>
          <cell r="O8">
            <v>7.7522523629744864</v>
          </cell>
          <cell r="Q8">
            <v>-1.2843213575825487</v>
          </cell>
          <cell r="S8">
            <v>-1.2843213575825487</v>
          </cell>
          <cell r="U8">
            <v>-1.2843213575825487</v>
          </cell>
        </row>
        <row r="9">
          <cell r="M9">
            <v>5</v>
          </cell>
          <cell r="Q9">
            <v>2.973749163822534</v>
          </cell>
          <cell r="S9">
            <v>-4.3701840875997631</v>
          </cell>
          <cell r="U9">
            <v>-3.3607686497079445</v>
          </cell>
        </row>
        <row r="10">
          <cell r="M10">
            <v>6</v>
          </cell>
          <cell r="Q10">
            <v>2.973749163822534</v>
          </cell>
          <cell r="S10">
            <v>-4.3701840875997631</v>
          </cell>
          <cell r="U10">
            <v>-3.3607686497079445</v>
          </cell>
        </row>
        <row r="11">
          <cell r="M11">
            <v>7</v>
          </cell>
          <cell r="S11">
            <v>-5.7357997490935073</v>
          </cell>
          <cell r="U11">
            <v>1.7929668738352742</v>
          </cell>
        </row>
        <row r="12">
          <cell r="M12">
            <v>8</v>
          </cell>
          <cell r="S12">
            <v>-5.7357997490935073</v>
          </cell>
          <cell r="U12">
            <v>1.7929668738352742</v>
          </cell>
        </row>
        <row r="13">
          <cell r="M13">
            <v>9</v>
          </cell>
          <cell r="U13">
            <v>12.289318280301506</v>
          </cell>
        </row>
        <row r="14">
          <cell r="M14">
            <v>10</v>
          </cell>
          <cell r="U14">
            <v>12.289318280301506</v>
          </cell>
        </row>
        <row r="15">
          <cell r="M15">
            <v>11</v>
          </cell>
          <cell r="U15">
            <v>-6.5045331686899406</v>
          </cell>
        </row>
        <row r="16">
          <cell r="M16">
            <v>12</v>
          </cell>
          <cell r="U16">
            <v>-6.5045331686899406</v>
          </cell>
        </row>
        <row r="17">
          <cell r="M17">
            <v>13</v>
          </cell>
          <cell r="U17">
            <v>-8.601042408104556</v>
          </cell>
        </row>
        <row r="18">
          <cell r="M18">
            <v>14</v>
          </cell>
          <cell r="U18">
            <v>-8.601042408104556</v>
          </cell>
        </row>
        <row r="19">
          <cell r="M19">
            <v>15</v>
          </cell>
          <cell r="U19">
            <v>-5.7357997490935073</v>
          </cell>
        </row>
        <row r="20">
          <cell r="M20">
            <v>16</v>
          </cell>
          <cell r="U20">
            <v>-5.7357997490935073</v>
          </cell>
        </row>
      </sheetData>
      <sheetData sheetId="5"/>
      <sheetData sheetId="6">
        <row r="5">
          <cell r="L5">
            <v>1</v>
          </cell>
          <cell r="N5">
            <v>0</v>
          </cell>
          <cell r="Q5">
            <v>0</v>
          </cell>
        </row>
        <row r="6">
          <cell r="L6">
            <v>2</v>
          </cell>
          <cell r="N6">
            <v>0</v>
          </cell>
          <cell r="Q6">
            <v>0</v>
          </cell>
        </row>
        <row r="7">
          <cell r="L7">
            <v>3</v>
          </cell>
          <cell r="N7">
            <v>-5.3959541905380535</v>
          </cell>
          <cell r="Q7">
            <v>-5.3959541905380535</v>
          </cell>
        </row>
        <row r="8">
          <cell r="L8">
            <v>4</v>
          </cell>
          <cell r="N8">
            <v>-5.3959541905380535</v>
          </cell>
          <cell r="Q8">
            <v>-5.3959541905380535</v>
          </cell>
        </row>
        <row r="9">
          <cell r="L9">
            <v>5</v>
          </cell>
          <cell r="N9">
            <v>-28.268255043004785</v>
          </cell>
          <cell r="Q9">
            <v>-28.268255043004785</v>
          </cell>
        </row>
        <row r="10">
          <cell r="L10">
            <v>6</v>
          </cell>
          <cell r="N10">
            <v>-28.268255043004785</v>
          </cell>
          <cell r="Q10">
            <v>-28.268255043004785</v>
          </cell>
        </row>
        <row r="11">
          <cell r="L11">
            <v>7</v>
          </cell>
          <cell r="N11">
            <v>-38.601033557027336</v>
          </cell>
          <cell r="O11" t="str">
            <v>HA--OOHa</v>
          </cell>
          <cell r="Q11">
            <v>-38.601033557027336</v>
          </cell>
        </row>
        <row r="12">
          <cell r="L12">
            <v>8</v>
          </cell>
          <cell r="N12">
            <v>-38.601033557027336</v>
          </cell>
          <cell r="Q12">
            <v>-38.601033557027336</v>
          </cell>
        </row>
        <row r="13">
          <cell r="L13">
            <v>9</v>
          </cell>
          <cell r="N13">
            <v>-20.504287086488603</v>
          </cell>
          <cell r="Q13">
            <v>-37.395587807503262</v>
          </cell>
        </row>
        <row r="14">
          <cell r="L14">
            <v>10</v>
          </cell>
          <cell r="N14">
            <v>-20.504287086488603</v>
          </cell>
          <cell r="Q14">
            <v>-37.395587807503262</v>
          </cell>
        </row>
        <row r="15">
          <cell r="L15">
            <v>11</v>
          </cell>
          <cell r="N15">
            <v>-33.76230780254491</v>
          </cell>
          <cell r="Q15">
            <v>-29.729304246025663</v>
          </cell>
          <cell r="R15">
            <v>7.6662835614775986</v>
          </cell>
        </row>
        <row r="16">
          <cell r="L16">
            <v>12</v>
          </cell>
          <cell r="N16">
            <v>-33.76230780254491</v>
          </cell>
          <cell r="Q16">
            <v>-29.729304246025663</v>
          </cell>
        </row>
        <row r="17">
          <cell r="L17">
            <v>13</v>
          </cell>
          <cell r="N17">
            <v>-35.287783396974419</v>
          </cell>
          <cell r="Q17">
            <v>-49.156370856487342</v>
          </cell>
        </row>
        <row r="18">
          <cell r="L18">
            <v>14</v>
          </cell>
          <cell r="N18">
            <v>-35.287783396974419</v>
          </cell>
          <cell r="Q18">
            <v>-49.156370856487342</v>
          </cell>
        </row>
        <row r="19">
          <cell r="L19">
            <v>15</v>
          </cell>
          <cell r="N19">
            <v>-24.234831064058085</v>
          </cell>
          <cell r="Q19">
            <v>-45.15662530352688</v>
          </cell>
          <cell r="R19">
            <v>-6.5555917464995446</v>
          </cell>
        </row>
        <row r="20">
          <cell r="L20">
            <v>16</v>
          </cell>
          <cell r="N20">
            <v>-24.234831064058085</v>
          </cell>
          <cell r="Q20">
            <v>-45.15662530352688</v>
          </cell>
        </row>
        <row r="21">
          <cell r="L21">
            <v>17</v>
          </cell>
          <cell r="N21">
            <v>-42.471856715461008</v>
          </cell>
          <cell r="Q21">
            <v>-26.029508234021364</v>
          </cell>
          <cell r="R21">
            <v>19.127117069505516</v>
          </cell>
        </row>
        <row r="22">
          <cell r="L22">
            <v>18</v>
          </cell>
          <cell r="N22">
            <v>-42.471856715461008</v>
          </cell>
          <cell r="Q22">
            <v>-26.029508234021364</v>
          </cell>
        </row>
        <row r="23">
          <cell r="L23">
            <v>19</v>
          </cell>
          <cell r="Q23">
            <v>-42.471856715461008</v>
          </cell>
          <cell r="R23">
            <v>2.6847685880658716</v>
          </cell>
        </row>
        <row r="24">
          <cell r="L24">
            <v>20</v>
          </cell>
          <cell r="Q24">
            <v>-42.471856715461008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3"/>
  <sheetViews>
    <sheetView zoomScale="90" zoomScaleNormal="90" workbookViewId="0">
      <pane ySplit="12" topLeftCell="A13" activePane="bottomLeft" state="frozen"/>
      <selection pane="bottomLeft" activeCell="C51" sqref="C51"/>
    </sheetView>
  </sheetViews>
  <sheetFormatPr defaultRowHeight="15" x14ac:dyDescent="0.25"/>
  <cols>
    <col min="1" max="1" width="12.7109375" style="91" customWidth="1"/>
    <col min="2" max="9" width="12.7109375" style="92" customWidth="1"/>
    <col min="10" max="10" width="1.7109375" style="104" customWidth="1"/>
    <col min="11" max="12" width="12.7109375" style="92" customWidth="1"/>
    <col min="13" max="13" width="1.7109375" style="92" customWidth="1"/>
    <col min="14" max="15" width="12.7109375" style="92" customWidth="1"/>
    <col min="16" max="16384" width="9.140625" style="91"/>
  </cols>
  <sheetData>
    <row r="1" spans="1:15" x14ac:dyDescent="0.25">
      <c r="J1" s="123"/>
    </row>
    <row r="2" spans="1:15" s="124" customFormat="1" ht="15" customHeight="1" x14ac:dyDescent="0.25">
      <c r="B2" s="146" t="s">
        <v>146</v>
      </c>
      <c r="C2" s="146"/>
      <c r="D2" s="146"/>
      <c r="E2" s="146"/>
      <c r="F2" s="146"/>
      <c r="G2" s="146"/>
      <c r="H2" s="146"/>
      <c r="I2" s="146"/>
      <c r="J2" s="125"/>
      <c r="K2" s="73"/>
      <c r="L2" s="73"/>
      <c r="M2" s="73"/>
      <c r="N2" s="73"/>
      <c r="O2" s="73"/>
    </row>
    <row r="3" spans="1:15" s="124" customFormat="1" ht="15" customHeight="1" x14ac:dyDescent="0.25">
      <c r="B3" s="126"/>
      <c r="C3" s="126"/>
      <c r="D3" s="126"/>
      <c r="E3" s="126"/>
      <c r="F3" s="126"/>
      <c r="G3" s="126"/>
      <c r="H3" s="126"/>
      <c r="I3" s="126"/>
      <c r="J3" s="125"/>
      <c r="K3" s="73"/>
      <c r="L3" s="73"/>
      <c r="M3" s="73"/>
      <c r="N3" s="73"/>
      <c r="O3" s="73"/>
    </row>
    <row r="4" spans="1:15" s="124" customFormat="1" ht="15" customHeight="1" x14ac:dyDescent="0.25">
      <c r="B4" s="147" t="s">
        <v>147</v>
      </c>
      <c r="C4" s="147"/>
      <c r="D4" s="147"/>
      <c r="E4" s="147"/>
      <c r="F4" s="147"/>
      <c r="G4" s="147"/>
      <c r="H4" s="147"/>
      <c r="I4" s="147"/>
      <c r="J4" s="125"/>
      <c r="K4" s="73"/>
      <c r="L4" s="73"/>
      <c r="M4" s="73"/>
      <c r="N4" s="73"/>
      <c r="O4" s="73"/>
    </row>
    <row r="5" spans="1:15" s="124" customFormat="1" ht="15" customHeight="1" x14ac:dyDescent="0.25">
      <c r="B5" s="148" t="s">
        <v>148</v>
      </c>
      <c r="C5" s="148"/>
      <c r="D5" s="148"/>
      <c r="E5" s="148"/>
      <c r="F5" s="148"/>
      <c r="G5" s="148"/>
      <c r="H5" s="148"/>
      <c r="I5" s="148"/>
      <c r="J5" s="125"/>
      <c r="K5" s="73"/>
      <c r="L5" s="73"/>
      <c r="M5" s="73"/>
      <c r="N5" s="73"/>
      <c r="O5" s="73"/>
    </row>
    <row r="6" spans="1:15" s="124" customFormat="1" ht="15" customHeight="1" x14ac:dyDescent="0.25">
      <c r="B6" s="148" t="s">
        <v>149</v>
      </c>
      <c r="C6" s="148"/>
      <c r="D6" s="148"/>
      <c r="E6" s="148"/>
      <c r="F6" s="148"/>
      <c r="G6" s="148"/>
      <c r="H6" s="148"/>
      <c r="I6" s="148"/>
      <c r="J6" s="125"/>
      <c r="K6" s="73"/>
      <c r="L6" s="73"/>
      <c r="M6" s="73"/>
      <c r="N6" s="73"/>
      <c r="O6" s="73"/>
    </row>
    <row r="7" spans="1:15" x14ac:dyDescent="0.25">
      <c r="J7" s="123"/>
    </row>
    <row r="8" spans="1:15" x14ac:dyDescent="0.25">
      <c r="B8" s="93" t="s">
        <v>1</v>
      </c>
      <c r="C8" s="93" t="s">
        <v>2</v>
      </c>
      <c r="D8" s="93" t="s">
        <v>3</v>
      </c>
      <c r="E8" s="93" t="s">
        <v>4</v>
      </c>
      <c r="F8" s="93" t="s">
        <v>10</v>
      </c>
      <c r="G8" s="93" t="s">
        <v>6</v>
      </c>
      <c r="H8" s="93" t="s">
        <v>5</v>
      </c>
      <c r="J8" s="123"/>
    </row>
    <row r="9" spans="1:15" x14ac:dyDescent="0.25">
      <c r="B9" s="93"/>
      <c r="C9" s="93">
        <v>627.5095</v>
      </c>
      <c r="D9" s="93">
        <v>1.9858775000000002E-3</v>
      </c>
      <c r="E9" s="93">
        <v>298.14999999999998</v>
      </c>
      <c r="F9" s="92">
        <f>LN(10)*D9*E9</f>
        <v>1.3633361723368622</v>
      </c>
      <c r="G9" s="93">
        <f>-6.287-265.9+1.89</f>
        <v>-270.29699999999997</v>
      </c>
      <c r="H9" s="93">
        <v>23.060369999999999</v>
      </c>
      <c r="J9" s="123"/>
    </row>
    <row r="10" spans="1:15" x14ac:dyDescent="0.25">
      <c r="B10" s="93"/>
      <c r="C10" s="93"/>
      <c r="D10" s="93"/>
      <c r="E10" s="93"/>
      <c r="G10" s="93"/>
      <c r="H10" s="93"/>
      <c r="J10" s="123"/>
    </row>
    <row r="11" spans="1:15" x14ac:dyDescent="0.25">
      <c r="A11" s="111"/>
      <c r="B11" s="106"/>
      <c r="C11" s="145" t="s">
        <v>0</v>
      </c>
      <c r="D11" s="145"/>
      <c r="E11" s="145"/>
      <c r="F11" s="145"/>
      <c r="G11" s="145"/>
      <c r="H11" s="145"/>
      <c r="I11" s="145"/>
      <c r="J11" s="111"/>
      <c r="K11" s="106" t="s">
        <v>112</v>
      </c>
      <c r="L11" s="106"/>
      <c r="M11" s="106"/>
      <c r="N11" s="106" t="s">
        <v>9</v>
      </c>
      <c r="O11" s="106"/>
    </row>
    <row r="12" spans="1:15" x14ac:dyDescent="0.25">
      <c r="A12" s="112"/>
      <c r="B12" s="113" t="s">
        <v>97</v>
      </c>
      <c r="C12" s="113" t="s">
        <v>113</v>
      </c>
      <c r="D12" s="113" t="s">
        <v>99</v>
      </c>
      <c r="E12" s="113" t="s">
        <v>64</v>
      </c>
      <c r="F12" s="113" t="s">
        <v>65</v>
      </c>
      <c r="G12" s="113" t="s">
        <v>66</v>
      </c>
      <c r="H12" s="113" t="s">
        <v>7</v>
      </c>
      <c r="I12" s="113" t="s">
        <v>111</v>
      </c>
      <c r="J12" s="112"/>
      <c r="K12" s="113" t="s">
        <v>42</v>
      </c>
      <c r="L12" s="113" t="s">
        <v>43</v>
      </c>
      <c r="M12" s="113"/>
      <c r="N12" s="113" t="s">
        <v>42</v>
      </c>
      <c r="O12" s="113" t="s">
        <v>43</v>
      </c>
    </row>
    <row r="13" spans="1:15" ht="15" customHeight="1" x14ac:dyDescent="0.35">
      <c r="A13" s="90" t="s">
        <v>98</v>
      </c>
      <c r="B13" s="32" t="s">
        <v>100</v>
      </c>
      <c r="C13" s="92">
        <v>-684.85350245500001</v>
      </c>
      <c r="D13" s="92">
        <v>0.111507</v>
      </c>
      <c r="E13" s="92">
        <f>C13+D13</f>
        <v>-684.74199545500005</v>
      </c>
      <c r="F13" s="95">
        <f t="shared" ref="F13:F23" si="0">(C13+D13)*$C$9</f>
        <v>-429682.10719696933</v>
      </c>
      <c r="G13" s="96">
        <f t="shared" ref="G13:G23" si="1">F13-$F$18</f>
        <v>1.3909846208407544</v>
      </c>
      <c r="H13" s="97">
        <f t="shared" ref="H13:H23" si="2">EXP(-G13/($D$9*$E$9))</f>
        <v>9.5437709260673118E-2</v>
      </c>
      <c r="I13" s="98">
        <f>H13/SUM($H$13:$H$23)</f>
        <v>2.8309040979766647E-2</v>
      </c>
      <c r="J13" s="119"/>
      <c r="K13" s="100">
        <f t="shared" ref="K13:K23" si="3">(F25+$G$9-F$13)/$F$9</f>
        <v>4.8304227575295249</v>
      </c>
      <c r="L13" s="96">
        <f t="shared" ref="L13:L22" si="4">(F37+$G$9-F$25)/$F$9</f>
        <v>14.569750475729096</v>
      </c>
      <c r="M13" s="96"/>
      <c r="N13" s="96">
        <f t="shared" ref="N13:N23" si="5">K13+LOG10(I25/I$13)</f>
        <v>3.7762168109662086</v>
      </c>
      <c r="O13" s="96">
        <f t="shared" ref="O13:O22" si="6">L13+LOG10(I37/I$25)</f>
        <v>14.685842830810083</v>
      </c>
    </row>
    <row r="14" spans="1:15" ht="15" customHeight="1" x14ac:dyDescent="0.35">
      <c r="B14" s="32" t="s">
        <v>101</v>
      </c>
      <c r="C14" s="92">
        <v>-684.85062900299999</v>
      </c>
      <c r="D14" s="92">
        <v>0.111611</v>
      </c>
      <c r="E14" s="92">
        <f t="shared" ref="E14:E23" si="7">C14+D14</f>
        <v>-684.73901800299996</v>
      </c>
      <c r="F14" s="95">
        <f t="shared" si="0"/>
        <v>-429680.2388175535</v>
      </c>
      <c r="G14" s="96">
        <f t="shared" si="1"/>
        <v>3.2593640366685577</v>
      </c>
      <c r="H14" s="97">
        <f t="shared" si="2"/>
        <v>4.0669928716881082E-3</v>
      </c>
      <c r="I14" s="98">
        <f t="shared" ref="I14:I23" si="8">H14/SUM($H$13:$H$23)</f>
        <v>1.2063645362083313E-3</v>
      </c>
      <c r="K14" s="100">
        <f t="shared" si="3"/>
        <v>6.0649156371006363</v>
      </c>
      <c r="L14" s="96">
        <f t="shared" si="4"/>
        <v>15.660786237110781</v>
      </c>
      <c r="M14" s="96"/>
      <c r="N14" s="96">
        <f t="shared" si="5"/>
        <v>3.7762168109662082</v>
      </c>
      <c r="O14" s="96">
        <f t="shared" si="6"/>
        <v>14.685842830810083</v>
      </c>
    </row>
    <row r="15" spans="1:15" ht="15" customHeight="1" x14ac:dyDescent="0.35">
      <c r="B15" s="32" t="s">
        <v>102</v>
      </c>
      <c r="C15" s="92">
        <v>-684.85454239000001</v>
      </c>
      <c r="D15" s="92">
        <v>0.11225499999999999</v>
      </c>
      <c r="E15" s="92">
        <f t="shared" si="7"/>
        <v>-684.74228739</v>
      </c>
      <c r="F15" s="95">
        <f t="shared" si="0"/>
        <v>-429682.29038895521</v>
      </c>
      <c r="G15" s="96">
        <f t="shared" si="1"/>
        <v>1.2077926349593326</v>
      </c>
      <c r="H15" s="97">
        <f t="shared" si="2"/>
        <v>0.13004401713270725</v>
      </c>
      <c r="I15" s="98">
        <f t="shared" si="8"/>
        <v>3.857407557979059E-2</v>
      </c>
      <c r="K15" s="100">
        <f t="shared" si="3"/>
        <v>3.9500709542285564</v>
      </c>
      <c r="L15" s="96">
        <f t="shared" si="4"/>
        <v>13.997642970961234</v>
      </c>
      <c r="M15" s="96"/>
      <c r="N15" s="96">
        <f t="shared" si="5"/>
        <v>3.7762168109662086</v>
      </c>
      <c r="O15" s="96">
        <f t="shared" si="6"/>
        <v>14.685842830810083</v>
      </c>
    </row>
    <row r="16" spans="1:15" ht="15" customHeight="1" x14ac:dyDescent="0.35">
      <c r="B16" s="32" t="s">
        <v>103</v>
      </c>
      <c r="C16" s="92">
        <v>-684.85294385899999</v>
      </c>
      <c r="D16" s="92">
        <v>0.110945</v>
      </c>
      <c r="E16" s="92">
        <f t="shared" si="7"/>
        <v>-684.74199885899998</v>
      </c>
      <c r="F16" s="95">
        <f t="shared" si="0"/>
        <v>-429682.10933301167</v>
      </c>
      <c r="G16" s="96">
        <f t="shared" si="1"/>
        <v>1.3888485784991644</v>
      </c>
      <c r="H16" s="97">
        <f t="shared" si="2"/>
        <v>9.5782635488096249E-2</v>
      </c>
      <c r="I16" s="98">
        <f t="shared" si="8"/>
        <v>2.8411354109270284E-2</v>
      </c>
      <c r="K16" s="100">
        <f t="shared" si="3"/>
        <v>3.4854164795768194</v>
      </c>
      <c r="L16" s="96">
        <f t="shared" si="4"/>
        <v>13.382323011992266</v>
      </c>
      <c r="M16" s="96"/>
      <c r="N16" s="96">
        <f t="shared" si="5"/>
        <v>3.7762168109662086</v>
      </c>
      <c r="O16" s="96">
        <f t="shared" si="6"/>
        <v>14.685842830810083</v>
      </c>
    </row>
    <row r="17" spans="1:15" ht="15" customHeight="1" x14ac:dyDescent="0.35">
      <c r="B17" s="32" t="s">
        <v>104</v>
      </c>
      <c r="C17" s="92">
        <v>-684.852678148</v>
      </c>
      <c r="D17" s="92">
        <v>0.109351</v>
      </c>
      <c r="E17" s="92">
        <f t="shared" si="7"/>
        <v>-684.74332714800005</v>
      </c>
      <c r="F17" s="95">
        <f t="shared" si="0"/>
        <v>-429682.94284697797</v>
      </c>
      <c r="G17" s="96">
        <f t="shared" si="1"/>
        <v>0.55533461220329627</v>
      </c>
      <c r="H17" s="97">
        <f t="shared" si="2"/>
        <v>0.39143976936072805</v>
      </c>
      <c r="I17" s="98">
        <f t="shared" si="8"/>
        <v>0.11611012625708006</v>
      </c>
      <c r="K17" s="100">
        <f t="shared" si="3"/>
        <v>3.8646144643610012</v>
      </c>
      <c r="L17" s="96">
        <f t="shared" si="4"/>
        <v>14.001692470096044</v>
      </c>
      <c r="M17" s="96"/>
      <c r="N17" s="96">
        <f t="shared" si="5"/>
        <v>3.7762168109662086</v>
      </c>
      <c r="O17" s="96">
        <f t="shared" si="6"/>
        <v>14.685842830810083</v>
      </c>
    </row>
    <row r="18" spans="1:15" ht="15" customHeight="1" x14ac:dyDescent="0.35">
      <c r="B18" s="32" t="s">
        <v>105</v>
      </c>
      <c r="C18" s="92">
        <v>-684.85608712999999</v>
      </c>
      <c r="D18" s="92">
        <v>0.111875</v>
      </c>
      <c r="E18" s="92">
        <f t="shared" si="7"/>
        <v>-684.74421212999994</v>
      </c>
      <c r="F18" s="95">
        <f t="shared" si="0"/>
        <v>-429683.49818159017</v>
      </c>
      <c r="G18" s="96">
        <f t="shared" si="1"/>
        <v>0</v>
      </c>
      <c r="H18" s="97">
        <f t="shared" si="2"/>
        <v>1</v>
      </c>
      <c r="I18" s="98">
        <f t="shared" si="8"/>
        <v>0.29662322366146643</v>
      </c>
      <c r="J18" s="120"/>
      <c r="K18" s="100">
        <f t="shared" si="3"/>
        <v>2.9005938790934489</v>
      </c>
      <c r="L18" s="96">
        <f t="shared" si="4"/>
        <v>12.581671499938061</v>
      </c>
      <c r="M18" s="96"/>
      <c r="N18" s="96">
        <f t="shared" si="5"/>
        <v>3.7762168109662086</v>
      </c>
      <c r="O18" s="96">
        <f t="shared" si="6"/>
        <v>14.685842830810083</v>
      </c>
    </row>
    <row r="19" spans="1:15" ht="15" customHeight="1" x14ac:dyDescent="0.35">
      <c r="B19" s="32" t="s">
        <v>106</v>
      </c>
      <c r="C19" s="92">
        <v>-684.85531513399997</v>
      </c>
      <c r="D19" s="92">
        <v>0.112027</v>
      </c>
      <c r="E19" s="92">
        <f t="shared" si="7"/>
        <v>-684.74328813399995</v>
      </c>
      <c r="F19" s="95">
        <f t="shared" si="0"/>
        <v>-429682.91836532223</v>
      </c>
      <c r="G19" s="96">
        <f t="shared" si="1"/>
        <v>0.57981626794207841</v>
      </c>
      <c r="H19" s="97">
        <f t="shared" si="2"/>
        <v>0.37558460247788528</v>
      </c>
      <c r="I19" s="98">
        <f t="shared" si="8"/>
        <v>0.11140711554460071</v>
      </c>
      <c r="K19" s="100">
        <f t="shared" si="3"/>
        <v>3.0022488255817454</v>
      </c>
      <c r="L19" s="96">
        <f t="shared" si="4"/>
        <v>12.63223592610907</v>
      </c>
      <c r="M19" s="96"/>
      <c r="N19" s="96">
        <f t="shared" si="5"/>
        <v>3.7762168109662086</v>
      </c>
      <c r="O19" s="96">
        <f t="shared" si="6"/>
        <v>14.685842830810085</v>
      </c>
    </row>
    <row r="20" spans="1:15" ht="15" customHeight="1" x14ac:dyDescent="0.35">
      <c r="B20" s="32" t="s">
        <v>107</v>
      </c>
      <c r="C20" s="92">
        <v>-684.85506929099995</v>
      </c>
      <c r="D20" s="92">
        <v>0.11173</v>
      </c>
      <c r="E20" s="92">
        <f t="shared" si="7"/>
        <v>-684.74333929099998</v>
      </c>
      <c r="F20" s="95">
        <f t="shared" si="0"/>
        <v>-429682.95046682574</v>
      </c>
      <c r="G20" s="96">
        <f t="shared" si="1"/>
        <v>0.54771476442692801</v>
      </c>
      <c r="H20" s="97">
        <f t="shared" si="2"/>
        <v>0.39650992778536387</v>
      </c>
      <c r="I20" s="98">
        <f t="shared" si="8"/>
        <v>0.11761405299346987</v>
      </c>
      <c r="K20" s="100">
        <f t="shared" si="3"/>
        <v>2.6689922652688045</v>
      </c>
      <c r="L20" s="96">
        <f t="shared" si="4"/>
        <v>12.609229542571088</v>
      </c>
      <c r="M20" s="96"/>
      <c r="N20" s="96">
        <f t="shared" si="5"/>
        <v>3.7762168109662086</v>
      </c>
      <c r="O20" s="96">
        <f t="shared" si="6"/>
        <v>14.685842830810085</v>
      </c>
    </row>
    <row r="21" spans="1:15" ht="15" customHeight="1" x14ac:dyDescent="0.35">
      <c r="B21" s="32" t="s">
        <v>108</v>
      </c>
      <c r="C21" s="92">
        <v>-684.854590293</v>
      </c>
      <c r="D21" s="92">
        <v>0.11244800000000001</v>
      </c>
      <c r="E21" s="92">
        <f t="shared" si="7"/>
        <v>-684.74214229300003</v>
      </c>
      <c r="F21" s="95">
        <f t="shared" si="0"/>
        <v>-429682.1993392093</v>
      </c>
      <c r="G21" s="96">
        <f t="shared" si="1"/>
        <v>1.298842380871065</v>
      </c>
      <c r="H21" s="97">
        <f t="shared" si="2"/>
        <v>0.11150795753043422</v>
      </c>
      <c r="I21" s="98">
        <f t="shared" si="8"/>
        <v>3.3075849826583285E-2</v>
      </c>
      <c r="K21" s="100">
        <f t="shared" si="3"/>
        <v>4.0642150014184297</v>
      </c>
      <c r="L21" s="96">
        <f t="shared" si="4"/>
        <v>14.008367377528714</v>
      </c>
      <c r="M21" s="96"/>
      <c r="N21" s="96">
        <f t="shared" si="5"/>
        <v>3.7762168109662086</v>
      </c>
      <c r="O21" s="96">
        <f t="shared" si="6"/>
        <v>14.685842830810083</v>
      </c>
    </row>
    <row r="22" spans="1:15" ht="15" customHeight="1" x14ac:dyDescent="0.35">
      <c r="B22" s="32" t="s">
        <v>109</v>
      </c>
      <c r="C22" s="92">
        <v>-684.85426876099996</v>
      </c>
      <c r="D22" s="92">
        <v>0.112827</v>
      </c>
      <c r="E22" s="92">
        <f t="shared" si="7"/>
        <v>-684.74144176099992</v>
      </c>
      <c r="F22" s="95">
        <f t="shared" si="0"/>
        <v>-429681.75974872417</v>
      </c>
      <c r="G22" s="96">
        <f t="shared" si="1"/>
        <v>1.7384328659973107</v>
      </c>
      <c r="H22" s="97">
        <f t="shared" si="2"/>
        <v>5.3072375117267381E-2</v>
      </c>
      <c r="I22" s="98">
        <f t="shared" si="8"/>
        <v>1.5742498994654446E-2</v>
      </c>
      <c r="K22" s="100">
        <f t="shared" si="3"/>
        <v>3.6720082655318156</v>
      </c>
      <c r="L22" s="96">
        <f t="shared" si="4"/>
        <v>14.016524370318365</v>
      </c>
      <c r="M22" s="96"/>
      <c r="N22" s="96">
        <f t="shared" si="5"/>
        <v>3.7762168109662086</v>
      </c>
      <c r="O22" s="96">
        <f t="shared" si="6"/>
        <v>14.685842830810083</v>
      </c>
    </row>
    <row r="23" spans="1:15" ht="15" customHeight="1" x14ac:dyDescent="0.35">
      <c r="B23" s="32" t="s">
        <v>110</v>
      </c>
      <c r="C23" s="92">
        <v>-684.85634032600001</v>
      </c>
      <c r="D23" s="92">
        <v>0.112441</v>
      </c>
      <c r="E23" s="92">
        <f t="shared" si="7"/>
        <v>-684.74389932600002</v>
      </c>
      <c r="F23" s="95">
        <f t="shared" si="0"/>
        <v>-429683.30189410859</v>
      </c>
      <c r="G23" s="96">
        <f t="shared" si="1"/>
        <v>0.19628748157992959</v>
      </c>
      <c r="H23" s="97">
        <f t="shared" si="2"/>
        <v>0.71783421031159833</v>
      </c>
      <c r="I23" s="98">
        <f t="shared" si="8"/>
        <v>0.21292629751710934</v>
      </c>
      <c r="K23" s="100">
        <f t="shared" si="3"/>
        <v>3.2018875654998675</v>
      </c>
      <c r="L23" s="96"/>
      <c r="M23" s="96"/>
      <c r="N23" s="96">
        <f t="shared" si="5"/>
        <v>3.7762168109662086</v>
      </c>
      <c r="O23" s="96"/>
    </row>
    <row r="24" spans="1:15" x14ac:dyDescent="0.25">
      <c r="A24" s="104"/>
      <c r="B24" s="110"/>
      <c r="C24" s="105"/>
      <c r="D24" s="105"/>
      <c r="E24" s="105"/>
      <c r="F24" s="105"/>
      <c r="G24" s="105"/>
      <c r="H24" s="105"/>
      <c r="I24" s="105"/>
      <c r="J24" s="121"/>
      <c r="K24" s="100">
        <f t="shared" ref="K24:K34" si="9">(F25+$G$9-F$14)/$F$9</f>
        <v>3.4599761620832536</v>
      </c>
      <c r="L24" s="96">
        <f t="shared" ref="L24:L33" si="10">(F37+$G$9-F$26)/$F$9</f>
        <v>13.335257596157984</v>
      </c>
      <c r="M24" s="96"/>
      <c r="N24" s="96">
        <f>K24+LOG10(I25/I$14)</f>
        <v>3.7762168109662086</v>
      </c>
      <c r="O24" s="96">
        <f>L24+LOG10(I37/I$26)</f>
        <v>14.685842830810083</v>
      </c>
    </row>
    <row r="25" spans="1:15" ht="15" customHeight="1" x14ac:dyDescent="0.25">
      <c r="A25" s="90" t="s">
        <v>115</v>
      </c>
      <c r="B25" s="32" t="s">
        <v>116</v>
      </c>
      <c r="C25" s="94">
        <v>-684.39948613900003</v>
      </c>
      <c r="D25" s="94">
        <v>9.8730999999999999E-2</v>
      </c>
      <c r="E25" s="92">
        <f>C25+D25</f>
        <v>-684.30075513899999</v>
      </c>
      <c r="F25" s="95">
        <f t="shared" ref="F25:F35" si="11">(C25+D25)*$C$9</f>
        <v>-429405.22470689629</v>
      </c>
      <c r="G25" s="96">
        <f t="shared" ref="G25:G35" si="12">F25-$F$32</f>
        <v>2.94675637409091</v>
      </c>
      <c r="H25" s="97">
        <f t="shared" ref="H25:H35" si="13">EXP(-G25/($D$9*$E$9))</f>
        <v>6.8955594603429416E-3</v>
      </c>
      <c r="I25" s="98">
        <f>H25/SUM($H$25:$H$35)</f>
        <v>2.4987293067990544E-3</v>
      </c>
      <c r="J25" s="122"/>
      <c r="K25" s="100">
        <f t="shared" si="9"/>
        <v>4.694469041654366</v>
      </c>
      <c r="L25" s="96">
        <f t="shared" si="10"/>
        <v>14.426293357539668</v>
      </c>
      <c r="M25" s="96"/>
      <c r="N25" s="96">
        <f t="shared" ref="N25:N34" si="14">K25+LOG10(I26/I$14)</f>
        <v>3.7762168109662086</v>
      </c>
      <c r="O25" s="96">
        <f t="shared" ref="O25:O33" si="15">L25+LOG10(I38/I$26)</f>
        <v>14.685842830810083</v>
      </c>
    </row>
    <row r="26" spans="1:15" ht="15" customHeight="1" x14ac:dyDescent="0.25">
      <c r="B26" s="32" t="s">
        <v>117</v>
      </c>
      <c r="C26" s="94">
        <v>-684.39550306199999</v>
      </c>
      <c r="D26" s="94">
        <v>9.7430000000000003E-2</v>
      </c>
      <c r="E26" s="92">
        <f t="shared" ref="E26:E35" si="16">C26+D26</f>
        <v>-684.29807306199996</v>
      </c>
      <c r="F26" s="95">
        <f t="shared" si="11"/>
        <v>-429403.54167809908</v>
      </c>
      <c r="G26" s="96">
        <f t="shared" si="12"/>
        <v>4.6297851713025011</v>
      </c>
      <c r="H26" s="97">
        <f t="shared" si="13"/>
        <v>4.0186171023051187E-4</v>
      </c>
      <c r="I26" s="98">
        <f t="shared" ref="I26:I35" si="17">H26/SUM($H$25:$H$35)</f>
        <v>1.4562177853853639E-4</v>
      </c>
      <c r="J26" s="122"/>
      <c r="K26" s="100">
        <f t="shared" si="9"/>
        <v>2.5796243587822856</v>
      </c>
      <c r="L26" s="96">
        <f t="shared" si="10"/>
        <v>12.763150091390123</v>
      </c>
      <c r="M26" s="96"/>
      <c r="N26" s="96">
        <f t="shared" si="14"/>
        <v>3.7762168109662086</v>
      </c>
      <c r="O26" s="96">
        <f t="shared" si="15"/>
        <v>14.685842830810085</v>
      </c>
    </row>
    <row r="27" spans="1:15" ht="15" customHeight="1" x14ac:dyDescent="0.25">
      <c r="B27" s="32" t="s">
        <v>118</v>
      </c>
      <c r="C27" s="94">
        <v>-684.39973680399999</v>
      </c>
      <c r="D27" s="94">
        <v>9.7069000000000003E-2</v>
      </c>
      <c r="E27" s="92">
        <f t="shared" si="16"/>
        <v>-684.30266780399995</v>
      </c>
      <c r="F27" s="95">
        <f t="shared" si="11"/>
        <v>-429406.42492235411</v>
      </c>
      <c r="G27" s="96">
        <f t="shared" si="12"/>
        <v>1.7465409162687138</v>
      </c>
      <c r="H27" s="97">
        <f t="shared" si="13"/>
        <v>5.2350557505053213E-2</v>
      </c>
      <c r="I27" s="98">
        <f t="shared" si="17"/>
        <v>1.8970160871999788E-2</v>
      </c>
      <c r="J27" s="122"/>
      <c r="K27" s="100">
        <f t="shared" si="9"/>
        <v>2.1149698841305486</v>
      </c>
      <c r="L27" s="96">
        <f t="shared" si="10"/>
        <v>12.147830132421154</v>
      </c>
      <c r="M27" s="96"/>
      <c r="N27" s="96">
        <f t="shared" si="14"/>
        <v>3.7762168109662086</v>
      </c>
      <c r="O27" s="96">
        <f t="shared" si="15"/>
        <v>14.685842830810083</v>
      </c>
    </row>
    <row r="28" spans="1:15" ht="15" customHeight="1" x14ac:dyDescent="0.25">
      <c r="B28" s="32" t="s">
        <v>119</v>
      </c>
      <c r="C28" s="94">
        <v>-684.40174731900004</v>
      </c>
      <c r="D28" s="94">
        <v>9.8070000000000004E-2</v>
      </c>
      <c r="E28" s="92">
        <f t="shared" si="16"/>
        <v>-684.30367731900003</v>
      </c>
      <c r="F28" s="95">
        <f t="shared" si="11"/>
        <v>-429407.05840260704</v>
      </c>
      <c r="G28" s="96">
        <f t="shared" si="12"/>
        <v>1.1130606633378193</v>
      </c>
      <c r="H28" s="97">
        <f t="shared" si="13"/>
        <v>0.15260746761896435</v>
      </c>
      <c r="I28" s="98">
        <f t="shared" si="17"/>
        <v>5.5300045481288508E-2</v>
      </c>
      <c r="J28" s="122"/>
      <c r="K28" s="100">
        <f t="shared" si="9"/>
        <v>2.4941678689147304</v>
      </c>
      <c r="L28" s="96">
        <f t="shared" si="10"/>
        <v>12.767199590524932</v>
      </c>
      <c r="M28" s="96"/>
      <c r="N28" s="96">
        <f t="shared" si="14"/>
        <v>3.7762168109662086</v>
      </c>
      <c r="O28" s="96">
        <f t="shared" si="15"/>
        <v>14.685842830810083</v>
      </c>
    </row>
    <row r="29" spans="1:15" ht="15" customHeight="1" x14ac:dyDescent="0.25">
      <c r="B29" s="32" t="s">
        <v>120</v>
      </c>
      <c r="C29" s="94">
        <v>-684.39971646799995</v>
      </c>
      <c r="D29" s="94">
        <v>9.6863000000000005E-2</v>
      </c>
      <c r="E29" s="92">
        <f t="shared" si="16"/>
        <v>-684.30285346799997</v>
      </c>
      <c r="F29" s="95">
        <f t="shared" si="11"/>
        <v>-429406.54142827791</v>
      </c>
      <c r="G29" s="96">
        <f t="shared" si="12"/>
        <v>1.6300349924713373</v>
      </c>
      <c r="H29" s="97">
        <f t="shared" si="13"/>
        <v>6.3734972228423156E-2</v>
      </c>
      <c r="I29" s="98">
        <f t="shared" si="17"/>
        <v>2.3095507172562958E-2</v>
      </c>
      <c r="J29" s="122"/>
      <c r="K29" s="100">
        <f t="shared" si="9"/>
        <v>1.5301472836471781</v>
      </c>
      <c r="L29" s="96">
        <f t="shared" si="10"/>
        <v>11.347178620366948</v>
      </c>
      <c r="M29" s="96"/>
      <c r="N29" s="96">
        <f t="shared" si="14"/>
        <v>3.7762168109662086</v>
      </c>
      <c r="O29" s="96">
        <f t="shared" si="15"/>
        <v>14.685842830810081</v>
      </c>
    </row>
    <row r="30" spans="1:15" ht="15" customHeight="1" x14ac:dyDescent="0.25">
      <c r="B30" s="32" t="s">
        <v>121</v>
      </c>
      <c r="C30" s="94">
        <v>-684.40403391300003</v>
      </c>
      <c r="D30" s="94">
        <v>9.9085999999999994E-2</v>
      </c>
      <c r="E30" s="92">
        <f t="shared" si="16"/>
        <v>-684.30494791299998</v>
      </c>
      <c r="F30" s="95">
        <f t="shared" si="11"/>
        <v>-429407.85571241268</v>
      </c>
      <c r="G30" s="96">
        <f t="shared" si="12"/>
        <v>0.31575085769873112</v>
      </c>
      <c r="H30" s="97">
        <f t="shared" si="13"/>
        <v>0.58667608632802926</v>
      </c>
      <c r="I30" s="98">
        <f t="shared" si="17"/>
        <v>0.21259257337085044</v>
      </c>
      <c r="J30" s="122"/>
      <c r="K30" s="100">
        <f t="shared" si="9"/>
        <v>1.6318022301354744</v>
      </c>
      <c r="L30" s="96">
        <f t="shared" si="10"/>
        <v>11.397743046537958</v>
      </c>
      <c r="M30" s="96"/>
      <c r="N30" s="96">
        <f t="shared" si="14"/>
        <v>3.7762168109662086</v>
      </c>
      <c r="O30" s="96">
        <f t="shared" si="15"/>
        <v>14.685842830810083</v>
      </c>
    </row>
    <row r="31" spans="1:15" ht="15" customHeight="1" x14ac:dyDescent="0.25">
      <c r="B31" s="32" t="s">
        <v>122</v>
      </c>
      <c r="C31" s="94">
        <v>-684.403627056</v>
      </c>
      <c r="D31" s="94">
        <v>9.8900000000000002E-2</v>
      </c>
      <c r="E31" s="92">
        <f t="shared" si="16"/>
        <v>-684.30472705600005</v>
      </c>
      <c r="F31" s="95">
        <f t="shared" si="11"/>
        <v>-429407.71712254704</v>
      </c>
      <c r="G31" s="96">
        <f t="shared" si="12"/>
        <v>0.45434072334319353</v>
      </c>
      <c r="H31" s="97">
        <f t="shared" si="13"/>
        <v>0.46424094295630225</v>
      </c>
      <c r="I31" s="98">
        <f t="shared" si="17"/>
        <v>0.16822600925309819</v>
      </c>
      <c r="J31" s="122"/>
      <c r="K31" s="100">
        <f t="shared" si="9"/>
        <v>1.2985456698225335</v>
      </c>
      <c r="L31" s="96">
        <f t="shared" si="10"/>
        <v>11.374736662999975</v>
      </c>
      <c r="M31" s="96"/>
      <c r="N31" s="96">
        <f t="shared" si="14"/>
        <v>3.7762168109662086</v>
      </c>
      <c r="O31" s="96">
        <f t="shared" si="15"/>
        <v>14.685842830810083</v>
      </c>
    </row>
    <row r="32" spans="1:15" ht="15" customHeight="1" x14ac:dyDescent="0.25">
      <c r="B32" s="32" t="s">
        <v>123</v>
      </c>
      <c r="C32" s="94">
        <v>-684.40403109399995</v>
      </c>
      <c r="D32" s="94">
        <v>9.8580000000000001E-2</v>
      </c>
      <c r="E32" s="92">
        <f t="shared" si="16"/>
        <v>-684.30545109399998</v>
      </c>
      <c r="F32" s="95">
        <f t="shared" si="11"/>
        <v>-429408.17146327038</v>
      </c>
      <c r="G32" s="96">
        <f t="shared" si="12"/>
        <v>0</v>
      </c>
      <c r="H32" s="97">
        <f t="shared" si="13"/>
        <v>1</v>
      </c>
      <c r="I32" s="98">
        <f t="shared" si="17"/>
        <v>0.36236788634330525</v>
      </c>
      <c r="J32" s="122"/>
      <c r="K32" s="100">
        <f t="shared" si="9"/>
        <v>2.6937684059721589</v>
      </c>
      <c r="L32" s="96">
        <f t="shared" si="10"/>
        <v>12.773874497957602</v>
      </c>
      <c r="M32" s="96"/>
      <c r="N32" s="96">
        <f t="shared" si="14"/>
        <v>3.7762168109662086</v>
      </c>
      <c r="O32" s="96">
        <f t="shared" si="15"/>
        <v>14.685842830810083</v>
      </c>
    </row>
    <row r="33" spans="1:15" ht="15" customHeight="1" x14ac:dyDescent="0.25">
      <c r="B33" s="32" t="s">
        <v>124</v>
      </c>
      <c r="C33" s="92">
        <v>-684.39972781300003</v>
      </c>
      <c r="D33" s="92">
        <v>9.7308000000000006E-2</v>
      </c>
      <c r="E33" s="92">
        <f t="shared" si="16"/>
        <v>-684.30241981300003</v>
      </c>
      <c r="F33" s="95">
        <f t="shared" si="11"/>
        <v>-429406.26930564572</v>
      </c>
      <c r="G33" s="96">
        <f t="shared" si="12"/>
        <v>1.9021576246595941</v>
      </c>
      <c r="H33" s="97">
        <f t="shared" si="13"/>
        <v>4.0251054622302433E-2</v>
      </c>
      <c r="I33" s="98">
        <f t="shared" si="17"/>
        <v>1.4585689586572659E-2</v>
      </c>
      <c r="K33" s="100">
        <f t="shared" si="9"/>
        <v>2.3015616700855444</v>
      </c>
      <c r="L33" s="96">
        <f t="shared" si="10"/>
        <v>12.782031490747253</v>
      </c>
      <c r="M33" s="96"/>
      <c r="N33" s="96">
        <f t="shared" si="14"/>
        <v>3.7762168109662086</v>
      </c>
      <c r="O33" s="96">
        <f t="shared" si="15"/>
        <v>14.685842830810083</v>
      </c>
    </row>
    <row r="34" spans="1:15" ht="15" customHeight="1" x14ac:dyDescent="0.25">
      <c r="B34" s="32" t="s">
        <v>125</v>
      </c>
      <c r="C34" s="92">
        <v>-684.400205927</v>
      </c>
      <c r="D34" s="92">
        <v>9.6934000000000006E-2</v>
      </c>
      <c r="E34" s="92">
        <f t="shared" si="16"/>
        <v>-684.30327192699997</v>
      </c>
      <c r="F34" s="95">
        <f t="shared" si="11"/>
        <v>-429406.80401527579</v>
      </c>
      <c r="G34" s="96">
        <f t="shared" si="12"/>
        <v>1.3674479945912026</v>
      </c>
      <c r="H34" s="97">
        <f t="shared" si="13"/>
        <v>9.9307946074614323E-2</v>
      </c>
      <c r="I34" s="98">
        <f t="shared" si="17"/>
        <v>3.5986010516152932E-2</v>
      </c>
      <c r="K34" s="100">
        <f t="shared" si="9"/>
        <v>1.8314409700535967</v>
      </c>
      <c r="L34" s="96"/>
      <c r="M34" s="96"/>
      <c r="N34" s="96">
        <f t="shared" si="14"/>
        <v>3.7762168109662086</v>
      </c>
      <c r="O34" s="96"/>
    </row>
    <row r="35" spans="1:15" ht="15" customHeight="1" x14ac:dyDescent="0.25">
      <c r="B35" s="32" t="s">
        <v>126</v>
      </c>
      <c r="C35" s="92">
        <v>-684.40366231799999</v>
      </c>
      <c r="D35" s="92">
        <v>9.9368999999999999E-2</v>
      </c>
      <c r="E35" s="92">
        <f t="shared" si="16"/>
        <v>-684.30429331799996</v>
      </c>
      <c r="F35" s="95">
        <f t="shared" si="11"/>
        <v>-429407.44494783151</v>
      </c>
      <c r="G35" s="96">
        <f t="shared" si="12"/>
        <v>0.72651543887332082</v>
      </c>
      <c r="H35" s="97">
        <f t="shared" si="13"/>
        <v>0.29315999105447343</v>
      </c>
      <c r="I35" s="98">
        <f t="shared" si="17"/>
        <v>0.10623176631883181</v>
      </c>
      <c r="K35" s="101">
        <f t="shared" ref="K35:K45" si="18">(F25+$G$9-F$15)/$F$9</f>
        <v>4.964793127507618</v>
      </c>
      <c r="L35" s="96">
        <f t="shared" ref="L35:L44" si="19">(F37+$G$9-F$27)/$F$9</f>
        <v>15.450102279030064</v>
      </c>
      <c r="M35" s="96"/>
      <c r="N35" s="96">
        <f>K35+LOG10(I25/I$15)</f>
        <v>3.7762168109662086</v>
      </c>
      <c r="O35" s="96">
        <f>L35+LOG10(I37/I$27)</f>
        <v>14.685842830810083</v>
      </c>
    </row>
    <row r="36" spans="1:15" x14ac:dyDescent="0.25">
      <c r="A36" s="104"/>
      <c r="B36" s="110"/>
      <c r="C36" s="105"/>
      <c r="D36" s="105"/>
      <c r="E36" s="105"/>
      <c r="F36" s="105"/>
      <c r="G36" s="105"/>
      <c r="H36" s="105"/>
      <c r="I36" s="105"/>
      <c r="K36" s="101">
        <f t="shared" si="18"/>
        <v>6.1992860070787303</v>
      </c>
      <c r="L36" s="96">
        <f t="shared" si="19"/>
        <v>16.541138040411749</v>
      </c>
      <c r="M36" s="96"/>
      <c r="N36" s="96">
        <f t="shared" ref="N36:N45" si="20">K36+LOG10(I26/I$15)</f>
        <v>3.7762168109662091</v>
      </c>
      <c r="O36" s="96">
        <f t="shared" ref="O36:O44" si="21">L36+LOG10(I38/I$27)</f>
        <v>14.685842830810083</v>
      </c>
    </row>
    <row r="37" spans="1:15" ht="15" customHeight="1" x14ac:dyDescent="0.25">
      <c r="A37" s="90" t="s">
        <v>114</v>
      </c>
      <c r="B37" s="32" t="s">
        <v>127</v>
      </c>
      <c r="C37" s="92">
        <v>-683.92805692599995</v>
      </c>
      <c r="D37" s="92">
        <v>8.6690000000000003E-2</v>
      </c>
      <c r="E37" s="92">
        <f>C37+D37</f>
        <v>-683.84136692599998</v>
      </c>
      <c r="F37" s="95">
        <f t="shared" ref="F37:F46" si="22">(C37+D37)*$C$9+1.89</f>
        <v>-429115.06423905079</v>
      </c>
      <c r="G37" s="96">
        <f t="shared" ref="G37:G46" si="23">F37-$F$42</f>
        <v>2.7104199811583385</v>
      </c>
      <c r="H37" s="97">
        <f t="shared" ref="H37:H46" si="24">EXP(-G37/($D$9*$E$9))</f>
        <v>1.0278293719227626E-2</v>
      </c>
      <c r="I37" s="98">
        <f>H37/SUM($H$37:$H$46)</f>
        <v>3.2644616095509832E-3</v>
      </c>
      <c r="K37" s="101">
        <f t="shared" si="18"/>
        <v>4.08444132420665</v>
      </c>
      <c r="L37" s="96">
        <f t="shared" si="19"/>
        <v>14.877994774262204</v>
      </c>
      <c r="M37" s="96"/>
      <c r="N37" s="96">
        <f t="shared" si="20"/>
        <v>3.7762168109662086</v>
      </c>
      <c r="O37" s="96">
        <f t="shared" si="21"/>
        <v>14.685842830810085</v>
      </c>
    </row>
    <row r="38" spans="1:15" ht="15" customHeight="1" x14ac:dyDescent="0.25">
      <c r="A38" s="91" t="s">
        <v>137</v>
      </c>
      <c r="B38" s="32" t="s">
        <v>128</v>
      </c>
      <c r="C38" s="92">
        <v>-683.92529852600001</v>
      </c>
      <c r="D38" s="92">
        <v>8.6302000000000004E-2</v>
      </c>
      <c r="E38" s="92">
        <f t="shared" ref="E38:E46" si="25">C38+D38</f>
        <v>-683.83899652599996</v>
      </c>
      <c r="F38" s="95">
        <f t="shared" si="22"/>
        <v>-429113.57679053198</v>
      </c>
      <c r="G38" s="96">
        <f t="shared" si="23"/>
        <v>4.1978684999630786</v>
      </c>
      <c r="H38" s="97">
        <f t="shared" si="24"/>
        <v>8.3346096172566444E-4</v>
      </c>
      <c r="I38" s="98">
        <f t="shared" ref="I38:I46" si="26">H38/SUM($H$37:$H$46)</f>
        <v>2.6471332566835136E-4</v>
      </c>
      <c r="K38" s="101">
        <f t="shared" si="18"/>
        <v>3.6197868495549126</v>
      </c>
      <c r="L38" s="96">
        <f t="shared" si="19"/>
        <v>14.262674815293234</v>
      </c>
      <c r="M38" s="96"/>
      <c r="N38" s="96">
        <f t="shared" si="20"/>
        <v>3.7762168109662082</v>
      </c>
      <c r="O38" s="96">
        <f t="shared" si="21"/>
        <v>14.685842830810083</v>
      </c>
    </row>
    <row r="39" spans="1:15" ht="15" customHeight="1" x14ac:dyDescent="0.25">
      <c r="B39" s="32" t="s">
        <v>129</v>
      </c>
      <c r="C39" s="92">
        <v>-683.92862289499999</v>
      </c>
      <c r="D39" s="92">
        <v>8.6013000000000006E-2</v>
      </c>
      <c r="E39" s="92">
        <f t="shared" si="25"/>
        <v>-683.84260989500001</v>
      </c>
      <c r="F39" s="95">
        <f t="shared" si="22"/>
        <v>-429115.8442139065</v>
      </c>
      <c r="G39" s="96">
        <f t="shared" si="23"/>
        <v>1.9304451254429296</v>
      </c>
      <c r="H39" s="97">
        <f t="shared" si="24"/>
        <v>3.8373245220138491E-2</v>
      </c>
      <c r="I39" s="98">
        <f t="shared" si="26"/>
        <v>1.2187624646364092E-2</v>
      </c>
      <c r="K39" s="101">
        <f t="shared" si="18"/>
        <v>3.9989848343390944</v>
      </c>
      <c r="L39" s="96">
        <f t="shared" si="19"/>
        <v>14.882044273397012</v>
      </c>
      <c r="M39" s="96"/>
      <c r="N39" s="96">
        <f t="shared" si="20"/>
        <v>3.7762168109662082</v>
      </c>
      <c r="O39" s="96">
        <f t="shared" si="21"/>
        <v>14.685842830810083</v>
      </c>
    </row>
    <row r="40" spans="1:15" ht="15" customHeight="1" x14ac:dyDescent="0.25">
      <c r="B40" s="32" t="s">
        <v>130</v>
      </c>
      <c r="C40" s="92">
        <v>-683.92948974800004</v>
      </c>
      <c r="D40" s="92">
        <v>8.5542999999999994E-2</v>
      </c>
      <c r="E40" s="92">
        <f t="shared" si="25"/>
        <v>-683.84394674800001</v>
      </c>
      <c r="F40" s="95">
        <f t="shared" si="22"/>
        <v>-429116.68310186412</v>
      </c>
      <c r="G40" s="96">
        <f t="shared" si="23"/>
        <v>1.0915571678197011</v>
      </c>
      <c r="H40" s="97">
        <f t="shared" si="24"/>
        <v>0.15825173785070087</v>
      </c>
      <c r="I40" s="98">
        <f t="shared" si="26"/>
        <v>5.0261914766253656E-2</v>
      </c>
      <c r="K40" s="101">
        <f t="shared" si="18"/>
        <v>3.0349642490715425</v>
      </c>
      <c r="L40" s="96">
        <f t="shared" si="19"/>
        <v>13.462023303239029</v>
      </c>
      <c r="M40" s="96"/>
      <c r="N40" s="96">
        <f t="shared" si="20"/>
        <v>3.7762168109662086</v>
      </c>
      <c r="O40" s="96">
        <f t="shared" si="21"/>
        <v>14.685842830810083</v>
      </c>
    </row>
    <row r="41" spans="1:15" ht="15" customHeight="1" x14ac:dyDescent="0.25">
      <c r="B41" s="32" t="s">
        <v>131</v>
      </c>
      <c r="C41" s="92">
        <v>-683.92869009699996</v>
      </c>
      <c r="D41" s="92">
        <v>8.6088999999999999E-2</v>
      </c>
      <c r="E41" s="92">
        <f t="shared" si="25"/>
        <v>-683.84260109699994</v>
      </c>
      <c r="F41" s="95">
        <f t="shared" si="22"/>
        <v>-429115.83869307785</v>
      </c>
      <c r="G41" s="96">
        <f t="shared" si="23"/>
        <v>1.9359659540932626</v>
      </c>
      <c r="H41" s="97">
        <f t="shared" si="24"/>
        <v>3.8017103910084477E-2</v>
      </c>
      <c r="I41" s="98">
        <f t="shared" si="26"/>
        <v>1.2074511549384617E-2</v>
      </c>
      <c r="K41" s="101">
        <f t="shared" si="18"/>
        <v>3.1366191955598386</v>
      </c>
      <c r="L41" s="96">
        <f t="shared" si="19"/>
        <v>13.512587729410038</v>
      </c>
      <c r="M41" s="96"/>
      <c r="N41" s="96">
        <f t="shared" si="20"/>
        <v>3.7762168109662082</v>
      </c>
      <c r="O41" s="96">
        <f t="shared" si="21"/>
        <v>14.685842830810085</v>
      </c>
    </row>
    <row r="42" spans="1:15" ht="15" customHeight="1" x14ac:dyDescent="0.25">
      <c r="B42" s="32" t="s">
        <v>132</v>
      </c>
      <c r="C42" s="92">
        <v>-683.93243125499998</v>
      </c>
      <c r="D42" s="92">
        <v>8.6745000000000003E-2</v>
      </c>
      <c r="E42" s="92">
        <f t="shared" si="25"/>
        <v>-683.84568625500003</v>
      </c>
      <c r="F42" s="95">
        <f t="shared" si="22"/>
        <v>-429117.77465903194</v>
      </c>
      <c r="G42" s="96">
        <f t="shared" si="23"/>
        <v>0</v>
      </c>
      <c r="H42" s="97">
        <f t="shared" si="24"/>
        <v>1</v>
      </c>
      <c r="I42" s="98">
        <f t="shared" si="26"/>
        <v>0.31760734794376888</v>
      </c>
      <c r="J42" s="120"/>
      <c r="K42" s="101">
        <f t="shared" si="18"/>
        <v>2.8033626352468977</v>
      </c>
      <c r="L42" s="96">
        <f t="shared" si="19"/>
        <v>13.489581345872056</v>
      </c>
      <c r="M42" s="96"/>
      <c r="N42" s="96">
        <f t="shared" si="20"/>
        <v>3.7762168109662082</v>
      </c>
      <c r="O42" s="96">
        <f t="shared" si="21"/>
        <v>14.685842830810083</v>
      </c>
    </row>
    <row r="43" spans="1:15" ht="15" customHeight="1" x14ac:dyDescent="0.25">
      <c r="B43" s="32" t="s">
        <v>133</v>
      </c>
      <c r="C43" s="92">
        <v>-683.93242839799996</v>
      </c>
      <c r="D43" s="92">
        <v>8.6851999999999999E-2</v>
      </c>
      <c r="E43" s="92">
        <f t="shared" si="25"/>
        <v>-683.84557639799993</v>
      </c>
      <c r="F43" s="95">
        <f t="shared" si="22"/>
        <v>-429117.70572272071</v>
      </c>
      <c r="G43" s="96">
        <f t="shared" si="23"/>
        <v>6.8936311232391745E-2</v>
      </c>
      <c r="H43" s="97">
        <f t="shared" si="24"/>
        <v>0.89009338576276353</v>
      </c>
      <c r="I43" s="98">
        <f t="shared" si="26"/>
        <v>0.28270019967440135</v>
      </c>
      <c r="K43" s="101">
        <f t="shared" si="18"/>
        <v>4.1985853713965229</v>
      </c>
      <c r="L43" s="96">
        <f t="shared" si="19"/>
        <v>14.888719180829682</v>
      </c>
      <c r="M43" s="96"/>
      <c r="N43" s="96">
        <f t="shared" si="20"/>
        <v>3.7762168109662082</v>
      </c>
      <c r="O43" s="96">
        <f t="shared" si="21"/>
        <v>14.685842830810083</v>
      </c>
    </row>
    <row r="44" spans="1:15" ht="15" customHeight="1" x14ac:dyDescent="0.25">
      <c r="B44" s="32" t="s">
        <v>134</v>
      </c>
      <c r="C44" s="92">
        <v>-683.93242838200001</v>
      </c>
      <c r="D44" s="92">
        <v>8.6802000000000004E-2</v>
      </c>
      <c r="E44" s="92">
        <f t="shared" si="25"/>
        <v>-683.84562638199998</v>
      </c>
      <c r="F44" s="95">
        <f t="shared" si="22"/>
        <v>-429117.73708815558</v>
      </c>
      <c r="G44" s="96">
        <f t="shared" si="23"/>
        <v>3.7570876360405236E-2</v>
      </c>
      <c r="H44" s="97">
        <f t="shared" si="24"/>
        <v>0.93851659732843862</v>
      </c>
      <c r="I44" s="98">
        <f t="shared" si="26"/>
        <v>0.29807976747869541</v>
      </c>
      <c r="K44" s="101">
        <f t="shared" si="18"/>
        <v>3.8063786355099087</v>
      </c>
      <c r="L44" s="96">
        <f t="shared" si="19"/>
        <v>14.896876173619333</v>
      </c>
      <c r="M44" s="96"/>
      <c r="N44" s="96">
        <f t="shared" si="20"/>
        <v>3.7762168109662082</v>
      </c>
      <c r="O44" s="96">
        <f t="shared" si="21"/>
        <v>14.685842830810083</v>
      </c>
    </row>
    <row r="45" spans="1:15" ht="15" customHeight="1" x14ac:dyDescent="0.25">
      <c r="B45" s="32" t="s">
        <v>135</v>
      </c>
      <c r="C45" s="92">
        <v>-683.92867659499996</v>
      </c>
      <c r="D45" s="92">
        <v>8.609E-2</v>
      </c>
      <c r="E45" s="92">
        <f t="shared" si="25"/>
        <v>-683.84258659499994</v>
      </c>
      <c r="F45" s="95">
        <f t="shared" si="22"/>
        <v>-429115.8295929351</v>
      </c>
      <c r="G45" s="96">
        <f t="shared" si="23"/>
        <v>1.9450660968432203</v>
      </c>
      <c r="H45" s="97">
        <f t="shared" si="24"/>
        <v>3.743726575916876E-2</v>
      </c>
      <c r="I45" s="98">
        <f t="shared" si="26"/>
        <v>1.1890350692035657E-2</v>
      </c>
      <c r="K45" s="101">
        <f t="shared" si="18"/>
        <v>3.3362579354779611</v>
      </c>
      <c r="L45" s="96"/>
      <c r="M45" s="96"/>
      <c r="N45" s="96">
        <f t="shared" si="20"/>
        <v>3.7762168109662086</v>
      </c>
      <c r="O45" s="96"/>
    </row>
    <row r="46" spans="1:15" ht="15" customHeight="1" x14ac:dyDescent="0.25">
      <c r="B46" s="32" t="s">
        <v>136</v>
      </c>
      <c r="C46" s="92">
        <v>-683.92869087300005</v>
      </c>
      <c r="D46" s="92">
        <v>8.6122000000000004E-2</v>
      </c>
      <c r="E46" s="92">
        <f t="shared" si="25"/>
        <v>-683.842568873</v>
      </c>
      <c r="F46" s="95">
        <f t="shared" si="22"/>
        <v>-429115.81847221177</v>
      </c>
      <c r="G46" s="96">
        <f t="shared" si="23"/>
        <v>1.9561868201708421</v>
      </c>
      <c r="H46" s="97">
        <f t="shared" si="24"/>
        <v>3.6740674891258887E-2</v>
      </c>
      <c r="I46" s="98">
        <f t="shared" si="26"/>
        <v>1.1669108313876955E-2</v>
      </c>
      <c r="K46" s="101">
        <f t="shared" ref="K46:K56" si="27">(F25+$G$9-F$16)/$F$9</f>
        <v>4.8319895334905327</v>
      </c>
      <c r="L46" s="96">
        <f t="shared" ref="L46:L55" si="28">(F37+$G$9-F$28)/$F$9</f>
        <v>15.9147567536818</v>
      </c>
      <c r="M46" s="96"/>
      <c r="N46" s="96">
        <f>K46+LOG10(I25/I$16)</f>
        <v>3.7762168109662086</v>
      </c>
      <c r="O46" s="96">
        <f>L46+LOG10(I37/I$28)</f>
        <v>14.685842830810083</v>
      </c>
    </row>
    <row r="47" spans="1:15" x14ac:dyDescent="0.25">
      <c r="A47" s="104"/>
      <c r="B47" s="107"/>
      <c r="C47" s="105"/>
      <c r="D47" s="105"/>
      <c r="E47" s="105"/>
      <c r="F47" s="105"/>
      <c r="G47" s="105"/>
      <c r="H47" s="108"/>
      <c r="I47" s="109"/>
      <c r="K47" s="101">
        <f t="shared" si="27"/>
        <v>6.066482413061645</v>
      </c>
      <c r="L47" s="96">
        <f t="shared" si="28"/>
        <v>17.005792515063487</v>
      </c>
      <c r="M47" s="96"/>
      <c r="N47" s="96">
        <f t="shared" ref="N47:N56" si="29">K47+LOG10(I26/I$16)</f>
        <v>3.7762168109662091</v>
      </c>
      <c r="O47" s="96">
        <f t="shared" ref="O47:O55" si="30">L47+LOG10(I38/I$28)</f>
        <v>14.685842830810085</v>
      </c>
    </row>
    <row r="48" spans="1:15" x14ac:dyDescent="0.25">
      <c r="H48" s="97"/>
      <c r="I48" s="98"/>
      <c r="K48" s="101">
        <f t="shared" si="27"/>
        <v>3.9516377301895642</v>
      </c>
      <c r="L48" s="96">
        <f t="shared" si="28"/>
        <v>15.34264924891394</v>
      </c>
      <c r="M48" s="96"/>
      <c r="N48" s="96">
        <f t="shared" si="29"/>
        <v>3.7762168109662086</v>
      </c>
      <c r="O48" s="96">
        <f t="shared" si="30"/>
        <v>14.685842830810083</v>
      </c>
    </row>
    <row r="49" spans="2:15" x14ac:dyDescent="0.25">
      <c r="H49" s="97"/>
      <c r="I49" s="98"/>
      <c r="K49" s="101">
        <f t="shared" si="27"/>
        <v>3.4869832555378273</v>
      </c>
      <c r="L49" s="96">
        <f t="shared" si="28"/>
        <v>14.727329289944972</v>
      </c>
      <c r="M49" s="96"/>
      <c r="N49" s="96">
        <f t="shared" si="29"/>
        <v>3.7762168109662086</v>
      </c>
      <c r="O49" s="96">
        <f t="shared" si="30"/>
        <v>14.685842830810083</v>
      </c>
    </row>
    <row r="50" spans="2:15" ht="14.25" customHeight="1" x14ac:dyDescent="0.25">
      <c r="B50" s="104"/>
      <c r="C50" s="114" t="s">
        <v>33</v>
      </c>
      <c r="D50" s="106"/>
      <c r="E50" s="106"/>
      <c r="F50" s="106"/>
      <c r="G50" s="106"/>
      <c r="H50" s="97"/>
      <c r="I50" s="98"/>
      <c r="K50" s="101">
        <f t="shared" si="27"/>
        <v>3.866181240322009</v>
      </c>
      <c r="L50" s="96">
        <f t="shared" si="28"/>
        <v>15.34669874804875</v>
      </c>
      <c r="M50" s="96"/>
      <c r="N50" s="96">
        <f t="shared" si="29"/>
        <v>3.7762168109662086</v>
      </c>
      <c r="O50" s="96">
        <f t="shared" si="30"/>
        <v>14.685842830810083</v>
      </c>
    </row>
    <row r="51" spans="2:15" ht="14.25" customHeight="1" x14ac:dyDescent="0.25">
      <c r="B51" s="113"/>
      <c r="C51" s="113" t="s">
        <v>64</v>
      </c>
      <c r="D51" s="113" t="s">
        <v>65</v>
      </c>
      <c r="E51" s="113"/>
      <c r="F51" s="113" t="s">
        <v>42</v>
      </c>
      <c r="G51" s="113" t="s">
        <v>43</v>
      </c>
      <c r="H51" s="97"/>
      <c r="I51" s="98"/>
      <c r="K51" s="101">
        <f t="shared" si="27"/>
        <v>2.9021606550544568</v>
      </c>
      <c r="L51" s="96">
        <f t="shared" si="28"/>
        <v>13.926677777890767</v>
      </c>
      <c r="M51" s="96"/>
      <c r="N51" s="96">
        <f t="shared" si="29"/>
        <v>3.7762168109662082</v>
      </c>
      <c r="O51" s="96">
        <f t="shared" si="30"/>
        <v>14.685842830810083</v>
      </c>
    </row>
    <row r="52" spans="2:15" ht="14.25" customHeight="1" x14ac:dyDescent="0.35">
      <c r="B52" s="117" t="s">
        <v>139</v>
      </c>
      <c r="C52" s="102">
        <v>-683.92963699999996</v>
      </c>
      <c r="D52" s="115">
        <f>C52*$C$9</f>
        <v>-429172.34454905149</v>
      </c>
      <c r="F52" s="100">
        <f>(D53+$G$9-D52)/$F$9</f>
        <v>4.1614977960395869</v>
      </c>
      <c r="G52" s="96">
        <f>(D54+$G$9-D53)/$F$9</f>
        <v>13.792751300489023</v>
      </c>
      <c r="H52" s="97"/>
      <c r="I52" s="98"/>
      <c r="K52" s="101">
        <f t="shared" si="27"/>
        <v>3.0038156015427533</v>
      </c>
      <c r="L52" s="96">
        <f t="shared" si="28"/>
        <v>13.977242204061774</v>
      </c>
      <c r="M52" s="96"/>
      <c r="N52" s="96">
        <f t="shared" si="29"/>
        <v>3.7762168109662086</v>
      </c>
      <c r="O52" s="96">
        <f t="shared" si="30"/>
        <v>14.685842830810083</v>
      </c>
    </row>
    <row r="53" spans="2:15" ht="14.25" customHeight="1" x14ac:dyDescent="0.25">
      <c r="B53" s="117" t="s">
        <v>140</v>
      </c>
      <c r="C53" s="102">
        <v>-683.48985000000005</v>
      </c>
      <c r="D53" s="115">
        <f>C53*$C$9</f>
        <v>-428896.37402857502</v>
      </c>
      <c r="F53" s="94"/>
      <c r="G53" s="96"/>
      <c r="H53" s="97"/>
      <c r="I53" s="98"/>
      <c r="K53" s="101">
        <f t="shared" si="27"/>
        <v>2.6705590412298124</v>
      </c>
      <c r="L53" s="96">
        <f t="shared" si="28"/>
        <v>13.954235820523792</v>
      </c>
      <c r="M53" s="96"/>
      <c r="N53" s="96">
        <f t="shared" si="29"/>
        <v>3.7762168109662086</v>
      </c>
      <c r="O53" s="96">
        <f t="shared" si="30"/>
        <v>14.685842830810083</v>
      </c>
    </row>
    <row r="54" spans="2:15" ht="14.25" customHeight="1" x14ac:dyDescent="0.25">
      <c r="B54" s="117" t="s">
        <v>157</v>
      </c>
      <c r="C54" s="102">
        <v>-683.02913799999999</v>
      </c>
      <c r="D54" s="115">
        <f>C54*$C$9</f>
        <v>-428607.272871811</v>
      </c>
      <c r="E54" s="94"/>
      <c r="F54" s="94"/>
      <c r="H54" s="97"/>
      <c r="I54" s="98"/>
      <c r="K54" s="101">
        <f t="shared" si="27"/>
        <v>4.0657817773794376</v>
      </c>
      <c r="L54" s="96">
        <f t="shared" si="28"/>
        <v>15.353373655481418</v>
      </c>
      <c r="M54" s="96"/>
      <c r="N54" s="96">
        <f t="shared" si="29"/>
        <v>3.7762168109662082</v>
      </c>
      <c r="O54" s="96">
        <f t="shared" si="30"/>
        <v>14.685842830810083</v>
      </c>
    </row>
    <row r="55" spans="2:15" ht="14.25" customHeight="1" x14ac:dyDescent="0.25">
      <c r="B55" s="104"/>
      <c r="C55" s="105" t="s">
        <v>141</v>
      </c>
      <c r="D55" s="118"/>
      <c r="E55" s="105"/>
      <c r="F55" s="105"/>
      <c r="G55" s="105"/>
      <c r="K55" s="101">
        <f t="shared" si="27"/>
        <v>3.6735750414928234</v>
      </c>
      <c r="L55" s="96">
        <f t="shared" si="28"/>
        <v>15.361530648271069</v>
      </c>
      <c r="M55" s="96"/>
      <c r="N55" s="96">
        <f t="shared" si="29"/>
        <v>3.7762168109662086</v>
      </c>
      <c r="O55" s="96">
        <f t="shared" si="30"/>
        <v>14.685842830810083</v>
      </c>
    </row>
    <row r="56" spans="2:15" ht="14.25" customHeight="1" x14ac:dyDescent="0.35">
      <c r="B56" s="94" t="s">
        <v>142</v>
      </c>
      <c r="C56" s="102">
        <v>-836.64879800000006</v>
      </c>
      <c r="D56" s="115">
        <f>C56*$C$9</f>
        <v>-525005.06890858104</v>
      </c>
      <c r="E56" s="94"/>
      <c r="F56" s="100">
        <f>(D57+$G$9-D56)/$F$9</f>
        <v>4.4519312947948722</v>
      </c>
      <c r="G56" s="96">
        <f>(D58+$G$9-D57)/$F$9</f>
        <v>14.162352092090913</v>
      </c>
      <c r="H56" s="97"/>
      <c r="I56" s="98"/>
      <c r="K56" s="101">
        <f t="shared" si="27"/>
        <v>3.2034543414608758</v>
      </c>
      <c r="L56" s="96"/>
      <c r="M56" s="96"/>
      <c r="N56" s="96">
        <f t="shared" si="29"/>
        <v>3.7762168109662086</v>
      </c>
      <c r="O56" s="96"/>
    </row>
    <row r="57" spans="2:15" ht="14.25" customHeight="1" x14ac:dyDescent="0.35">
      <c r="B57" s="94" t="s">
        <v>143</v>
      </c>
      <c r="C57" s="102">
        <v>-836.20838000000003</v>
      </c>
      <c r="D57" s="115">
        <f>C57*$C$9</f>
        <v>-524728.70242961007</v>
      </c>
      <c r="E57" s="100"/>
      <c r="F57" s="94"/>
      <c r="G57" s="99">
        <f>(D59+$G$9-D57)/$F$9</f>
        <v>10.505007272738352</v>
      </c>
      <c r="H57" s="99" t="s">
        <v>138</v>
      </c>
      <c r="I57" s="98"/>
      <c r="K57" s="101">
        <f t="shared" ref="K57:K67" si="31">(F25+$G$9-F$17)/$F$9</f>
        <v>5.4433676977382843</v>
      </c>
      <c r="L57" s="96">
        <f t="shared" ref="L57:L66" si="32">(F37+$G$9-F$29)/$F$9</f>
        <v>15.535558768897619</v>
      </c>
      <c r="M57" s="96"/>
      <c r="N57" s="96">
        <f>K57+LOG10(I25/I$17)</f>
        <v>3.7762168109662078</v>
      </c>
      <c r="O57" s="96">
        <f>L57+LOG10(I37/I$29)</f>
        <v>14.685842830810083</v>
      </c>
    </row>
    <row r="58" spans="2:15" ht="14.25" customHeight="1" x14ac:dyDescent="0.35">
      <c r="B58" s="94" t="s">
        <v>144</v>
      </c>
      <c r="C58" s="116">
        <v>-835.74686499999996</v>
      </c>
      <c r="D58" s="115">
        <f>C58*$C$9</f>
        <v>-524439.09738271753</v>
      </c>
      <c r="G58" s="99"/>
      <c r="H58" s="97"/>
      <c r="I58" s="98"/>
      <c r="K58" s="101">
        <f t="shared" si="31"/>
        <v>6.6778605773093966</v>
      </c>
      <c r="L58" s="96">
        <f t="shared" si="32"/>
        <v>16.626594530279306</v>
      </c>
      <c r="M58" s="96"/>
      <c r="N58" s="96">
        <f t="shared" ref="N58:N67" si="33">K58+LOG10(I26/I$17)</f>
        <v>3.7762168109662082</v>
      </c>
      <c r="O58" s="96">
        <f t="shared" ref="O58:O66" si="34">L58+LOG10(I38/I$29)</f>
        <v>14.685842830810085</v>
      </c>
    </row>
    <row r="59" spans="2:15" ht="14.25" customHeight="1" x14ac:dyDescent="0.35">
      <c r="B59" s="94" t="s">
        <v>145</v>
      </c>
      <c r="C59" s="116">
        <v>-835.75481100000002</v>
      </c>
      <c r="D59" s="115">
        <f>C59*$C$9</f>
        <v>-524444.08357320447</v>
      </c>
      <c r="G59" s="103"/>
      <c r="H59" s="97"/>
      <c r="I59" s="98"/>
      <c r="K59" s="101">
        <f t="shared" si="31"/>
        <v>4.5630158944373163</v>
      </c>
      <c r="L59" s="96">
        <f t="shared" si="32"/>
        <v>14.963451264129759</v>
      </c>
      <c r="M59" s="96"/>
      <c r="N59" s="96">
        <f t="shared" si="33"/>
        <v>3.7762168109662082</v>
      </c>
      <c r="O59" s="96">
        <f t="shared" si="34"/>
        <v>14.685842830810085</v>
      </c>
    </row>
    <row r="60" spans="2:15" x14ac:dyDescent="0.25">
      <c r="B60" s="107"/>
      <c r="C60" s="105"/>
      <c r="D60" s="105"/>
      <c r="E60" s="105"/>
      <c r="F60" s="105"/>
      <c r="G60" s="105"/>
      <c r="H60" s="97"/>
      <c r="I60" s="98"/>
      <c r="K60" s="101">
        <f t="shared" si="31"/>
        <v>4.0983614197855793</v>
      </c>
      <c r="L60" s="96">
        <f t="shared" si="32"/>
        <v>14.348131305160789</v>
      </c>
      <c r="M60" s="96"/>
      <c r="N60" s="96">
        <f t="shared" si="33"/>
        <v>3.7762168109662082</v>
      </c>
      <c r="O60" s="96">
        <f t="shared" si="34"/>
        <v>14.685842830810083</v>
      </c>
    </row>
    <row r="61" spans="2:15" x14ac:dyDescent="0.25">
      <c r="B61" s="32"/>
      <c r="H61" s="97"/>
      <c r="I61" s="98"/>
      <c r="K61" s="101">
        <f t="shared" si="31"/>
        <v>4.4775594045697611</v>
      </c>
      <c r="L61" s="96">
        <f t="shared" si="32"/>
        <v>14.967500763264567</v>
      </c>
      <c r="M61" s="96"/>
      <c r="N61" s="96">
        <f t="shared" si="33"/>
        <v>3.7762168109662082</v>
      </c>
      <c r="O61" s="96">
        <f t="shared" si="34"/>
        <v>14.685842830810083</v>
      </c>
    </row>
    <row r="62" spans="2:15" x14ac:dyDescent="0.25">
      <c r="B62" s="32"/>
      <c r="H62" s="97"/>
      <c r="I62" s="98"/>
      <c r="K62" s="101">
        <f t="shared" si="31"/>
        <v>3.5135388193022092</v>
      </c>
      <c r="L62" s="96">
        <f t="shared" si="32"/>
        <v>13.547479793106584</v>
      </c>
      <c r="M62" s="96"/>
      <c r="N62" s="96">
        <f t="shared" si="33"/>
        <v>3.7762168109662086</v>
      </c>
      <c r="O62" s="96">
        <f t="shared" si="34"/>
        <v>14.685842830810083</v>
      </c>
    </row>
    <row r="63" spans="2:15" x14ac:dyDescent="0.25">
      <c r="B63" s="32"/>
      <c r="H63" s="97"/>
      <c r="I63" s="98"/>
      <c r="K63" s="101">
        <f t="shared" si="31"/>
        <v>3.6151937657905058</v>
      </c>
      <c r="L63" s="96">
        <f t="shared" si="32"/>
        <v>13.598044219277593</v>
      </c>
      <c r="M63" s="96"/>
      <c r="N63" s="96">
        <f t="shared" si="33"/>
        <v>3.7762168109662086</v>
      </c>
      <c r="O63" s="96">
        <f t="shared" si="34"/>
        <v>14.685842830810085</v>
      </c>
    </row>
    <row r="64" spans="2:15" x14ac:dyDescent="0.25">
      <c r="B64" s="32"/>
      <c r="H64" s="97"/>
      <c r="I64" s="98"/>
      <c r="K64" s="101">
        <f t="shared" si="31"/>
        <v>3.2819372054775648</v>
      </c>
      <c r="L64" s="96">
        <f t="shared" si="32"/>
        <v>13.575037835739611</v>
      </c>
      <c r="M64" s="96"/>
      <c r="N64" s="96">
        <f t="shared" si="33"/>
        <v>3.7762168109662086</v>
      </c>
      <c r="O64" s="96">
        <f t="shared" si="34"/>
        <v>14.685842830810083</v>
      </c>
    </row>
    <row r="65" spans="11:15" x14ac:dyDescent="0.25">
      <c r="K65" s="101">
        <f t="shared" si="31"/>
        <v>4.6771599416271901</v>
      </c>
      <c r="L65" s="96">
        <f t="shared" si="32"/>
        <v>14.974175670697237</v>
      </c>
      <c r="M65" s="96"/>
      <c r="N65" s="96">
        <f t="shared" si="33"/>
        <v>3.7762168109662086</v>
      </c>
      <c r="O65" s="96">
        <f t="shared" si="34"/>
        <v>14.685842830810083</v>
      </c>
    </row>
    <row r="66" spans="11:15" x14ac:dyDescent="0.25">
      <c r="K66" s="101">
        <f t="shared" si="31"/>
        <v>4.2849532057405755</v>
      </c>
      <c r="L66" s="96">
        <f t="shared" si="32"/>
        <v>14.982332663486888</v>
      </c>
      <c r="M66" s="96"/>
      <c r="N66" s="96">
        <f t="shared" si="33"/>
        <v>3.7762168109662082</v>
      </c>
      <c r="O66" s="96">
        <f t="shared" si="34"/>
        <v>14.685842830810083</v>
      </c>
    </row>
    <row r="67" spans="11:15" x14ac:dyDescent="0.25">
      <c r="K67" s="101">
        <f t="shared" si="31"/>
        <v>3.8148325057086279</v>
      </c>
      <c r="L67" s="96"/>
      <c r="M67" s="96"/>
      <c r="N67" s="96">
        <f t="shared" si="33"/>
        <v>3.7762168109662086</v>
      </c>
      <c r="O67" s="96"/>
    </row>
    <row r="68" spans="11:15" x14ac:dyDescent="0.25">
      <c r="K68" s="101">
        <f t="shared" ref="K68:K78" si="35">(F25+$G$9-F$18)/$F$9</f>
        <v>5.8507027508759197</v>
      </c>
      <c r="L68" s="96">
        <f t="shared" ref="L68:L77" si="36">(F37+$G$9-F$30)/$F$9</f>
        <v>16.499579354165171</v>
      </c>
      <c r="M68" s="96"/>
      <c r="N68" s="96">
        <f>K68+LOG10(I25/I$18)</f>
        <v>3.7762168109662078</v>
      </c>
      <c r="O68" s="96">
        <f>L68+LOG10(I37/I$30)</f>
        <v>14.685842830810083</v>
      </c>
    </row>
    <row r="69" spans="11:15" x14ac:dyDescent="0.25">
      <c r="K69" s="101">
        <f t="shared" si="35"/>
        <v>7.085195630447032</v>
      </c>
      <c r="L69" s="96">
        <f t="shared" si="36"/>
        <v>17.590615115546857</v>
      </c>
      <c r="M69" s="96"/>
      <c r="N69" s="96">
        <f t="shared" ref="N69:N78" si="37">K69+LOG10(I26/I$18)</f>
        <v>3.7762168109662082</v>
      </c>
      <c r="O69" s="96">
        <f t="shared" ref="O69:O77" si="38">L69+LOG10(I38/I$30)</f>
        <v>14.685842830810085</v>
      </c>
    </row>
    <row r="70" spans="11:15" x14ac:dyDescent="0.25">
      <c r="K70" s="101">
        <f t="shared" si="35"/>
        <v>4.9703509475749517</v>
      </c>
      <c r="L70" s="96">
        <f t="shared" si="36"/>
        <v>15.92747184939731</v>
      </c>
      <c r="M70" s="96"/>
      <c r="N70" s="96">
        <f t="shared" si="37"/>
        <v>3.7762168109662078</v>
      </c>
      <c r="O70" s="96">
        <f t="shared" si="38"/>
        <v>14.685842830810083</v>
      </c>
    </row>
    <row r="71" spans="11:15" x14ac:dyDescent="0.25">
      <c r="K71" s="101">
        <f t="shared" si="35"/>
        <v>4.5056964729232147</v>
      </c>
      <c r="L71" s="96">
        <f t="shared" si="36"/>
        <v>15.312151890428343</v>
      </c>
      <c r="M71" s="96"/>
      <c r="N71" s="96">
        <f t="shared" si="37"/>
        <v>3.7762168109662082</v>
      </c>
      <c r="O71" s="96">
        <f t="shared" si="38"/>
        <v>14.685842830810085</v>
      </c>
    </row>
    <row r="72" spans="11:15" x14ac:dyDescent="0.25">
      <c r="K72" s="101">
        <f t="shared" si="35"/>
        <v>4.8848944577073965</v>
      </c>
      <c r="L72" s="96">
        <f t="shared" si="36"/>
        <v>15.931521348532121</v>
      </c>
      <c r="M72" s="96"/>
      <c r="N72" s="96">
        <f t="shared" si="37"/>
        <v>3.7762168109662078</v>
      </c>
      <c r="O72" s="96">
        <f t="shared" si="38"/>
        <v>14.685842830810083</v>
      </c>
    </row>
    <row r="73" spans="11:15" x14ac:dyDescent="0.25">
      <c r="K73" s="101">
        <f t="shared" si="35"/>
        <v>3.9208738724398446</v>
      </c>
      <c r="L73" s="96">
        <f t="shared" si="36"/>
        <v>14.511500378374137</v>
      </c>
      <c r="M73" s="96"/>
      <c r="N73" s="96">
        <f t="shared" si="37"/>
        <v>3.7762168109662082</v>
      </c>
      <c r="O73" s="96">
        <f t="shared" si="38"/>
        <v>14.685842830810083</v>
      </c>
    </row>
    <row r="74" spans="11:15" x14ac:dyDescent="0.25">
      <c r="K74" s="101">
        <f t="shared" si="35"/>
        <v>4.0225288189281407</v>
      </c>
      <c r="L74" s="96">
        <f t="shared" si="36"/>
        <v>14.562064804545145</v>
      </c>
      <c r="M74" s="96"/>
      <c r="N74" s="96">
        <f t="shared" si="37"/>
        <v>3.7762168109662082</v>
      </c>
      <c r="O74" s="96">
        <f t="shared" si="38"/>
        <v>14.685842830810083</v>
      </c>
    </row>
    <row r="75" spans="11:15" x14ac:dyDescent="0.25">
      <c r="K75" s="101">
        <f t="shared" si="35"/>
        <v>3.6892722586152003</v>
      </c>
      <c r="L75" s="96">
        <f t="shared" si="36"/>
        <v>14.539058421007162</v>
      </c>
      <c r="M75" s="96"/>
      <c r="N75" s="96">
        <f t="shared" si="37"/>
        <v>3.7762168109662086</v>
      </c>
      <c r="O75" s="96">
        <f t="shared" si="38"/>
        <v>14.685842830810083</v>
      </c>
    </row>
    <row r="76" spans="11:15" x14ac:dyDescent="0.25">
      <c r="K76" s="101">
        <f t="shared" si="35"/>
        <v>5.0844949947648255</v>
      </c>
      <c r="L76" s="96">
        <f t="shared" si="36"/>
        <v>15.938196255964789</v>
      </c>
      <c r="M76" s="96"/>
      <c r="N76" s="96">
        <f t="shared" si="37"/>
        <v>3.7762168109662086</v>
      </c>
      <c r="O76" s="96">
        <f t="shared" si="38"/>
        <v>14.685842830810083</v>
      </c>
    </row>
    <row r="77" spans="11:15" x14ac:dyDescent="0.25">
      <c r="K77" s="101">
        <f t="shared" si="35"/>
        <v>4.6922882588782109</v>
      </c>
      <c r="L77" s="96">
        <f t="shared" si="36"/>
        <v>15.946353248754439</v>
      </c>
      <c r="M77" s="96"/>
      <c r="N77" s="96">
        <f t="shared" si="37"/>
        <v>3.7762168109662082</v>
      </c>
      <c r="O77" s="96">
        <f t="shared" si="38"/>
        <v>14.685842830810083</v>
      </c>
    </row>
    <row r="78" spans="11:15" x14ac:dyDescent="0.25">
      <c r="K78" s="101">
        <f t="shared" si="35"/>
        <v>4.2221675588462633</v>
      </c>
      <c r="L78" s="96"/>
      <c r="M78" s="96"/>
      <c r="N78" s="96">
        <f t="shared" si="37"/>
        <v>3.7762168109662086</v>
      </c>
      <c r="O78" s="96"/>
    </row>
    <row r="79" spans="11:15" x14ac:dyDescent="0.25">
      <c r="K79" s="96">
        <f t="shared" ref="K79:K89" si="39">(F25+$G$9-F$19)/$F$9</f>
        <v>5.4254105304338927</v>
      </c>
      <c r="L79" s="96">
        <f t="shared" ref="L79:L88" si="40">(F37+$G$9-F$31)/$F$9</f>
        <v>16.397924407676875</v>
      </c>
      <c r="M79" s="96"/>
      <c r="N79" s="96">
        <f>K79+LOG10(I25/I$19)</f>
        <v>3.7762168109662078</v>
      </c>
      <c r="O79" s="96">
        <f>L79+LOG10(I37/I$31)</f>
        <v>14.685842830810083</v>
      </c>
    </row>
    <row r="80" spans="11:15" x14ac:dyDescent="0.25">
      <c r="K80" s="96">
        <f t="shared" si="39"/>
        <v>6.659903410005005</v>
      </c>
      <c r="L80" s="96">
        <f t="shared" si="40"/>
        <v>17.488960169058561</v>
      </c>
      <c r="M80" s="96"/>
      <c r="N80" s="96">
        <f t="shared" ref="N80:N89" si="41">K80+LOG10(I26/I$19)</f>
        <v>3.7762168109662086</v>
      </c>
      <c r="O80" s="96">
        <f t="shared" ref="O80:O88" si="42">L80+LOG10(I38/I$31)</f>
        <v>14.685842830810085</v>
      </c>
    </row>
    <row r="81" spans="11:15" x14ac:dyDescent="0.25">
      <c r="K81" s="96">
        <f t="shared" si="39"/>
        <v>4.5450587271329246</v>
      </c>
      <c r="L81" s="96">
        <f t="shared" si="40"/>
        <v>15.825816902909015</v>
      </c>
      <c r="M81" s="96"/>
      <c r="N81" s="96">
        <f t="shared" si="41"/>
        <v>3.7762168109662082</v>
      </c>
      <c r="O81" s="96">
        <f t="shared" si="42"/>
        <v>14.685842830810085</v>
      </c>
    </row>
    <row r="82" spans="11:15" x14ac:dyDescent="0.25">
      <c r="K82" s="96">
        <f t="shared" si="39"/>
        <v>4.0804042524811877</v>
      </c>
      <c r="L82" s="96">
        <f t="shared" si="40"/>
        <v>15.210496943940045</v>
      </c>
      <c r="M82" s="96"/>
      <c r="N82" s="96">
        <f t="shared" si="41"/>
        <v>3.7762168109662082</v>
      </c>
      <c r="O82" s="96">
        <f t="shared" si="42"/>
        <v>14.685842830810083</v>
      </c>
    </row>
    <row r="83" spans="11:15" x14ac:dyDescent="0.25">
      <c r="K83" s="96">
        <f t="shared" si="39"/>
        <v>4.4596022372653694</v>
      </c>
      <c r="L83" s="96">
        <f t="shared" si="40"/>
        <v>15.829866402043823</v>
      </c>
      <c r="M83" s="96"/>
      <c r="N83" s="96">
        <f t="shared" si="41"/>
        <v>3.7762168109662082</v>
      </c>
      <c r="O83" s="96">
        <f t="shared" si="42"/>
        <v>14.685842830810083</v>
      </c>
    </row>
    <row r="84" spans="11:15" x14ac:dyDescent="0.25">
      <c r="K84" s="96">
        <f t="shared" si="39"/>
        <v>3.4955816519978176</v>
      </c>
      <c r="L84" s="96">
        <f t="shared" si="40"/>
        <v>14.40984543188584</v>
      </c>
      <c r="M84" s="96"/>
      <c r="N84" s="96">
        <f t="shared" si="41"/>
        <v>3.7762168109662086</v>
      </c>
      <c r="O84" s="96">
        <f t="shared" si="42"/>
        <v>14.685842830810083</v>
      </c>
    </row>
    <row r="85" spans="11:15" x14ac:dyDescent="0.25">
      <c r="K85" s="96">
        <f t="shared" si="39"/>
        <v>3.5972365984861137</v>
      </c>
      <c r="L85" s="96">
        <f t="shared" si="40"/>
        <v>14.460409858056849</v>
      </c>
      <c r="M85" s="96"/>
      <c r="N85" s="96">
        <f t="shared" si="41"/>
        <v>3.7762168109662082</v>
      </c>
      <c r="O85" s="96">
        <f t="shared" si="42"/>
        <v>14.685842830810083</v>
      </c>
    </row>
    <row r="86" spans="11:15" x14ac:dyDescent="0.25">
      <c r="K86" s="96">
        <f t="shared" si="39"/>
        <v>3.2639800381731727</v>
      </c>
      <c r="L86" s="96">
        <f t="shared" si="40"/>
        <v>14.437403474518867</v>
      </c>
      <c r="M86" s="96"/>
      <c r="N86" s="96">
        <f t="shared" si="41"/>
        <v>3.7762168109662082</v>
      </c>
      <c r="O86" s="96">
        <f t="shared" si="42"/>
        <v>14.685842830810083</v>
      </c>
    </row>
    <row r="87" spans="11:15" x14ac:dyDescent="0.25">
      <c r="K87" s="96">
        <f t="shared" si="39"/>
        <v>4.6592027743227984</v>
      </c>
      <c r="L87" s="96">
        <f t="shared" si="40"/>
        <v>15.836541309476493</v>
      </c>
      <c r="M87" s="96"/>
      <c r="N87" s="96">
        <f t="shared" si="41"/>
        <v>3.7762168109662086</v>
      </c>
      <c r="O87" s="96">
        <f t="shared" si="42"/>
        <v>14.685842830810083</v>
      </c>
    </row>
    <row r="88" spans="11:15" x14ac:dyDescent="0.25">
      <c r="K88" s="96">
        <f t="shared" si="39"/>
        <v>4.2669960384361838</v>
      </c>
      <c r="L88" s="96">
        <f t="shared" si="40"/>
        <v>15.844698302266144</v>
      </c>
      <c r="M88" s="96"/>
      <c r="N88" s="96">
        <f t="shared" si="41"/>
        <v>3.7762168109662086</v>
      </c>
      <c r="O88" s="96">
        <f t="shared" si="42"/>
        <v>14.685842830810083</v>
      </c>
    </row>
    <row r="89" spans="11:15" x14ac:dyDescent="0.25">
      <c r="K89" s="96">
        <f t="shared" si="39"/>
        <v>3.7968753384042362</v>
      </c>
      <c r="L89" s="96"/>
      <c r="M89" s="96"/>
      <c r="N89" s="96">
        <f t="shared" si="41"/>
        <v>3.7762168109662086</v>
      </c>
      <c r="O89" s="96"/>
    </row>
    <row r="90" spans="11:15" x14ac:dyDescent="0.25">
      <c r="K90" s="96">
        <f t="shared" ref="K90:K100" si="43">(F25+$G$9-F$20)/$F$9</f>
        <v>5.4489568164978257</v>
      </c>
      <c r="L90" s="96">
        <f t="shared" ref="L90:L99" si="44">(F37+$G$9-F$32)/$F$9</f>
        <v>16.731180967989815</v>
      </c>
      <c r="M90" s="96"/>
      <c r="N90" s="96">
        <f>K90+LOG10(I25/I$20)</f>
        <v>3.7762168109662086</v>
      </c>
      <c r="O90" s="96">
        <f>L90+LOG10(I37/I$32)</f>
        <v>14.685842830810081</v>
      </c>
    </row>
    <row r="91" spans="11:15" x14ac:dyDescent="0.25">
      <c r="K91" s="96">
        <f t="shared" si="43"/>
        <v>6.683449696068938</v>
      </c>
      <c r="L91" s="96">
        <f t="shared" si="44"/>
        <v>17.822216729371501</v>
      </c>
      <c r="M91" s="96"/>
      <c r="N91" s="96">
        <f t="shared" ref="N91:N100" si="45">K91+LOG10(I26/I$20)</f>
        <v>3.7762168109662091</v>
      </c>
      <c r="O91" s="96">
        <f t="shared" ref="O91:O99" si="46">L91+LOG10(I38/I$32)</f>
        <v>14.685842830810085</v>
      </c>
    </row>
    <row r="92" spans="11:15" x14ac:dyDescent="0.25">
      <c r="K92" s="96">
        <f t="shared" si="43"/>
        <v>4.5686050131968567</v>
      </c>
      <c r="L92" s="96">
        <f t="shared" si="44"/>
        <v>16.159073463221954</v>
      </c>
      <c r="M92" s="96"/>
      <c r="N92" s="96">
        <f t="shared" si="45"/>
        <v>3.7762168109662082</v>
      </c>
      <c r="O92" s="96">
        <f t="shared" si="46"/>
        <v>14.685842830810083</v>
      </c>
    </row>
    <row r="93" spans="11:15" x14ac:dyDescent="0.25">
      <c r="K93" s="96">
        <f t="shared" si="43"/>
        <v>4.1039505385451207</v>
      </c>
      <c r="L93" s="96">
        <f t="shared" si="44"/>
        <v>15.543753504252987</v>
      </c>
      <c r="M93" s="96"/>
      <c r="N93" s="96">
        <f t="shared" si="45"/>
        <v>3.7762168109662086</v>
      </c>
      <c r="O93" s="96">
        <f t="shared" si="46"/>
        <v>14.685842830810083</v>
      </c>
    </row>
    <row r="94" spans="11:15" x14ac:dyDescent="0.25">
      <c r="K94" s="96">
        <f t="shared" si="43"/>
        <v>4.4831485233293025</v>
      </c>
      <c r="L94" s="96">
        <f t="shared" si="44"/>
        <v>16.163122962356766</v>
      </c>
      <c r="M94" s="96"/>
      <c r="N94" s="96">
        <f t="shared" si="45"/>
        <v>3.7762168109662086</v>
      </c>
      <c r="O94" s="96">
        <f t="shared" si="46"/>
        <v>14.685842830810085</v>
      </c>
    </row>
    <row r="95" spans="11:15" x14ac:dyDescent="0.25">
      <c r="K95" s="96">
        <f t="shared" si="43"/>
        <v>3.5191279380617497</v>
      </c>
      <c r="L95" s="96">
        <f t="shared" si="44"/>
        <v>14.743101992198781</v>
      </c>
      <c r="M95" s="96"/>
      <c r="N95" s="96">
        <f t="shared" si="45"/>
        <v>3.7762168109662082</v>
      </c>
      <c r="O95" s="96">
        <f t="shared" si="46"/>
        <v>14.685842830810083</v>
      </c>
    </row>
    <row r="96" spans="11:15" x14ac:dyDescent="0.25">
      <c r="K96" s="96">
        <f t="shared" si="43"/>
        <v>3.6207828845500463</v>
      </c>
      <c r="L96" s="96">
        <f t="shared" si="44"/>
        <v>14.793666418369789</v>
      </c>
      <c r="M96" s="96"/>
      <c r="N96" s="96">
        <f t="shared" si="45"/>
        <v>3.7762168109662086</v>
      </c>
      <c r="O96" s="96">
        <f t="shared" si="46"/>
        <v>14.685842830810083</v>
      </c>
    </row>
    <row r="97" spans="11:15" x14ac:dyDescent="0.25">
      <c r="K97" s="96">
        <f t="shared" si="43"/>
        <v>3.2875263242371053</v>
      </c>
      <c r="L97" s="96">
        <f t="shared" si="44"/>
        <v>14.770660034831806</v>
      </c>
      <c r="M97" s="96"/>
      <c r="N97" s="96">
        <f t="shared" si="45"/>
        <v>3.7762168109662086</v>
      </c>
      <c r="O97" s="96">
        <f t="shared" si="46"/>
        <v>14.685842830810083</v>
      </c>
    </row>
    <row r="98" spans="11:15" x14ac:dyDescent="0.25">
      <c r="K98" s="96">
        <f t="shared" si="43"/>
        <v>4.6827490603867306</v>
      </c>
      <c r="L98" s="96">
        <f t="shared" si="44"/>
        <v>16.169797869789434</v>
      </c>
      <c r="M98" s="96"/>
      <c r="N98" s="96">
        <f t="shared" si="45"/>
        <v>3.7762168109662082</v>
      </c>
      <c r="O98" s="96">
        <f t="shared" si="46"/>
        <v>14.685842830810085</v>
      </c>
    </row>
    <row r="99" spans="11:15" x14ac:dyDescent="0.25">
      <c r="K99" s="96">
        <f t="shared" si="43"/>
        <v>4.290542324500116</v>
      </c>
      <c r="L99" s="96">
        <f t="shared" si="44"/>
        <v>16.177954862579085</v>
      </c>
      <c r="M99" s="96"/>
      <c r="N99" s="96">
        <f t="shared" si="45"/>
        <v>3.7762168109662082</v>
      </c>
      <c r="O99" s="96">
        <f t="shared" si="46"/>
        <v>14.685842830810085</v>
      </c>
    </row>
    <row r="100" spans="11:15" x14ac:dyDescent="0.25">
      <c r="K100" s="96">
        <f t="shared" si="43"/>
        <v>3.8204216244681688</v>
      </c>
      <c r="L100" s="96"/>
      <c r="M100" s="96"/>
      <c r="N100" s="96">
        <f t="shared" si="45"/>
        <v>3.7762168109662086</v>
      </c>
    </row>
    <row r="101" spans="11:15" x14ac:dyDescent="0.25">
      <c r="K101" s="96">
        <f t="shared" ref="K101:K111" si="47">(F25+$G$9-F$21)/$F$9</f>
        <v>4.8980086118766222</v>
      </c>
      <c r="L101" s="96">
        <f t="shared" ref="L101:L110" si="48">(F37+$G$9-F$33)/$F$9</f>
        <v>15.335958231840191</v>
      </c>
      <c r="M101" s="96"/>
      <c r="N101" s="96">
        <f>K101+LOG10(I25/I$21)</f>
        <v>3.7762168109662078</v>
      </c>
      <c r="O101" s="96">
        <f>L101+LOG10(I37/I$33)</f>
        <v>14.685842830810085</v>
      </c>
    </row>
    <row r="102" spans="11:15" x14ac:dyDescent="0.25">
      <c r="K102" s="96">
        <f t="shared" si="47"/>
        <v>6.1325014914477345</v>
      </c>
      <c r="L102" s="96">
        <f t="shared" si="48"/>
        <v>16.426993993221874</v>
      </c>
      <c r="M102" s="96"/>
      <c r="N102" s="96">
        <f t="shared" ref="N102:N111" si="49">K102+LOG10(I26/I$21)</f>
        <v>3.7762168109662086</v>
      </c>
      <c r="O102" s="96">
        <f t="shared" ref="O102:O110" si="50">L102+LOG10(I38/I$33)</f>
        <v>14.685842830810081</v>
      </c>
    </row>
    <row r="103" spans="11:15" x14ac:dyDescent="0.25">
      <c r="K103" s="96">
        <f t="shared" si="47"/>
        <v>4.0176568085756541</v>
      </c>
      <c r="L103" s="96">
        <f t="shared" si="48"/>
        <v>14.763850727072329</v>
      </c>
      <c r="M103" s="96"/>
      <c r="N103" s="96">
        <f t="shared" si="49"/>
        <v>3.7762168109662082</v>
      </c>
      <c r="O103" s="96">
        <f t="shared" si="50"/>
        <v>14.685842830810083</v>
      </c>
    </row>
    <row r="104" spans="11:15" x14ac:dyDescent="0.25">
      <c r="K104" s="96">
        <f t="shared" si="47"/>
        <v>3.5530023339239176</v>
      </c>
      <c r="L104" s="96">
        <f t="shared" si="48"/>
        <v>14.148530768103361</v>
      </c>
      <c r="M104" s="96"/>
      <c r="N104" s="96">
        <f t="shared" si="49"/>
        <v>3.7762168109662086</v>
      </c>
      <c r="O104" s="96">
        <f t="shared" si="50"/>
        <v>14.685842830810083</v>
      </c>
    </row>
    <row r="105" spans="11:15" x14ac:dyDescent="0.25">
      <c r="K105" s="96">
        <f t="shared" si="47"/>
        <v>3.9322003187080994</v>
      </c>
      <c r="L105" s="96">
        <f t="shared" si="48"/>
        <v>14.767900226207139</v>
      </c>
      <c r="M105" s="96"/>
      <c r="N105" s="96">
        <f t="shared" si="49"/>
        <v>3.7762168109662086</v>
      </c>
      <c r="O105" s="96">
        <f t="shared" si="50"/>
        <v>14.685842830810083</v>
      </c>
    </row>
    <row r="106" spans="11:15" x14ac:dyDescent="0.25">
      <c r="K106" s="96">
        <f t="shared" si="47"/>
        <v>2.9681797334405471</v>
      </c>
      <c r="L106" s="96">
        <f t="shared" si="48"/>
        <v>13.347879256049156</v>
      </c>
      <c r="M106" s="96"/>
      <c r="N106" s="96">
        <f t="shared" si="49"/>
        <v>3.7762168109662086</v>
      </c>
      <c r="O106" s="96">
        <f t="shared" si="50"/>
        <v>14.685842830810083</v>
      </c>
    </row>
    <row r="107" spans="11:15" x14ac:dyDescent="0.25">
      <c r="K107" s="96">
        <f t="shared" si="47"/>
        <v>3.0698346799288436</v>
      </c>
      <c r="L107" s="96">
        <f t="shared" si="48"/>
        <v>13.398443682220163</v>
      </c>
      <c r="M107" s="96"/>
      <c r="N107" s="96">
        <f t="shared" si="49"/>
        <v>3.7762168109662086</v>
      </c>
      <c r="O107" s="96">
        <f t="shared" si="50"/>
        <v>14.685842830810083</v>
      </c>
    </row>
    <row r="108" spans="11:15" x14ac:dyDescent="0.25">
      <c r="K108" s="96">
        <f t="shared" si="47"/>
        <v>2.7365781196159027</v>
      </c>
      <c r="L108" s="96">
        <f t="shared" si="48"/>
        <v>13.375437298682181</v>
      </c>
      <c r="M108" s="96"/>
      <c r="N108" s="96">
        <f t="shared" si="49"/>
        <v>3.7762168109662086</v>
      </c>
      <c r="O108" s="96">
        <f t="shared" si="50"/>
        <v>14.685842830810083</v>
      </c>
    </row>
    <row r="109" spans="11:15" x14ac:dyDescent="0.25">
      <c r="K109" s="96">
        <f t="shared" si="47"/>
        <v>4.1318008557655279</v>
      </c>
      <c r="L109" s="96">
        <f t="shared" si="48"/>
        <v>14.774575133639809</v>
      </c>
      <c r="M109" s="96"/>
      <c r="N109" s="96">
        <f t="shared" si="49"/>
        <v>3.7762168109662086</v>
      </c>
      <c r="O109" s="96">
        <f t="shared" si="50"/>
        <v>14.685842830810085</v>
      </c>
    </row>
    <row r="110" spans="11:15" x14ac:dyDescent="0.25">
      <c r="K110" s="96">
        <f t="shared" si="47"/>
        <v>3.7395941198789133</v>
      </c>
      <c r="L110" s="96">
        <f t="shared" si="48"/>
        <v>14.782732126429458</v>
      </c>
      <c r="M110" s="96"/>
      <c r="N110" s="96">
        <f t="shared" si="49"/>
        <v>3.7762168109662082</v>
      </c>
      <c r="O110" s="96">
        <f t="shared" si="50"/>
        <v>14.685842830810083</v>
      </c>
    </row>
    <row r="111" spans="11:15" x14ac:dyDescent="0.25">
      <c r="K111" s="96">
        <f t="shared" si="47"/>
        <v>3.2694734198469657</v>
      </c>
      <c r="L111" s="96"/>
      <c r="M111" s="96"/>
      <c r="N111" s="96">
        <f t="shared" si="49"/>
        <v>3.7762168109662086</v>
      </c>
      <c r="O111" s="96"/>
    </row>
    <row r="112" spans="11:15" x14ac:dyDescent="0.25">
      <c r="K112" s="96">
        <f t="shared" ref="K112:K122" si="51">(F25+$G$9-F$22)/$F$9</f>
        <v>4.5755712746696489</v>
      </c>
      <c r="L112" s="96">
        <f t="shared" ref="L112:L121" si="52">(F37+$G$9-F$34)/$F$9</f>
        <v>15.728164967726805</v>
      </c>
      <c r="M112" s="96"/>
      <c r="N112" s="96">
        <f>K112+LOG10(I25/I$22)</f>
        <v>3.7762168109662086</v>
      </c>
      <c r="O112" s="96">
        <f>L112+LOG10(I37/I$34)</f>
        <v>14.685842830810083</v>
      </c>
    </row>
    <row r="113" spans="11:15" x14ac:dyDescent="0.25">
      <c r="K113" s="96">
        <f t="shared" si="51"/>
        <v>5.8100641542407612</v>
      </c>
      <c r="L113" s="96">
        <f t="shared" si="52"/>
        <v>16.819200729108491</v>
      </c>
      <c r="M113" s="96"/>
      <c r="N113" s="96">
        <f t="shared" ref="N113:N122" si="53">K113+LOG10(I26/I$22)</f>
        <v>3.7762168109662091</v>
      </c>
      <c r="O113" s="96">
        <f t="shared" ref="O113:O121" si="54">L113+LOG10(I38/I$34)</f>
        <v>14.685842830810085</v>
      </c>
    </row>
    <row r="114" spans="11:15" x14ac:dyDescent="0.25">
      <c r="K114" s="96">
        <f t="shared" si="51"/>
        <v>3.6952194713686808</v>
      </c>
      <c r="L114" s="96">
        <f t="shared" si="52"/>
        <v>15.156057462958945</v>
      </c>
      <c r="M114" s="96"/>
      <c r="N114" s="96">
        <f t="shared" si="53"/>
        <v>3.7762168109662086</v>
      </c>
      <c r="O114" s="96">
        <f t="shared" si="54"/>
        <v>14.685842830810085</v>
      </c>
    </row>
    <row r="115" spans="11:15" x14ac:dyDescent="0.25">
      <c r="K115" s="96">
        <f t="shared" si="51"/>
        <v>3.2305649967169439</v>
      </c>
      <c r="L115" s="96">
        <f t="shared" si="52"/>
        <v>14.540737503989975</v>
      </c>
      <c r="M115" s="96"/>
      <c r="N115" s="96">
        <f t="shared" si="53"/>
        <v>3.7762168109662086</v>
      </c>
      <c r="O115" s="96">
        <f t="shared" si="54"/>
        <v>14.685842830810083</v>
      </c>
    </row>
    <row r="116" spans="11:15" x14ac:dyDescent="0.25">
      <c r="K116" s="96">
        <f t="shared" si="51"/>
        <v>3.6097629815011256</v>
      </c>
      <c r="L116" s="96">
        <f t="shared" si="52"/>
        <v>15.160106962093753</v>
      </c>
      <c r="M116" s="96"/>
      <c r="N116" s="96">
        <f t="shared" si="53"/>
        <v>3.7762168109662086</v>
      </c>
      <c r="O116" s="96">
        <f t="shared" si="54"/>
        <v>14.685842830810083</v>
      </c>
    </row>
    <row r="117" spans="11:15" x14ac:dyDescent="0.25">
      <c r="K117" s="96">
        <f t="shared" si="51"/>
        <v>2.6457423962335733</v>
      </c>
      <c r="L117" s="96">
        <f t="shared" si="52"/>
        <v>13.74008599193577</v>
      </c>
      <c r="M117" s="96"/>
      <c r="N117" s="96">
        <f t="shared" si="53"/>
        <v>3.7762168109662086</v>
      </c>
      <c r="O117" s="96">
        <f t="shared" si="54"/>
        <v>14.685842830810083</v>
      </c>
    </row>
    <row r="118" spans="11:15" x14ac:dyDescent="0.25">
      <c r="K118" s="96">
        <f t="shared" si="51"/>
        <v>2.7473973427218699</v>
      </c>
      <c r="L118" s="96">
        <f t="shared" si="52"/>
        <v>13.790650418106779</v>
      </c>
      <c r="M118" s="96"/>
      <c r="N118" s="96">
        <f t="shared" si="53"/>
        <v>3.7762168109662086</v>
      </c>
      <c r="O118" s="96">
        <f t="shared" si="54"/>
        <v>14.685842830810083</v>
      </c>
    </row>
    <row r="119" spans="11:15" x14ac:dyDescent="0.25">
      <c r="K119" s="96">
        <f t="shared" si="51"/>
        <v>2.4141407824089289</v>
      </c>
      <c r="L119" s="96">
        <f t="shared" si="52"/>
        <v>13.767644034568796</v>
      </c>
      <c r="M119" s="96"/>
      <c r="N119" s="96">
        <f t="shared" si="53"/>
        <v>3.7762168109662086</v>
      </c>
      <c r="O119" s="96">
        <f t="shared" si="54"/>
        <v>14.685842830810083</v>
      </c>
    </row>
    <row r="120" spans="11:15" x14ac:dyDescent="0.25">
      <c r="K120" s="96">
        <f t="shared" si="51"/>
        <v>3.8093635185585542</v>
      </c>
      <c r="L120" s="96">
        <f t="shared" si="52"/>
        <v>15.166781869526423</v>
      </c>
      <c r="M120" s="96"/>
      <c r="N120" s="96">
        <f t="shared" si="53"/>
        <v>3.7762168109662086</v>
      </c>
      <c r="O120" s="96">
        <f t="shared" si="54"/>
        <v>14.685842830810083</v>
      </c>
    </row>
    <row r="121" spans="11:15" x14ac:dyDescent="0.25">
      <c r="K121" s="96">
        <f t="shared" si="51"/>
        <v>3.4171567826719396</v>
      </c>
      <c r="L121" s="96">
        <f t="shared" si="52"/>
        <v>15.174938862316074</v>
      </c>
      <c r="M121" s="96"/>
      <c r="N121" s="96">
        <f t="shared" si="53"/>
        <v>3.7762168109662082</v>
      </c>
      <c r="O121" s="96">
        <f t="shared" si="54"/>
        <v>14.685842830810083</v>
      </c>
    </row>
    <row r="122" spans="11:15" x14ac:dyDescent="0.25">
      <c r="K122" s="96">
        <f t="shared" si="51"/>
        <v>2.9470360826399919</v>
      </c>
      <c r="L122" s="96"/>
      <c r="M122" s="96"/>
      <c r="N122" s="96">
        <f t="shared" si="53"/>
        <v>3.7762168109662086</v>
      </c>
      <c r="O122" s="96"/>
    </row>
    <row r="123" spans="11:15" x14ac:dyDescent="0.25">
      <c r="K123" s="96">
        <f t="shared" ref="K123:K133" si="55">(F25+$G$9-F$23)/$F$9</f>
        <v>5.7067269028328962</v>
      </c>
      <c r="L123" s="96">
        <f t="shared" ref="L123:L132" si="56">(F37+$G$9-F$35)/$F$9</f>
        <v>16.198285667758753</v>
      </c>
      <c r="M123" s="96"/>
      <c r="N123" s="96">
        <f>K123+LOG10(I25/I$23)</f>
        <v>3.7762168109662082</v>
      </c>
      <c r="O123" s="96">
        <f>L123+LOG10(I37/I$35)</f>
        <v>14.685842830810085</v>
      </c>
    </row>
    <row r="124" spans="11:15" x14ac:dyDescent="0.25">
      <c r="K124" s="96">
        <f t="shared" si="55"/>
        <v>6.9412197824040085</v>
      </c>
      <c r="L124" s="96">
        <f t="shared" si="56"/>
        <v>17.289321429140436</v>
      </c>
      <c r="M124" s="96"/>
      <c r="N124" s="96">
        <f t="shared" ref="N124:N133" si="57">K124+LOG10(I26/I$23)</f>
        <v>3.7762168109662086</v>
      </c>
      <c r="O124" s="96">
        <f t="shared" ref="O124:O132" si="58">L124+LOG10(I38/I$35)</f>
        <v>14.685842830810081</v>
      </c>
    </row>
    <row r="125" spans="11:15" x14ac:dyDescent="0.25">
      <c r="K125" s="96">
        <f t="shared" si="55"/>
        <v>4.8263750995319281</v>
      </c>
      <c r="L125" s="96">
        <f t="shared" si="56"/>
        <v>15.626178162990891</v>
      </c>
      <c r="M125" s="96"/>
      <c r="N125" s="96">
        <f t="shared" si="57"/>
        <v>3.7762168109662086</v>
      </c>
      <c r="O125" s="96">
        <f t="shared" si="58"/>
        <v>14.685842830810083</v>
      </c>
    </row>
    <row r="126" spans="11:15" x14ac:dyDescent="0.25">
      <c r="K126" s="96">
        <f t="shared" si="55"/>
        <v>4.3617206248801912</v>
      </c>
      <c r="L126" s="96">
        <f t="shared" si="56"/>
        <v>15.010858204021924</v>
      </c>
      <c r="M126" s="96"/>
      <c r="N126" s="96">
        <f t="shared" si="57"/>
        <v>3.7762168109662082</v>
      </c>
      <c r="O126" s="96">
        <f t="shared" si="58"/>
        <v>14.685842830810083</v>
      </c>
    </row>
    <row r="127" spans="11:15" x14ac:dyDescent="0.25">
      <c r="K127" s="96">
        <f t="shared" si="55"/>
        <v>4.740918609664373</v>
      </c>
      <c r="L127" s="96">
        <f t="shared" si="56"/>
        <v>15.630227662125701</v>
      </c>
      <c r="M127" s="96"/>
      <c r="N127" s="96">
        <f t="shared" si="57"/>
        <v>3.7762168109662082</v>
      </c>
      <c r="O127" s="96">
        <f t="shared" si="58"/>
        <v>14.685842830810083</v>
      </c>
    </row>
    <row r="128" spans="11:15" x14ac:dyDescent="0.25">
      <c r="K128" s="96">
        <f t="shared" si="55"/>
        <v>3.7768980243968211</v>
      </c>
      <c r="L128" s="96">
        <f t="shared" si="56"/>
        <v>14.210206691967718</v>
      </c>
      <c r="M128" s="96"/>
      <c r="N128" s="96">
        <f t="shared" si="57"/>
        <v>3.7762168109662086</v>
      </c>
      <c r="O128" s="96">
        <f t="shared" si="58"/>
        <v>14.685842830810083</v>
      </c>
    </row>
    <row r="129" spans="11:15" x14ac:dyDescent="0.25">
      <c r="K129" s="96">
        <f t="shared" si="55"/>
        <v>3.8785529708851172</v>
      </c>
      <c r="L129" s="96">
        <f t="shared" si="56"/>
        <v>14.260771118138726</v>
      </c>
      <c r="M129" s="96"/>
      <c r="N129" s="96">
        <f t="shared" si="57"/>
        <v>3.7762168109662082</v>
      </c>
      <c r="O129" s="96">
        <f t="shared" si="58"/>
        <v>14.685842830810083</v>
      </c>
    </row>
    <row r="130" spans="11:15" x14ac:dyDescent="0.25">
      <c r="K130" s="96">
        <f t="shared" si="55"/>
        <v>3.5452964105721763</v>
      </c>
      <c r="L130" s="96">
        <f t="shared" si="56"/>
        <v>14.237764734600743</v>
      </c>
      <c r="M130" s="96"/>
      <c r="N130" s="96">
        <f t="shared" si="57"/>
        <v>3.7762168109662082</v>
      </c>
      <c r="O130" s="96">
        <f t="shared" si="58"/>
        <v>14.685842830810083</v>
      </c>
    </row>
    <row r="131" spans="11:15" x14ac:dyDescent="0.25">
      <c r="K131" s="96">
        <f t="shared" si="55"/>
        <v>4.9405191467218019</v>
      </c>
      <c r="L131" s="96">
        <f t="shared" si="56"/>
        <v>15.636902569558369</v>
      </c>
      <c r="M131" s="96"/>
      <c r="N131" s="96">
        <f t="shared" si="57"/>
        <v>3.7762168109662086</v>
      </c>
      <c r="O131" s="96">
        <f t="shared" si="58"/>
        <v>14.685842830810083</v>
      </c>
    </row>
    <row r="132" spans="11:15" x14ac:dyDescent="0.25">
      <c r="K132" s="96">
        <f t="shared" si="55"/>
        <v>4.5483124108351873</v>
      </c>
      <c r="L132" s="96">
        <f t="shared" si="56"/>
        <v>15.64505956234802</v>
      </c>
      <c r="M132" s="96"/>
      <c r="N132" s="96">
        <f t="shared" si="57"/>
        <v>3.7762168109662086</v>
      </c>
      <c r="O132" s="96">
        <f t="shared" si="58"/>
        <v>14.685842830810083</v>
      </c>
    </row>
    <row r="133" spans="11:15" x14ac:dyDescent="0.25">
      <c r="K133" s="96">
        <f t="shared" si="55"/>
        <v>4.0781917108032397</v>
      </c>
      <c r="N133" s="96">
        <f t="shared" si="57"/>
        <v>3.7762168109662086</v>
      </c>
      <c r="O133" s="96"/>
    </row>
  </sheetData>
  <mergeCells count="5">
    <mergeCell ref="C11:I11"/>
    <mergeCell ref="B2:I2"/>
    <mergeCell ref="B4:I4"/>
    <mergeCell ref="B5:I5"/>
    <mergeCell ref="B6:I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2"/>
  <sheetViews>
    <sheetView topLeftCell="A22" zoomScale="90" zoomScaleNormal="90" workbookViewId="0">
      <selection activeCell="K22" sqref="K1:K1048576"/>
    </sheetView>
  </sheetViews>
  <sheetFormatPr defaultRowHeight="15" x14ac:dyDescent="0.25"/>
  <cols>
    <col min="1" max="1" width="9.140625" style="3"/>
    <col min="2" max="10" width="12.7109375" customWidth="1"/>
    <col min="11" max="11" width="12.7109375" style="28" customWidth="1"/>
    <col min="12" max="12" width="1.7109375" style="28" customWidth="1"/>
    <col min="13" max="13" width="12.7109375" style="37" customWidth="1"/>
    <col min="16" max="16" width="12" bestFit="1" customWidth="1"/>
  </cols>
  <sheetData>
    <row r="1" spans="1:16" s="3" customFormat="1" x14ac:dyDescent="0.25">
      <c r="K1" s="28"/>
      <c r="L1" s="28"/>
      <c r="M1" s="37"/>
    </row>
    <row r="2" spans="1:16" s="124" customFormat="1" ht="15" customHeight="1" x14ac:dyDescent="0.25">
      <c r="B2" s="146" t="s">
        <v>146</v>
      </c>
      <c r="C2" s="146"/>
      <c r="D2" s="146"/>
      <c r="E2" s="146"/>
      <c r="F2" s="146"/>
      <c r="G2" s="146"/>
      <c r="H2" s="146"/>
      <c r="I2" s="146"/>
      <c r="J2" s="125"/>
      <c r="K2" s="73"/>
      <c r="L2" s="73"/>
      <c r="M2" s="73"/>
      <c r="N2" s="73"/>
      <c r="O2" s="73"/>
      <c r="P2" s="73"/>
    </row>
    <row r="3" spans="1:16" s="124" customFormat="1" ht="15" customHeight="1" x14ac:dyDescent="0.25">
      <c r="B3" s="126"/>
      <c r="C3" s="126"/>
      <c r="D3" s="126"/>
      <c r="E3" s="126"/>
      <c r="F3" s="126"/>
      <c r="G3" s="126"/>
      <c r="H3" s="126"/>
      <c r="I3" s="126"/>
      <c r="J3" s="125"/>
      <c r="K3" s="73"/>
      <c r="L3" s="73"/>
      <c r="M3" s="73"/>
      <c r="N3" s="73"/>
      <c r="O3" s="73"/>
      <c r="P3" s="73"/>
    </row>
    <row r="4" spans="1:16" s="124" customFormat="1" ht="15" customHeight="1" x14ac:dyDescent="0.25">
      <c r="B4" s="147" t="s">
        <v>147</v>
      </c>
      <c r="C4" s="147"/>
      <c r="D4" s="147"/>
      <c r="E4" s="147"/>
      <c r="F4" s="147"/>
      <c r="G4" s="147"/>
      <c r="H4" s="147"/>
      <c r="I4" s="147"/>
      <c r="J4" s="125"/>
      <c r="K4" s="73"/>
      <c r="L4" s="73"/>
      <c r="M4" s="73"/>
      <c r="N4" s="73"/>
      <c r="O4" s="73"/>
      <c r="P4" s="73"/>
    </row>
    <row r="5" spans="1:16" s="124" customFormat="1" ht="15" customHeight="1" x14ac:dyDescent="0.25">
      <c r="B5" s="148" t="s">
        <v>148</v>
      </c>
      <c r="C5" s="148"/>
      <c r="D5" s="148"/>
      <c r="E5" s="148"/>
      <c r="F5" s="148"/>
      <c r="G5" s="148"/>
      <c r="H5" s="148"/>
      <c r="I5" s="148"/>
      <c r="J5" s="125"/>
      <c r="K5" s="73"/>
      <c r="L5" s="73"/>
      <c r="M5" s="73"/>
      <c r="N5" s="73"/>
      <c r="O5" s="73"/>
      <c r="P5" s="73"/>
    </row>
    <row r="6" spans="1:16" s="124" customFormat="1" ht="15" customHeight="1" x14ac:dyDescent="0.25">
      <c r="B6" s="148" t="s">
        <v>149</v>
      </c>
      <c r="C6" s="148"/>
      <c r="D6" s="148"/>
      <c r="E6" s="148"/>
      <c r="F6" s="148"/>
      <c r="G6" s="148"/>
      <c r="H6" s="148"/>
      <c r="I6" s="148"/>
      <c r="J6" s="125"/>
      <c r="K6" s="73"/>
      <c r="L6" s="73"/>
      <c r="M6" s="73"/>
      <c r="N6" s="73"/>
      <c r="O6" s="73"/>
      <c r="P6" s="73"/>
    </row>
    <row r="7" spans="1:16" x14ac:dyDescent="0.25">
      <c r="B7" s="3"/>
      <c r="C7" s="3"/>
      <c r="D7" s="3"/>
      <c r="E7" s="3"/>
      <c r="F7" s="3"/>
      <c r="G7" s="3"/>
      <c r="H7" s="3"/>
      <c r="I7" s="3"/>
    </row>
    <row r="8" spans="1:16" x14ac:dyDescent="0.25">
      <c r="B8" s="5" t="s">
        <v>1</v>
      </c>
      <c r="C8" s="5" t="s">
        <v>2</v>
      </c>
      <c r="D8" s="5" t="s">
        <v>3</v>
      </c>
      <c r="E8" s="5" t="s">
        <v>4</v>
      </c>
      <c r="F8" s="5" t="s">
        <v>10</v>
      </c>
      <c r="G8" s="5" t="s">
        <v>6</v>
      </c>
      <c r="H8" s="5" t="s">
        <v>5</v>
      </c>
      <c r="I8" s="3"/>
    </row>
    <row r="9" spans="1:16" x14ac:dyDescent="0.25">
      <c r="B9" s="5"/>
      <c r="C9" s="5">
        <v>627.5095</v>
      </c>
      <c r="D9" s="5">
        <v>1.9858775000000002E-3</v>
      </c>
      <c r="E9" s="5">
        <v>298.14999999999998</v>
      </c>
      <c r="F9" s="3">
        <f>LN(10)*D9*E9</f>
        <v>1.3633361723368622</v>
      </c>
      <c r="G9" s="5">
        <f>-6.287-265.9+1.89</f>
        <v>-270.29699999999997</v>
      </c>
      <c r="H9" s="5">
        <v>23.060369999999999</v>
      </c>
      <c r="I9" s="3"/>
    </row>
    <row r="10" spans="1:16" s="3" customFormat="1" x14ac:dyDescent="0.25">
      <c r="B10" s="5"/>
      <c r="C10" s="5"/>
      <c r="D10" s="5"/>
      <c r="E10" s="5"/>
      <c r="G10" s="5"/>
      <c r="H10" s="5"/>
      <c r="K10" s="28"/>
      <c r="L10" s="28"/>
      <c r="M10" s="37"/>
    </row>
    <row r="11" spans="1:16" x14ac:dyDescent="0.25">
      <c r="A11" s="111"/>
      <c r="B11" s="106"/>
      <c r="C11" s="145" t="s">
        <v>0</v>
      </c>
      <c r="D11" s="145"/>
      <c r="E11" s="145"/>
      <c r="F11" s="145"/>
      <c r="G11" s="145"/>
      <c r="H11" s="145"/>
      <c r="I11" s="145"/>
      <c r="J11" s="111"/>
      <c r="K11" s="106" t="s">
        <v>8</v>
      </c>
      <c r="L11" s="106"/>
      <c r="M11" s="106" t="s">
        <v>9</v>
      </c>
      <c r="N11" s="127"/>
      <c r="O11" s="127"/>
      <c r="P11" s="127"/>
    </row>
    <row r="12" spans="1:16" x14ac:dyDescent="0.25">
      <c r="A12" s="112"/>
      <c r="B12" s="113" t="s">
        <v>97</v>
      </c>
      <c r="C12" s="113" t="s">
        <v>113</v>
      </c>
      <c r="D12" s="113" t="s">
        <v>99</v>
      </c>
      <c r="E12" s="113" t="s">
        <v>64</v>
      </c>
      <c r="F12" s="113" t="s">
        <v>65</v>
      </c>
      <c r="G12" s="113" t="s">
        <v>66</v>
      </c>
      <c r="H12" s="113" t="s">
        <v>7</v>
      </c>
      <c r="I12" s="113" t="s">
        <v>111</v>
      </c>
      <c r="J12" s="112"/>
      <c r="K12" s="113" t="s">
        <v>18</v>
      </c>
      <c r="L12" s="113"/>
      <c r="M12" s="113" t="s">
        <v>18</v>
      </c>
      <c r="N12" s="127"/>
      <c r="O12" s="127"/>
      <c r="P12" s="127"/>
    </row>
    <row r="13" spans="1:16" ht="17.25" x14ac:dyDescent="0.25">
      <c r="A13" s="2" t="s">
        <v>150</v>
      </c>
      <c r="B13" s="32" t="s">
        <v>44</v>
      </c>
      <c r="C13" s="38">
        <v>-684.22015245600005</v>
      </c>
      <c r="D13" s="38">
        <v>9.9129999999999996E-2</v>
      </c>
      <c r="E13">
        <f>C13+D13</f>
        <v>-684.12102245600011</v>
      </c>
      <c r="F13" s="28">
        <f t="shared" ref="F13:F23" si="0">(C13+D13)*$C$9</f>
        <v>-429292.44074085337</v>
      </c>
      <c r="G13" s="37">
        <f t="shared" ref="G13:G23" si="1">F13-$F$16</f>
        <v>2.6342710757162422</v>
      </c>
      <c r="H13" s="34">
        <f t="shared" ref="H13:H23" si="2">EXP(-G13/($D$9*$E$9))</f>
        <v>1.1688959415893027E-2</v>
      </c>
      <c r="I13" s="35">
        <f>H13/SUM($H$13:$H$23)</f>
        <v>3.4307387565477312E-3</v>
      </c>
      <c r="J13" s="28"/>
      <c r="K13" s="37">
        <f t="shared" ref="K13:K22" si="3">(F25+$G$9-F$13)/$F$9</f>
        <v>-1.1369594160588081</v>
      </c>
      <c r="L13" s="37"/>
      <c r="M13" s="37">
        <f t="shared" ref="M13:M22" si="4">K13+LOG10(I25/I$13)</f>
        <v>-1.4309811077781329</v>
      </c>
    </row>
    <row r="14" spans="1:16" x14ac:dyDescent="0.25">
      <c r="B14" s="32" t="s">
        <v>45</v>
      </c>
      <c r="C14" s="38">
        <v>-684.21687378299998</v>
      </c>
      <c r="D14" s="38">
        <v>9.8888000000000004E-2</v>
      </c>
      <c r="E14" s="3">
        <f t="shared" ref="E14:E23" si="5">C14+D14</f>
        <v>-684.11798578299999</v>
      </c>
      <c r="F14" s="28">
        <f t="shared" si="0"/>
        <v>-429290.53519969742</v>
      </c>
      <c r="G14" s="37">
        <f t="shared" si="1"/>
        <v>4.5398122316692024</v>
      </c>
      <c r="H14" s="34">
        <f t="shared" si="2"/>
        <v>4.6781195060147026E-4</v>
      </c>
      <c r="I14" s="35">
        <f t="shared" ref="I14:I23" si="6">H14/SUM($H$13:$H$23)</f>
        <v>1.3730397485361108E-4</v>
      </c>
      <c r="J14" s="28"/>
      <c r="K14" s="37">
        <f t="shared" si="3"/>
        <v>-0.72225305937343665</v>
      </c>
      <c r="L14" s="37"/>
      <c r="M14" s="37">
        <f t="shared" si="4"/>
        <v>-1.4309811077781331</v>
      </c>
    </row>
    <row r="15" spans="1:16" x14ac:dyDescent="0.25">
      <c r="B15" s="32" t="s">
        <v>46</v>
      </c>
      <c r="C15" s="38">
        <v>-684.22144849699998</v>
      </c>
      <c r="D15" s="38">
        <v>9.7547999999999996E-2</v>
      </c>
      <c r="E15" s="3">
        <f t="shared" si="5"/>
        <v>-684.12390049700002</v>
      </c>
      <c r="F15" s="28">
        <f t="shared" si="0"/>
        <v>-429294.24673892226</v>
      </c>
      <c r="G15" s="37">
        <f t="shared" si="1"/>
        <v>0.82827300683129579</v>
      </c>
      <c r="H15" s="34">
        <f t="shared" si="2"/>
        <v>0.24686871263034599</v>
      </c>
      <c r="I15" s="35">
        <f t="shared" si="6"/>
        <v>7.245658317954444E-2</v>
      </c>
      <c r="J15" s="28"/>
      <c r="K15" s="37">
        <f t="shared" si="3"/>
        <v>-3.119168044984642</v>
      </c>
      <c r="L15" s="37"/>
      <c r="M15" s="37">
        <f t="shared" si="4"/>
        <v>-1.4309811077781331</v>
      </c>
    </row>
    <row r="16" spans="1:16" x14ac:dyDescent="0.25">
      <c r="B16" s="32" t="s">
        <v>47</v>
      </c>
      <c r="C16" s="38">
        <v>-684.22340943400002</v>
      </c>
      <c r="D16" s="38">
        <v>9.8188999999999999E-2</v>
      </c>
      <c r="E16" s="3">
        <f t="shared" si="5"/>
        <v>-684.12522043399997</v>
      </c>
      <c r="F16" s="28">
        <f t="shared" si="0"/>
        <v>-429295.07501192909</v>
      </c>
      <c r="G16" s="37">
        <f t="shared" si="1"/>
        <v>0</v>
      </c>
      <c r="H16" s="34">
        <f t="shared" si="2"/>
        <v>1</v>
      </c>
      <c r="I16" s="35">
        <f t="shared" si="6"/>
        <v>0.29350249534471717</v>
      </c>
      <c r="J16" s="28"/>
      <c r="K16" s="37">
        <f t="shared" si="3"/>
        <v>-2.3602689949514803</v>
      </c>
      <c r="L16" s="37"/>
      <c r="M16" s="37">
        <f t="shared" si="4"/>
        <v>-1.4309811077781329</v>
      </c>
    </row>
    <row r="17" spans="1:13" x14ac:dyDescent="0.25">
      <c r="B17" s="32" t="s">
        <v>48</v>
      </c>
      <c r="C17" s="38">
        <v>-684.22146603900001</v>
      </c>
      <c r="D17" s="38">
        <v>9.7253000000000006E-2</v>
      </c>
      <c r="E17" s="3">
        <f t="shared" si="5"/>
        <v>-684.12421303899998</v>
      </c>
      <c r="F17" s="28">
        <f t="shared" si="0"/>
        <v>-429294.44286199636</v>
      </c>
      <c r="G17" s="37">
        <f t="shared" si="1"/>
        <v>0.63214993273140863</v>
      </c>
      <c r="H17" s="34">
        <f t="shared" si="2"/>
        <v>0.34381221976114451</v>
      </c>
      <c r="I17" s="35">
        <f t="shared" si="6"/>
        <v>0.10090974442990219</v>
      </c>
      <c r="J17" s="28"/>
      <c r="K17" s="37">
        <f t="shared" si="3"/>
        <v>-2.9110699116269392</v>
      </c>
      <c r="L17" s="37"/>
      <c r="M17" s="37">
        <f t="shared" si="4"/>
        <v>-1.4309811077781329</v>
      </c>
    </row>
    <row r="18" spans="1:13" x14ac:dyDescent="0.25">
      <c r="B18" s="32" t="s">
        <v>49</v>
      </c>
      <c r="C18" s="38">
        <v>-684.22124546299995</v>
      </c>
      <c r="D18" s="38">
        <v>9.8252000000000006E-2</v>
      </c>
      <c r="E18" s="3">
        <f t="shared" si="5"/>
        <v>-684.12299346299994</v>
      </c>
      <c r="F18" s="28">
        <f t="shared" si="0"/>
        <v>-429293.67756647035</v>
      </c>
      <c r="G18" s="37">
        <f t="shared" si="1"/>
        <v>1.3974454587441869</v>
      </c>
      <c r="H18" s="34">
        <f t="shared" si="2"/>
        <v>9.4401960930175999E-2</v>
      </c>
      <c r="I18" s="35">
        <f t="shared" si="6"/>
        <v>2.7707211098441153E-2</v>
      </c>
      <c r="J18" s="28"/>
      <c r="K18" s="37">
        <f t="shared" si="3"/>
        <v>-2.831170321322154</v>
      </c>
      <c r="L18" s="37"/>
      <c r="M18" s="37">
        <f t="shared" si="4"/>
        <v>-1.4309811077781329</v>
      </c>
    </row>
    <row r="19" spans="1:13" x14ac:dyDescent="0.25">
      <c r="B19" s="32" t="s">
        <v>50</v>
      </c>
      <c r="C19" s="38">
        <v>-684.22094300499998</v>
      </c>
      <c r="D19" s="38">
        <v>9.8673999999999998E-2</v>
      </c>
      <c r="E19" s="3">
        <f t="shared" si="5"/>
        <v>-684.12226900500002</v>
      </c>
      <c r="F19" s="28">
        <f t="shared" si="0"/>
        <v>-429293.22296219307</v>
      </c>
      <c r="G19" s="37">
        <f t="shared" si="1"/>
        <v>1.852049736015033</v>
      </c>
      <c r="H19" s="34">
        <f t="shared" si="2"/>
        <v>4.3805751972754117E-2</v>
      </c>
      <c r="I19" s="35">
        <f t="shared" si="6"/>
        <v>1.28570975144551E-2</v>
      </c>
      <c r="J19" s="28"/>
      <c r="K19" s="37">
        <f t="shared" si="3"/>
        <v>-2.9004034997075769</v>
      </c>
      <c r="L19" s="37"/>
      <c r="M19" s="37">
        <f t="shared" si="4"/>
        <v>-1.4309811077781331</v>
      </c>
    </row>
    <row r="20" spans="1:13" x14ac:dyDescent="0.25">
      <c r="B20" s="32" t="s">
        <v>51</v>
      </c>
      <c r="C20" s="38">
        <v>-684.22125833099994</v>
      </c>
      <c r="D20" s="38">
        <v>9.8535999999999999E-2</v>
      </c>
      <c r="E20" s="3">
        <f t="shared" si="5"/>
        <v>-684.12272233099998</v>
      </c>
      <c r="F20" s="28">
        <f t="shared" si="0"/>
        <v>-429293.50742856466</v>
      </c>
      <c r="G20" s="37">
        <f t="shared" si="1"/>
        <v>1.5675833644345403</v>
      </c>
      <c r="H20" s="34">
        <f t="shared" si="2"/>
        <v>7.0824863411937736E-2</v>
      </c>
      <c r="I20" s="35">
        <f t="shared" si="6"/>
        <v>2.0787274143852483E-2</v>
      </c>
      <c r="J20" s="28"/>
      <c r="K20" s="37">
        <f t="shared" si="3"/>
        <v>-2.9520702843596855</v>
      </c>
      <c r="L20" s="37"/>
      <c r="M20" s="37">
        <f t="shared" si="4"/>
        <v>-1.4309811077781331</v>
      </c>
    </row>
    <row r="21" spans="1:13" x14ac:dyDescent="0.25">
      <c r="B21" s="32" t="s">
        <v>52</v>
      </c>
      <c r="C21" s="28">
        <v>-684.22149233699997</v>
      </c>
      <c r="D21" s="28">
        <v>9.6837000000000006E-2</v>
      </c>
      <c r="E21" s="3">
        <f t="shared" si="5"/>
        <v>-684.12465533699992</v>
      </c>
      <c r="F21" s="28">
        <f t="shared" si="0"/>
        <v>-429294.72040819313</v>
      </c>
      <c r="G21" s="37">
        <f t="shared" si="1"/>
        <v>0.35460373596288264</v>
      </c>
      <c r="H21" s="34">
        <f t="shared" si="2"/>
        <v>0.5494143542466321</v>
      </c>
      <c r="I21" s="35">
        <f t="shared" si="6"/>
        <v>0.16125448394959294</v>
      </c>
      <c r="J21" s="28"/>
      <c r="K21" s="37">
        <f t="shared" si="3"/>
        <v>-3.2493361045986258</v>
      </c>
      <c r="L21" s="37"/>
      <c r="M21" s="37">
        <f t="shared" si="4"/>
        <v>-1.4309811077781334</v>
      </c>
    </row>
    <row r="22" spans="1:13" x14ac:dyDescent="0.25">
      <c r="B22" s="32" t="s">
        <v>53</v>
      </c>
      <c r="C22" s="28">
        <v>-684.22184958699995</v>
      </c>
      <c r="D22" s="28">
        <v>9.6639000000000003E-2</v>
      </c>
      <c r="E22" s="3">
        <f t="shared" si="5"/>
        <v>-684.12521058699997</v>
      </c>
      <c r="F22" s="28">
        <f t="shared" si="0"/>
        <v>-429295.06883284304</v>
      </c>
      <c r="G22" s="37">
        <f t="shared" si="1"/>
        <v>6.1790860490873456E-3</v>
      </c>
      <c r="H22" s="34">
        <f t="shared" si="2"/>
        <v>0.9896181970569613</v>
      </c>
      <c r="I22" s="35">
        <f t="shared" si="6"/>
        <v>0.29045541027475819</v>
      </c>
      <c r="J22" s="37">
        <f>(F33+$G$9-F$22)/$F$9</f>
        <v>-1.3216442828798454</v>
      </c>
      <c r="K22" s="37">
        <f t="shared" si="3"/>
        <v>-3.1271910977424611</v>
      </c>
      <c r="L22" s="37"/>
      <c r="M22" s="37">
        <f t="shared" si="4"/>
        <v>-1.4309811077781331</v>
      </c>
    </row>
    <row r="23" spans="1:13" x14ac:dyDescent="0.25">
      <c r="B23" s="32" t="s">
        <v>71</v>
      </c>
      <c r="C23">
        <v>-684.22098748300004</v>
      </c>
      <c r="D23">
        <v>9.8483000000000001E-2</v>
      </c>
      <c r="E23" s="3">
        <f t="shared" si="5"/>
        <v>-684.12250448300006</v>
      </c>
      <c r="F23" s="28">
        <f t="shared" si="0"/>
        <v>-429293.37072687515</v>
      </c>
      <c r="G23" s="37">
        <f t="shared" si="1"/>
        <v>1.7042850539437495</v>
      </c>
      <c r="H23" s="34">
        <f t="shared" si="2"/>
        <v>5.6223226701884801E-2</v>
      </c>
      <c r="I23" s="35">
        <f t="shared" si="6"/>
        <v>1.6501657333334922E-2</v>
      </c>
      <c r="K23" s="37">
        <f t="shared" ref="K23:K32" si="7">(F25+$G$9-F$14)/$F$9</f>
        <v>-2.5346639548349761</v>
      </c>
      <c r="L23" s="6"/>
      <c r="M23" s="37">
        <f t="shared" ref="M23:M32" si="8">K23+LOG10(I25/I$14)</f>
        <v>-1.4309811077781327</v>
      </c>
    </row>
    <row r="24" spans="1:13" x14ac:dyDescent="0.25">
      <c r="A24" s="128"/>
      <c r="B24" s="130"/>
      <c r="C24" s="134"/>
      <c r="D24" s="134"/>
      <c r="E24" s="134"/>
      <c r="F24" s="134"/>
      <c r="G24" s="134"/>
      <c r="H24" s="135"/>
      <c r="I24" s="136"/>
      <c r="K24" s="37">
        <f t="shared" si="7"/>
        <v>-2.1199575981496048</v>
      </c>
      <c r="L24" s="6"/>
      <c r="M24" s="37">
        <f t="shared" si="8"/>
        <v>-1.4309811077781331</v>
      </c>
    </row>
    <row r="25" spans="1:13" ht="16.5" x14ac:dyDescent="0.25">
      <c r="A25" s="90" t="s">
        <v>151</v>
      </c>
      <c r="B25" s="32" t="s">
        <v>54</v>
      </c>
      <c r="C25" s="28">
        <v>-683.78249686699996</v>
      </c>
      <c r="D25" s="28" t="s">
        <v>75</v>
      </c>
      <c r="E25" s="28">
        <v>8.6737999999999996E-2</v>
      </c>
      <c r="F25" s="28">
        <f t="shared" ref="F25:F32" si="9">(C25+E25)*$C$9+1.89</f>
        <v>-429023.69379875174</v>
      </c>
      <c r="G25" s="37">
        <f>F25-$F$33</f>
        <v>2.8798795490874909</v>
      </c>
      <c r="H25" s="34">
        <f t="shared" ref="H25:H34" si="10">EXP(-G25/($D$9*$E$9))</f>
        <v>7.7201068542286791E-3</v>
      </c>
      <c r="I25" s="35">
        <f>H25/SUM($H$25:$H$34)</f>
        <v>1.7432752205047226E-3</v>
      </c>
      <c r="K25" s="37">
        <f t="shared" si="7"/>
        <v>-4.5168725837608097</v>
      </c>
      <c r="L25" s="6"/>
      <c r="M25" s="37">
        <f t="shared" si="8"/>
        <v>-1.4309811077781327</v>
      </c>
    </row>
    <row r="26" spans="1:13" x14ac:dyDescent="0.25">
      <c r="B26" s="32" t="s">
        <v>55</v>
      </c>
      <c r="C26" s="28">
        <v>-683.78070387000002</v>
      </c>
      <c r="D26" s="28" t="s">
        <v>76</v>
      </c>
      <c r="E26" s="28">
        <v>8.5846000000000006E-2</v>
      </c>
      <c r="F26" s="28">
        <f t="shared" si="9"/>
        <v>-429023.12841457478</v>
      </c>
      <c r="G26" s="37">
        <f t="shared" ref="G26:G34" si="11">F26-$F$33</f>
        <v>3.4452637260546908</v>
      </c>
      <c r="H26" s="34">
        <f t="shared" si="10"/>
        <v>2.9710978479552536E-3</v>
      </c>
      <c r="I26" s="35">
        <f t="shared" ref="I26:I34" si="12">H26/SUM($H$25:$H$34)</f>
        <v>6.7090279368325954E-4</v>
      </c>
      <c r="K26" s="37">
        <f t="shared" si="7"/>
        <v>-3.7579735337276485</v>
      </c>
      <c r="L26" s="6"/>
      <c r="M26" s="37">
        <f t="shared" si="8"/>
        <v>-1.4309811077781331</v>
      </c>
    </row>
    <row r="27" spans="1:13" x14ac:dyDescent="0.25">
      <c r="B27" s="32" t="s">
        <v>56</v>
      </c>
      <c r="C27" s="28">
        <v>-683.78513444199996</v>
      </c>
      <c r="D27" s="28" t="s">
        <v>77</v>
      </c>
      <c r="E27" s="28">
        <v>8.5069000000000006E-2</v>
      </c>
      <c r="F27" s="28">
        <f t="shared" si="9"/>
        <v>-429026.39621547668</v>
      </c>
      <c r="G27" s="37">
        <f t="shared" si="11"/>
        <v>0.1774628241546452</v>
      </c>
      <c r="H27" s="34">
        <f t="shared" si="10"/>
        <v>0.74102343081632338</v>
      </c>
      <c r="I27" s="35">
        <f t="shared" si="12"/>
        <v>0.167330298549936</v>
      </c>
      <c r="K27" s="37">
        <f t="shared" si="7"/>
        <v>-4.3087744504031074</v>
      </c>
      <c r="L27" s="6"/>
      <c r="M27" s="37">
        <f t="shared" si="8"/>
        <v>-1.4309811077781331</v>
      </c>
    </row>
    <row r="28" spans="1:13" x14ac:dyDescent="0.25">
      <c r="B28" s="32" t="s">
        <v>57</v>
      </c>
      <c r="C28" s="28">
        <v>-683.78486264699995</v>
      </c>
      <c r="D28" s="28" t="s">
        <v>80</v>
      </c>
      <c r="E28" s="28">
        <v>8.6445999999999995E-2</v>
      </c>
      <c r="F28" s="28">
        <f t="shared" si="9"/>
        <v>-429025.36158095062</v>
      </c>
      <c r="G28" s="37">
        <f t="shared" si="11"/>
        <v>1.2120973502169363</v>
      </c>
      <c r="H28" s="34">
        <f t="shared" si="10"/>
        <v>0.12910197625013348</v>
      </c>
      <c r="I28" s="35">
        <f t="shared" si="12"/>
        <v>2.9152482001174686E-2</v>
      </c>
      <c r="K28" s="37">
        <f t="shared" si="7"/>
        <v>-4.2288748600983217</v>
      </c>
      <c r="L28" s="6"/>
      <c r="M28" s="37">
        <f t="shared" si="8"/>
        <v>-1.4309811077781327</v>
      </c>
    </row>
    <row r="29" spans="1:13" x14ac:dyDescent="0.25">
      <c r="B29" s="32" t="s">
        <v>58</v>
      </c>
      <c r="C29" s="28">
        <v>-683.78513432499994</v>
      </c>
      <c r="D29" s="28" t="s">
        <v>81</v>
      </c>
      <c r="E29" s="28">
        <v>8.5521E-2</v>
      </c>
      <c r="F29" s="28">
        <f t="shared" si="9"/>
        <v>-429026.11250776408</v>
      </c>
      <c r="G29" s="37">
        <f t="shared" si="11"/>
        <v>0.46117053675698116</v>
      </c>
      <c r="H29" s="34">
        <f t="shared" si="10"/>
        <v>0.45891664193436499</v>
      </c>
      <c r="I29" s="35">
        <f t="shared" si="12"/>
        <v>0.1036278415917531</v>
      </c>
      <c r="K29" s="37">
        <f t="shared" si="7"/>
        <v>-4.2981080384837451</v>
      </c>
      <c r="L29" s="6"/>
      <c r="M29" s="37">
        <f t="shared" si="8"/>
        <v>-1.4309811077781331</v>
      </c>
    </row>
    <row r="30" spans="1:13" x14ac:dyDescent="0.25">
      <c r="B30" s="32" t="s">
        <v>59</v>
      </c>
      <c r="C30" s="28">
        <v>-683.78651273399998</v>
      </c>
      <c r="D30" s="28" t="s">
        <v>79</v>
      </c>
      <c r="E30" s="28">
        <v>8.7072999999999998E-2</v>
      </c>
      <c r="F30" s="28">
        <f t="shared" si="9"/>
        <v>-429026.00357776246</v>
      </c>
      <c r="G30" s="37">
        <f t="shared" si="11"/>
        <v>0.57010053837439045</v>
      </c>
      <c r="H30" s="34">
        <f t="shared" si="10"/>
        <v>0.38179849903944757</v>
      </c>
      <c r="I30" s="35">
        <f t="shared" si="12"/>
        <v>8.621381480449257E-2</v>
      </c>
      <c r="K30" s="37">
        <f t="shared" si="7"/>
        <v>-4.3497748231358537</v>
      </c>
      <c r="L30" s="6"/>
      <c r="M30" s="37">
        <f t="shared" si="8"/>
        <v>-1.4309811077781331</v>
      </c>
    </row>
    <row r="31" spans="1:13" x14ac:dyDescent="0.25">
      <c r="B31" s="32" t="s">
        <v>60</v>
      </c>
      <c r="C31" s="28">
        <v>-683.78652315099998</v>
      </c>
      <c r="D31" s="28" t="s">
        <v>78</v>
      </c>
      <c r="E31" s="28">
        <v>8.6932999999999996E-2</v>
      </c>
      <c r="F31" s="28">
        <f t="shared" si="9"/>
        <v>-429026.09796585888</v>
      </c>
      <c r="G31" s="37">
        <f t="shared" si="11"/>
        <v>0.47571244195569307</v>
      </c>
      <c r="H31" s="34">
        <f t="shared" si="10"/>
        <v>0.44778278704919111</v>
      </c>
      <c r="I31" s="35">
        <f t="shared" si="12"/>
        <v>0.10111370886062548</v>
      </c>
      <c r="K31" s="37">
        <f t="shared" si="7"/>
        <v>-4.6470406433747939</v>
      </c>
      <c r="L31" s="6"/>
      <c r="M31" s="37">
        <f t="shared" si="8"/>
        <v>-1.4309811077781331</v>
      </c>
    </row>
    <row r="32" spans="1:13" x14ac:dyDescent="0.25">
      <c r="B32" s="32" t="s">
        <v>61</v>
      </c>
      <c r="C32" s="28">
        <v>-683.78651640299995</v>
      </c>
      <c r="D32" s="28" t="s">
        <v>82</v>
      </c>
      <c r="E32" s="28">
        <v>8.6814000000000002E-2</v>
      </c>
      <c r="F32" s="28">
        <f t="shared" si="9"/>
        <v>-429026.1684050553</v>
      </c>
      <c r="G32" s="37">
        <f t="shared" si="11"/>
        <v>0.40527324553113431</v>
      </c>
      <c r="H32" s="34">
        <f t="shared" si="10"/>
        <v>0.50435250215840732</v>
      </c>
      <c r="I32" s="35">
        <f t="shared" si="12"/>
        <v>0.11388770078107294</v>
      </c>
      <c r="K32" s="37">
        <f t="shared" si="7"/>
        <v>-4.5248956365186288</v>
      </c>
      <c r="L32" s="6"/>
      <c r="M32" s="37">
        <f t="shared" si="8"/>
        <v>-1.4309811077781327</v>
      </c>
    </row>
    <row r="33" spans="1:13" x14ac:dyDescent="0.25">
      <c r="B33" s="32" t="s">
        <v>62</v>
      </c>
      <c r="C33" s="28">
        <v>-683.785124247</v>
      </c>
      <c r="D33" s="28" t="s">
        <v>73</v>
      </c>
      <c r="E33" s="28">
        <v>8.4776000000000004E-2</v>
      </c>
      <c r="F33" s="28">
        <f t="shared" ref="F33:F34" si="13">(C33+E33)*$C$9+1.89</f>
        <v>-429026.57367830083</v>
      </c>
      <c r="G33" s="37">
        <f t="shared" si="11"/>
        <v>0</v>
      </c>
      <c r="H33" s="34">
        <f t="shared" si="10"/>
        <v>1</v>
      </c>
      <c r="I33" s="35">
        <f t="shared" si="12"/>
        <v>0.22580972691457576</v>
      </c>
      <c r="K33" s="37">
        <f t="shared" ref="K33:K42" si="14">(F25+$G$9-F$15)/$F$9</f>
        <v>0.18773078547037736</v>
      </c>
      <c r="L33" s="37"/>
      <c r="M33" s="37">
        <f t="shared" ref="M33:M42" si="15">K33+LOG10(I25/I$15)</f>
        <v>-1.4309811077781327</v>
      </c>
    </row>
    <row r="34" spans="1:13" x14ac:dyDescent="0.25">
      <c r="B34" s="32" t="s">
        <v>63</v>
      </c>
      <c r="C34" s="28">
        <v>-683.78512187299998</v>
      </c>
      <c r="D34" s="28" t="s">
        <v>72</v>
      </c>
      <c r="E34" s="28">
        <v>8.5039000000000003E-2</v>
      </c>
      <c r="F34" s="28">
        <f t="shared" si="13"/>
        <v>-429026.40715359472</v>
      </c>
      <c r="G34" s="37">
        <f t="shared" si="11"/>
        <v>0.16652470611734316</v>
      </c>
      <c r="H34" s="34">
        <f t="shared" si="10"/>
        <v>0.75484015153458461</v>
      </c>
      <c r="I34" s="35">
        <f t="shared" si="12"/>
        <v>0.17045024848218154</v>
      </c>
      <c r="K34" s="37">
        <f t="shared" si="14"/>
        <v>0.60243714215574884</v>
      </c>
      <c r="L34" s="37"/>
      <c r="M34" s="37">
        <f t="shared" si="15"/>
        <v>-1.4309811077781329</v>
      </c>
    </row>
    <row r="35" spans="1:13" x14ac:dyDescent="0.25">
      <c r="A35" s="128"/>
      <c r="B35" s="128"/>
      <c r="C35" s="128"/>
      <c r="D35" s="137"/>
      <c r="E35" s="128"/>
      <c r="F35" s="128"/>
      <c r="G35" s="128"/>
      <c r="H35" s="128"/>
      <c r="I35" s="128"/>
      <c r="K35" s="37">
        <f t="shared" si="14"/>
        <v>-1.7944778434554562</v>
      </c>
      <c r="L35" s="37"/>
      <c r="M35" s="37">
        <f t="shared" si="15"/>
        <v>-1.4309811077781327</v>
      </c>
    </row>
    <row r="36" spans="1:13" x14ac:dyDescent="0.25">
      <c r="K36" s="37">
        <f t="shared" si="14"/>
        <v>-1.0355787934222949</v>
      </c>
      <c r="L36" s="37"/>
      <c r="M36" s="37">
        <f t="shared" si="15"/>
        <v>-1.4309811077781327</v>
      </c>
    </row>
    <row r="37" spans="1:13" x14ac:dyDescent="0.25">
      <c r="B37" s="128"/>
      <c r="C37" s="129" t="s">
        <v>14</v>
      </c>
      <c r="D37" s="129"/>
      <c r="E37" s="130"/>
      <c r="F37" s="130"/>
      <c r="K37" s="37">
        <f t="shared" si="14"/>
        <v>-1.5863797100977539</v>
      </c>
      <c r="L37" s="37"/>
      <c r="M37" s="37">
        <f t="shared" si="15"/>
        <v>-1.4309811077781329</v>
      </c>
    </row>
    <row r="38" spans="1:13" x14ac:dyDescent="0.25">
      <c r="B38" s="129"/>
      <c r="C38" s="142" t="s">
        <v>64</v>
      </c>
      <c r="D38" s="142" t="s">
        <v>65</v>
      </c>
      <c r="E38" s="134"/>
      <c r="F38" s="134" t="s">
        <v>18</v>
      </c>
      <c r="K38" s="37">
        <f t="shared" si="14"/>
        <v>-1.5064801197929687</v>
      </c>
      <c r="L38" s="37"/>
      <c r="M38" s="37">
        <f t="shared" si="15"/>
        <v>-1.4309811077781329</v>
      </c>
    </row>
    <row r="39" spans="1:13" ht="16.5" x14ac:dyDescent="0.25">
      <c r="B39" s="117" t="s">
        <v>154</v>
      </c>
      <c r="C39" s="3">
        <v>-683.30463299999997</v>
      </c>
      <c r="D39" s="11">
        <f t="shared" ref="D39:D40" si="16">C39*$C$9</f>
        <v>-428780.14860151347</v>
      </c>
      <c r="E39" s="3"/>
      <c r="F39" s="4">
        <f>(D40+$G$9-D39)/$F$9</f>
        <v>-2.3394257163179066</v>
      </c>
      <c r="H39" s="4"/>
      <c r="K39" s="37">
        <f t="shared" si="14"/>
        <v>-1.5757132981783915</v>
      </c>
      <c r="L39" s="37"/>
      <c r="M39" s="37">
        <f t="shared" si="15"/>
        <v>-1.4309811077781329</v>
      </c>
    </row>
    <row r="40" spans="1:13" ht="16.5" x14ac:dyDescent="0.25">
      <c r="B40" s="117" t="s">
        <v>155</v>
      </c>
      <c r="C40" s="11">
        <v>-682.87896999999998</v>
      </c>
      <c r="D40" s="11">
        <f t="shared" si="16"/>
        <v>-428513.041025215</v>
      </c>
      <c r="E40" s="3"/>
      <c r="F40" s="3"/>
      <c r="K40" s="37">
        <f t="shared" si="14"/>
        <v>-1.6273800828305001</v>
      </c>
      <c r="L40" s="37"/>
      <c r="M40" s="37">
        <f t="shared" si="15"/>
        <v>-1.4309811077781329</v>
      </c>
    </row>
    <row r="41" spans="1:13" x14ac:dyDescent="0.25">
      <c r="B41" s="128"/>
      <c r="C41" s="105" t="s">
        <v>141</v>
      </c>
      <c r="D41" s="128"/>
      <c r="E41" s="128"/>
      <c r="F41" s="128"/>
      <c r="K41" s="37">
        <f t="shared" si="14"/>
        <v>-1.9246459030694401</v>
      </c>
      <c r="L41" s="37"/>
      <c r="M41" s="37">
        <f t="shared" si="15"/>
        <v>-1.4309811077781327</v>
      </c>
    </row>
    <row r="42" spans="1:13" ht="15" customHeight="1" x14ac:dyDescent="0.35">
      <c r="B42" s="117" t="s">
        <v>152</v>
      </c>
      <c r="C42" s="28">
        <v>-836.02453200000002</v>
      </c>
      <c r="D42" s="38">
        <f>C42*$C$9</f>
        <v>-524613.33606305404</v>
      </c>
      <c r="E42" s="28"/>
      <c r="F42" s="57">
        <f>(D43+$G$9-D42)/$F$9</f>
        <v>-1.2085301435025755</v>
      </c>
      <c r="K42" s="37">
        <f t="shared" si="14"/>
        <v>-1.8025008962132756</v>
      </c>
      <c r="L42" s="37"/>
      <c r="M42" s="37">
        <f t="shared" si="15"/>
        <v>-1.4309811077781329</v>
      </c>
    </row>
    <row r="43" spans="1:13" ht="18" x14ac:dyDescent="0.35">
      <c r="B43" s="117" t="s">
        <v>153</v>
      </c>
      <c r="C43" s="28">
        <v>-835.59641199999999</v>
      </c>
      <c r="D43" s="38">
        <f>C43*$C$9</f>
        <v>-524344.68669591402</v>
      </c>
      <c r="E43" s="28"/>
      <c r="F43" s="28"/>
      <c r="K43" s="37">
        <f t="shared" ref="K43:K52" si="17">(F25+$G$9-F$16)/$F$9</f>
        <v>0.79526473317718005</v>
      </c>
      <c r="L43" s="6"/>
      <c r="M43" s="37">
        <f t="shared" ref="M43:M52" si="18">K43+LOG10(I25/I$16)</f>
        <v>-1.4309811077781329</v>
      </c>
    </row>
    <row r="44" spans="1:13" x14ac:dyDescent="0.25">
      <c r="B44" s="131"/>
      <c r="C44" s="128"/>
      <c r="D44" s="132"/>
      <c r="E44" s="128"/>
      <c r="F44" s="133"/>
      <c r="I44" s="9"/>
      <c r="K44" s="37">
        <f t="shared" si="17"/>
        <v>1.2099710898625515</v>
      </c>
      <c r="L44" s="6"/>
      <c r="M44" s="37">
        <f t="shared" si="18"/>
        <v>-1.4309811077781327</v>
      </c>
    </row>
    <row r="45" spans="1:13" x14ac:dyDescent="0.25">
      <c r="B45" s="11"/>
      <c r="C45" s="11"/>
      <c r="D45" s="11"/>
      <c r="E45" s="11"/>
      <c r="F45" s="11"/>
      <c r="K45" s="37">
        <f t="shared" si="17"/>
        <v>-1.1869438957486536</v>
      </c>
      <c r="L45" s="6"/>
      <c r="M45" s="37">
        <f t="shared" si="18"/>
        <v>-1.4309811077781329</v>
      </c>
    </row>
    <row r="46" spans="1:13" x14ac:dyDescent="0.25">
      <c r="B46" s="13"/>
      <c r="D46" s="11"/>
      <c r="E46" s="11"/>
      <c r="F46" s="11"/>
      <c r="K46" s="37">
        <f t="shared" si="17"/>
        <v>-0.42804484571549223</v>
      </c>
      <c r="L46" s="6"/>
      <c r="M46" s="37">
        <f t="shared" si="18"/>
        <v>-1.4309811077781327</v>
      </c>
    </row>
    <row r="47" spans="1:13" x14ac:dyDescent="0.25">
      <c r="B47" s="11"/>
      <c r="D47" s="12"/>
      <c r="E47" s="12"/>
      <c r="F47" s="12"/>
      <c r="K47" s="37">
        <f t="shared" si="17"/>
        <v>-0.97884576239095111</v>
      </c>
      <c r="L47" s="6"/>
      <c r="M47" s="37">
        <f t="shared" si="18"/>
        <v>-1.4309811077781327</v>
      </c>
    </row>
    <row r="48" spans="1:13" x14ac:dyDescent="0.25">
      <c r="B48" s="11"/>
      <c r="D48" s="12"/>
      <c r="K48" s="37">
        <f t="shared" si="17"/>
        <v>-0.8989461720861659</v>
      </c>
      <c r="L48" s="6"/>
      <c r="M48" s="37">
        <f t="shared" si="18"/>
        <v>-1.4309811077781327</v>
      </c>
    </row>
    <row r="49" spans="2:16" x14ac:dyDescent="0.25">
      <c r="B49" s="11"/>
      <c r="D49" s="12"/>
      <c r="E49" s="3"/>
      <c r="F49" s="3"/>
      <c r="K49" s="37">
        <f t="shared" si="17"/>
        <v>-0.96817935047158865</v>
      </c>
      <c r="L49" s="6"/>
      <c r="M49" s="37">
        <f t="shared" si="18"/>
        <v>-1.4309811077781327</v>
      </c>
    </row>
    <row r="50" spans="2:16" x14ac:dyDescent="0.25">
      <c r="B50" s="13"/>
      <c r="D50" s="12"/>
      <c r="K50" s="37">
        <f t="shared" si="17"/>
        <v>-1.0198461351236974</v>
      </c>
      <c r="L50" s="6"/>
      <c r="M50" s="37">
        <f t="shared" si="18"/>
        <v>-1.4309811077781329</v>
      </c>
    </row>
    <row r="51" spans="2:16" x14ac:dyDescent="0.25">
      <c r="K51" s="37">
        <f t="shared" si="17"/>
        <v>-1.3171119553626374</v>
      </c>
      <c r="L51" s="6"/>
      <c r="M51" s="37">
        <f t="shared" si="18"/>
        <v>-1.4309811077781329</v>
      </c>
    </row>
    <row r="52" spans="2:16" x14ac:dyDescent="0.25">
      <c r="K52" s="37">
        <f t="shared" si="17"/>
        <v>-1.1949669485064729</v>
      </c>
      <c r="L52" s="6"/>
      <c r="M52" s="37">
        <f t="shared" si="18"/>
        <v>-1.4309811077781329</v>
      </c>
    </row>
    <row r="53" spans="2:16" x14ac:dyDescent="0.25">
      <c r="G53" s="12"/>
      <c r="K53" s="37">
        <f t="shared" ref="K53:K62" si="19">(F25+$G$9-F$17)/$F$9</f>
        <v>0.33158604148087201</v>
      </c>
      <c r="L53" s="37"/>
      <c r="M53" s="37">
        <f t="shared" ref="M53:M62" si="20">K53+LOG10(I25/I$17)</f>
        <v>-1.4309811077781329</v>
      </c>
    </row>
    <row r="54" spans="2:16" x14ac:dyDescent="0.25">
      <c r="K54" s="37">
        <f t="shared" si="19"/>
        <v>0.74629239816624349</v>
      </c>
      <c r="L54" s="37"/>
      <c r="M54" s="37">
        <f t="shared" si="20"/>
        <v>-1.4309811077781331</v>
      </c>
    </row>
    <row r="55" spans="2:16" x14ac:dyDescent="0.25">
      <c r="K55" s="37">
        <f t="shared" si="19"/>
        <v>-1.6506225874449616</v>
      </c>
      <c r="L55" s="37"/>
      <c r="M55" s="37">
        <f t="shared" si="20"/>
        <v>-1.4309811077781329</v>
      </c>
      <c r="P55" s="14"/>
    </row>
    <row r="56" spans="2:16" x14ac:dyDescent="0.25">
      <c r="K56" s="37">
        <f t="shared" si="19"/>
        <v>-0.89172353741180022</v>
      </c>
      <c r="L56" s="37"/>
      <c r="M56" s="37">
        <f t="shared" si="20"/>
        <v>-1.4309811077781327</v>
      </c>
    </row>
    <row r="57" spans="2:16" x14ac:dyDescent="0.25">
      <c r="K57" s="37">
        <f t="shared" si="19"/>
        <v>-1.4425244540872593</v>
      </c>
      <c r="L57" s="37"/>
      <c r="M57" s="37">
        <f t="shared" si="20"/>
        <v>-1.4309811077781329</v>
      </c>
    </row>
    <row r="58" spans="2:16" x14ac:dyDescent="0.25">
      <c r="K58" s="37">
        <f t="shared" si="19"/>
        <v>-1.362624863782474</v>
      </c>
      <c r="L58" s="37"/>
      <c r="M58" s="37">
        <f t="shared" si="20"/>
        <v>-1.4309811077781329</v>
      </c>
    </row>
    <row r="59" spans="2:16" x14ac:dyDescent="0.25">
      <c r="K59" s="37">
        <f t="shared" si="19"/>
        <v>-1.4318580421678968</v>
      </c>
      <c r="L59" s="37"/>
      <c r="M59" s="37">
        <f t="shared" si="20"/>
        <v>-1.4309811077781329</v>
      </c>
    </row>
    <row r="60" spans="2:16" x14ac:dyDescent="0.25">
      <c r="K60" s="37">
        <f t="shared" si="19"/>
        <v>-1.4835248268200054</v>
      </c>
      <c r="L60" s="37"/>
      <c r="M60" s="37">
        <f t="shared" si="20"/>
        <v>-1.4309811077781329</v>
      </c>
    </row>
    <row r="61" spans="2:16" x14ac:dyDescent="0.25">
      <c r="K61" s="37">
        <f t="shared" si="19"/>
        <v>-1.7807906470589454</v>
      </c>
      <c r="L61" s="37"/>
      <c r="M61" s="37">
        <f t="shared" si="20"/>
        <v>-1.4309811077781329</v>
      </c>
    </row>
    <row r="62" spans="2:16" x14ac:dyDescent="0.25">
      <c r="K62" s="37">
        <f t="shared" si="19"/>
        <v>-1.6586456402027809</v>
      </c>
      <c r="L62" s="37"/>
      <c r="M62" s="37">
        <f t="shared" si="20"/>
        <v>-1.4309811077781329</v>
      </c>
    </row>
    <row r="63" spans="2:16" x14ac:dyDescent="0.25">
      <c r="K63" s="37">
        <f t="shared" ref="K63:K72" si="21">(F25+$G$9-F$18)/$F$9</f>
        <v>-0.22975425120791021</v>
      </c>
      <c r="L63" s="6"/>
      <c r="M63" s="37">
        <f t="shared" ref="M63:M72" si="22">K63+LOG10(I25/I$18)</f>
        <v>-1.4309811077781329</v>
      </c>
    </row>
    <row r="64" spans="2:16" x14ac:dyDescent="0.25">
      <c r="K64" s="37">
        <f t="shared" si="21"/>
        <v>0.18495210547746127</v>
      </c>
      <c r="L64" s="6"/>
      <c r="M64" s="37">
        <f t="shared" si="22"/>
        <v>-1.4309811077781331</v>
      </c>
    </row>
    <row r="65" spans="11:13" x14ac:dyDescent="0.25">
      <c r="K65" s="37">
        <f t="shared" si="21"/>
        <v>-2.2119628801337439</v>
      </c>
      <c r="L65" s="6"/>
      <c r="M65" s="37">
        <f t="shared" si="22"/>
        <v>-1.4309811077781331</v>
      </c>
    </row>
    <row r="66" spans="11:13" x14ac:dyDescent="0.25">
      <c r="K66" s="37">
        <f t="shared" si="21"/>
        <v>-1.4530638301005825</v>
      </c>
      <c r="L66" s="6"/>
      <c r="M66" s="37">
        <f t="shared" si="22"/>
        <v>-1.4309811077781329</v>
      </c>
    </row>
    <row r="67" spans="11:13" x14ac:dyDescent="0.25">
      <c r="K67" s="37">
        <f t="shared" si="21"/>
        <v>-2.0038647467760415</v>
      </c>
      <c r="L67" s="6"/>
      <c r="M67" s="37">
        <f t="shared" si="22"/>
        <v>-1.4309811077781331</v>
      </c>
    </row>
    <row r="68" spans="11:13" x14ac:dyDescent="0.25">
      <c r="K68" s="37">
        <f t="shared" si="21"/>
        <v>-1.9239651564712563</v>
      </c>
      <c r="L68" s="6"/>
      <c r="M68" s="37">
        <f t="shared" si="22"/>
        <v>-1.4309811077781331</v>
      </c>
    </row>
    <row r="69" spans="11:13" x14ac:dyDescent="0.25">
      <c r="K69" s="37">
        <f t="shared" si="21"/>
        <v>-1.9931983348566789</v>
      </c>
      <c r="L69" s="6"/>
      <c r="M69" s="37">
        <f t="shared" si="22"/>
        <v>-1.4309811077781327</v>
      </c>
    </row>
    <row r="70" spans="11:13" x14ac:dyDescent="0.25">
      <c r="K70" s="37">
        <f t="shared" si="21"/>
        <v>-2.0448651195087875</v>
      </c>
      <c r="L70" s="6"/>
      <c r="M70" s="37">
        <f t="shared" si="22"/>
        <v>-1.4309811077781327</v>
      </c>
    </row>
    <row r="71" spans="11:13" x14ac:dyDescent="0.25">
      <c r="K71" s="37">
        <f t="shared" si="21"/>
        <v>-2.3421309397477277</v>
      </c>
      <c r="L71" s="6"/>
      <c r="M71" s="37">
        <f t="shared" si="22"/>
        <v>-1.4309811077781329</v>
      </c>
    </row>
    <row r="72" spans="11:13" x14ac:dyDescent="0.25">
      <c r="K72" s="37">
        <f t="shared" si="21"/>
        <v>-2.219985932891563</v>
      </c>
      <c r="L72" s="6"/>
      <c r="M72" s="37">
        <f t="shared" si="22"/>
        <v>-1.4309811077781327</v>
      </c>
    </row>
    <row r="73" spans="11:13" x14ac:dyDescent="0.25">
      <c r="K73" s="37">
        <f t="shared" ref="K73:K82" si="23">(F25+$G$9-F$19)/$F$9</f>
        <v>-0.56320412695764521</v>
      </c>
      <c r="L73" s="37"/>
      <c r="M73" s="37">
        <f t="shared" ref="M73:M82" si="24">K73+LOG10(I25/I$19)</f>
        <v>-1.4309811077781327</v>
      </c>
    </row>
    <row r="74" spans="11:13" x14ac:dyDescent="0.25">
      <c r="K74" s="37">
        <f t="shared" si="23"/>
        <v>-0.14849777027227376</v>
      </c>
      <c r="L74" s="37"/>
      <c r="M74" s="37">
        <f t="shared" si="24"/>
        <v>-1.4309811077781329</v>
      </c>
    </row>
    <row r="75" spans="11:13" x14ac:dyDescent="0.25">
      <c r="K75" s="37">
        <f t="shared" si="23"/>
        <v>-2.5454127558834787</v>
      </c>
      <c r="L75" s="37"/>
      <c r="M75" s="37">
        <f t="shared" si="24"/>
        <v>-1.4309811077781327</v>
      </c>
    </row>
    <row r="76" spans="11:13" x14ac:dyDescent="0.25">
      <c r="K76" s="37">
        <f t="shared" si="23"/>
        <v>-1.7865137058503175</v>
      </c>
      <c r="L76" s="37"/>
      <c r="M76" s="37">
        <f t="shared" si="24"/>
        <v>-1.4309811077781329</v>
      </c>
    </row>
    <row r="77" spans="11:13" x14ac:dyDescent="0.25">
      <c r="K77" s="37">
        <f t="shared" si="23"/>
        <v>-2.3373146225257764</v>
      </c>
      <c r="L77" s="37"/>
      <c r="M77" s="37">
        <f t="shared" si="24"/>
        <v>-1.4309811077781327</v>
      </c>
    </row>
    <row r="78" spans="11:13" x14ac:dyDescent="0.25">
      <c r="K78" s="37">
        <f t="shared" si="23"/>
        <v>-2.2574150322209912</v>
      </c>
      <c r="L78" s="37"/>
      <c r="M78" s="37">
        <f t="shared" si="24"/>
        <v>-1.4309811077781327</v>
      </c>
    </row>
    <row r="79" spans="11:13" x14ac:dyDescent="0.25">
      <c r="K79" s="37">
        <f t="shared" si="23"/>
        <v>-2.3266482106064141</v>
      </c>
      <c r="L79" s="37"/>
      <c r="M79" s="37">
        <f t="shared" si="24"/>
        <v>-1.4309811077781331</v>
      </c>
    </row>
    <row r="80" spans="11:13" x14ac:dyDescent="0.25">
      <c r="K80" s="37">
        <f t="shared" si="23"/>
        <v>-2.3783149952585227</v>
      </c>
      <c r="L80" s="37"/>
      <c r="M80" s="37">
        <f t="shared" si="24"/>
        <v>-1.4309811077781329</v>
      </c>
    </row>
    <row r="81" spans="11:13" x14ac:dyDescent="0.25">
      <c r="K81" s="37">
        <f t="shared" si="23"/>
        <v>-2.6755808154974625</v>
      </c>
      <c r="L81" s="37"/>
      <c r="M81" s="37">
        <f t="shared" si="24"/>
        <v>-1.4309811077781327</v>
      </c>
    </row>
    <row r="82" spans="11:13" x14ac:dyDescent="0.25">
      <c r="K82" s="37">
        <f t="shared" si="23"/>
        <v>-2.5534358086412983</v>
      </c>
      <c r="L82" s="37"/>
      <c r="M82" s="37">
        <f t="shared" si="24"/>
        <v>-1.4309811077781329</v>
      </c>
    </row>
    <row r="83" spans="11:13" x14ac:dyDescent="0.25">
      <c r="K83" s="37">
        <f t="shared" ref="K83:K92" si="25">(F25+$G$9-F$20)/$F$9</f>
        <v>-0.35454952118063016</v>
      </c>
      <c r="L83" s="6"/>
      <c r="M83" s="37">
        <f>K83+LOG10(I25/I$20)</f>
        <v>-1.4309811077781327</v>
      </c>
    </row>
    <row r="84" spans="11:13" x14ac:dyDescent="0.25">
      <c r="K84" s="37">
        <f t="shared" si="25"/>
        <v>6.0156835504741338E-2</v>
      </c>
      <c r="L84" s="6"/>
      <c r="M84" s="37">
        <f t="shared" ref="M84:M92" si="26">K84+LOG10(I26/I$20)</f>
        <v>-1.4309811077781329</v>
      </c>
    </row>
    <row r="85" spans="11:13" x14ac:dyDescent="0.25">
      <c r="K85" s="37">
        <f t="shared" si="25"/>
        <v>-2.3367581501064638</v>
      </c>
      <c r="L85" s="6"/>
      <c r="M85" s="37">
        <f t="shared" si="26"/>
        <v>-1.4309811077781329</v>
      </c>
    </row>
    <row r="86" spans="11:13" x14ac:dyDescent="0.25">
      <c r="K86" s="37">
        <f t="shared" si="25"/>
        <v>-1.5778591000733024</v>
      </c>
      <c r="L86" s="6"/>
      <c r="M86" s="37">
        <f t="shared" si="26"/>
        <v>-1.4309811077781329</v>
      </c>
    </row>
    <row r="87" spans="11:13" x14ac:dyDescent="0.25">
      <c r="K87" s="37">
        <f t="shared" si="25"/>
        <v>-2.1286600167487615</v>
      </c>
      <c r="L87" s="6"/>
      <c r="M87" s="37">
        <f t="shared" si="26"/>
        <v>-1.4309811077781331</v>
      </c>
    </row>
    <row r="88" spans="11:13" x14ac:dyDescent="0.25">
      <c r="K88" s="37">
        <f t="shared" si="25"/>
        <v>-2.0487604264439763</v>
      </c>
      <c r="L88" s="6"/>
      <c r="M88" s="37">
        <f t="shared" si="26"/>
        <v>-1.4309811077781329</v>
      </c>
    </row>
    <row r="89" spans="11:13" x14ac:dyDescent="0.25">
      <c r="K89" s="37">
        <f t="shared" si="25"/>
        <v>-2.1179936048293988</v>
      </c>
      <c r="L89" s="6"/>
      <c r="M89" s="37">
        <f t="shared" si="26"/>
        <v>-1.4309811077781327</v>
      </c>
    </row>
    <row r="90" spans="11:13" x14ac:dyDescent="0.25">
      <c r="K90" s="37">
        <f t="shared" si="25"/>
        <v>-2.1696603894815074</v>
      </c>
      <c r="L90" s="6"/>
      <c r="M90" s="37">
        <f t="shared" si="26"/>
        <v>-1.4309811077781327</v>
      </c>
    </row>
    <row r="91" spans="11:13" x14ac:dyDescent="0.25">
      <c r="K91" s="37">
        <f t="shared" si="25"/>
        <v>-2.4669262097204476</v>
      </c>
      <c r="L91" s="6"/>
      <c r="M91" s="37">
        <f t="shared" si="26"/>
        <v>-1.4309811077781329</v>
      </c>
    </row>
    <row r="92" spans="11:13" x14ac:dyDescent="0.25">
      <c r="K92" s="37">
        <f t="shared" si="25"/>
        <v>-2.3447812028642829</v>
      </c>
      <c r="L92" s="6"/>
      <c r="M92" s="37">
        <f t="shared" si="26"/>
        <v>-1.4309811077781327</v>
      </c>
    </row>
    <row r="93" spans="11:13" x14ac:dyDescent="0.25">
      <c r="K93" s="37">
        <f t="shared" ref="K93:K102" si="27">(F25+$G$9-F$21)/$F$9</f>
        <v>0.53516473498299677</v>
      </c>
      <c r="L93" s="37"/>
      <c r="M93" s="37">
        <f>K93+LOG10(I25/I$21)</f>
        <v>-1.4309811077781327</v>
      </c>
    </row>
    <row r="94" spans="11:13" x14ac:dyDescent="0.25">
      <c r="K94" s="37">
        <f t="shared" si="27"/>
        <v>0.94987109166836825</v>
      </c>
      <c r="L94" s="37"/>
      <c r="M94" s="37">
        <f t="shared" ref="M94:M102" si="28">K94+LOG10(I26/I$21)</f>
        <v>-1.4309811077781327</v>
      </c>
    </row>
    <row r="95" spans="11:13" x14ac:dyDescent="0.25">
      <c r="K95" s="37">
        <f t="shared" si="27"/>
        <v>-1.4470438939428369</v>
      </c>
      <c r="L95" s="37"/>
      <c r="M95" s="37">
        <f t="shared" si="28"/>
        <v>-1.4309811077781329</v>
      </c>
    </row>
    <row r="96" spans="11:13" x14ac:dyDescent="0.25">
      <c r="K96" s="37">
        <f t="shared" si="27"/>
        <v>-0.68814484390967545</v>
      </c>
      <c r="L96" s="37"/>
      <c r="M96" s="37">
        <f t="shared" si="28"/>
        <v>-1.4309811077781327</v>
      </c>
    </row>
    <row r="97" spans="11:13" x14ac:dyDescent="0.25">
      <c r="K97" s="37">
        <f t="shared" si="27"/>
        <v>-1.2389457605851344</v>
      </c>
      <c r="L97" s="37"/>
      <c r="M97" s="37">
        <f t="shared" si="28"/>
        <v>-1.4309811077781329</v>
      </c>
    </row>
    <row r="98" spans="11:13" x14ac:dyDescent="0.25">
      <c r="K98" s="37">
        <f t="shared" si="27"/>
        <v>-1.1590461702803492</v>
      </c>
      <c r="L98" s="37"/>
      <c r="M98" s="37">
        <f t="shared" si="28"/>
        <v>-1.4309811077781329</v>
      </c>
    </row>
    <row r="99" spans="11:13" x14ac:dyDescent="0.25">
      <c r="K99" s="37">
        <f t="shared" si="27"/>
        <v>-1.2282793486657719</v>
      </c>
      <c r="L99" s="37"/>
      <c r="M99" s="37">
        <f t="shared" si="28"/>
        <v>-1.4309811077781329</v>
      </c>
    </row>
    <row r="100" spans="11:13" x14ac:dyDescent="0.25">
      <c r="K100" s="37">
        <f t="shared" si="27"/>
        <v>-1.2799461333178805</v>
      </c>
      <c r="L100" s="37"/>
      <c r="M100" s="37">
        <f t="shared" si="28"/>
        <v>-1.4309811077781329</v>
      </c>
    </row>
    <row r="101" spans="11:13" x14ac:dyDescent="0.25">
      <c r="K101" s="37">
        <f t="shared" si="27"/>
        <v>-1.5772119535568208</v>
      </c>
      <c r="L101" s="37"/>
      <c r="M101" s="37">
        <f t="shared" si="28"/>
        <v>-1.4309811077781329</v>
      </c>
    </row>
    <row r="102" spans="11:13" x14ac:dyDescent="0.25">
      <c r="K102" s="37">
        <f t="shared" si="27"/>
        <v>-1.4550669467006561</v>
      </c>
      <c r="L102" s="37"/>
      <c r="M102" s="37">
        <f t="shared" si="28"/>
        <v>-1.4309811077781329</v>
      </c>
    </row>
    <row r="103" spans="11:13" x14ac:dyDescent="0.25">
      <c r="K103" s="37">
        <f t="shared" ref="K103:K112" si="29">(F25+$G$9-F$22)/$F$9</f>
        <v>0.79073240565997205</v>
      </c>
      <c r="L103" s="6"/>
      <c r="M103" s="37">
        <f>K103+LOG10(I25/I$22)</f>
        <v>-1.4309811077781327</v>
      </c>
    </row>
    <row r="104" spans="11:13" x14ac:dyDescent="0.25">
      <c r="K104" s="37">
        <f t="shared" si="29"/>
        <v>1.2054387623453435</v>
      </c>
      <c r="L104" s="6"/>
      <c r="M104" s="37">
        <f t="shared" ref="M104:M112" si="30">K104+LOG10(I26/I$22)</f>
        <v>-1.4309811077781329</v>
      </c>
    </row>
    <row r="105" spans="11:13" x14ac:dyDescent="0.25">
      <c r="K105" s="37">
        <f t="shared" si="29"/>
        <v>-1.1914762232658616</v>
      </c>
      <c r="L105" s="6"/>
      <c r="M105" s="37">
        <f t="shared" si="30"/>
        <v>-1.4309811077781329</v>
      </c>
    </row>
    <row r="106" spans="11:13" x14ac:dyDescent="0.25">
      <c r="K106" s="37">
        <f t="shared" si="29"/>
        <v>-0.43257717323270017</v>
      </c>
      <c r="L106" s="6"/>
      <c r="M106" s="37">
        <f t="shared" si="30"/>
        <v>-1.4309811077781327</v>
      </c>
    </row>
    <row r="107" spans="11:13" x14ac:dyDescent="0.25">
      <c r="K107" s="37">
        <f t="shared" si="29"/>
        <v>-0.98337808990815911</v>
      </c>
      <c r="L107" s="6"/>
      <c r="M107" s="37">
        <f t="shared" si="30"/>
        <v>-1.4309811077781327</v>
      </c>
    </row>
    <row r="108" spans="11:13" x14ac:dyDescent="0.25">
      <c r="K108" s="37">
        <f t="shared" si="29"/>
        <v>-0.9034784996033739</v>
      </c>
      <c r="L108" s="6"/>
      <c r="M108" s="37">
        <f t="shared" si="30"/>
        <v>-1.4309811077781327</v>
      </c>
    </row>
    <row r="109" spans="11:13" x14ac:dyDescent="0.25">
      <c r="K109" s="37">
        <f t="shared" si="29"/>
        <v>-0.97271167798879665</v>
      </c>
      <c r="L109" s="6"/>
      <c r="M109" s="37">
        <f t="shared" si="30"/>
        <v>-1.4309811077781329</v>
      </c>
    </row>
    <row r="110" spans="11:13" x14ac:dyDescent="0.25">
      <c r="K110" s="37">
        <f t="shared" si="29"/>
        <v>-1.0243784626409054</v>
      </c>
      <c r="L110" s="6"/>
      <c r="M110" s="37">
        <f t="shared" si="30"/>
        <v>-1.4309811077781329</v>
      </c>
    </row>
    <row r="111" spans="11:13" x14ac:dyDescent="0.25">
      <c r="K111" s="37">
        <f t="shared" si="29"/>
        <v>-1.3216442828798454</v>
      </c>
      <c r="L111" s="6"/>
      <c r="M111" s="37">
        <f t="shared" si="30"/>
        <v>-1.4309811077781329</v>
      </c>
    </row>
    <row r="112" spans="11:13" x14ac:dyDescent="0.25">
      <c r="K112" s="37">
        <f t="shared" si="29"/>
        <v>-1.1994992760236809</v>
      </c>
      <c r="L112" s="6"/>
      <c r="M112" s="37">
        <f t="shared" si="30"/>
        <v>-1.4309811077781329</v>
      </c>
    </row>
    <row r="113" spans="11:13" x14ac:dyDescent="0.25">
      <c r="K113" s="37">
        <f t="shared" ref="K113:K122" si="31">(F25+$G$9-F$23)/$F$9</f>
        <v>-0.45481950028262386</v>
      </c>
      <c r="L113" s="37"/>
      <c r="M113" s="37">
        <f>K113+LOG10(I25/I$23)</f>
        <v>-1.4309811077781329</v>
      </c>
    </row>
    <row r="114" spans="11:13" x14ac:dyDescent="0.25">
      <c r="K114" s="37">
        <f t="shared" si="31"/>
        <v>-4.0113143597252349E-2</v>
      </c>
      <c r="L114" s="37"/>
      <c r="M114" s="37">
        <f t="shared" ref="M114:M122" si="32">K114+LOG10(I26/I$23)</f>
        <v>-1.4309811077781329</v>
      </c>
    </row>
    <row r="115" spans="11:13" x14ac:dyDescent="0.25">
      <c r="K115" s="37">
        <f t="shared" si="31"/>
        <v>-2.4370281292084575</v>
      </c>
      <c r="L115" s="37"/>
      <c r="M115" s="37">
        <f t="shared" si="32"/>
        <v>-1.4309811077781329</v>
      </c>
    </row>
    <row r="116" spans="11:13" x14ac:dyDescent="0.25">
      <c r="K116" s="37">
        <f t="shared" si="31"/>
        <v>-1.6781290791752961</v>
      </c>
      <c r="L116" s="37"/>
      <c r="M116" s="37">
        <f t="shared" si="32"/>
        <v>-1.4309811077781329</v>
      </c>
    </row>
    <row r="117" spans="11:13" x14ac:dyDescent="0.25">
      <c r="K117" s="37">
        <f t="shared" si="31"/>
        <v>-2.2289299958507551</v>
      </c>
      <c r="L117" s="37"/>
      <c r="M117" s="37">
        <f t="shared" si="32"/>
        <v>-1.4309811077781331</v>
      </c>
    </row>
    <row r="118" spans="11:13" x14ac:dyDescent="0.25">
      <c r="K118" s="37">
        <f t="shared" si="31"/>
        <v>-2.1490304055459699</v>
      </c>
      <c r="L118" s="37"/>
      <c r="M118" s="37">
        <f t="shared" si="32"/>
        <v>-1.4309811077781331</v>
      </c>
    </row>
    <row r="119" spans="11:13" x14ac:dyDescent="0.25">
      <c r="K119" s="37">
        <f t="shared" si="31"/>
        <v>-2.2182635839313924</v>
      </c>
      <c r="L119" s="37"/>
      <c r="M119" s="37">
        <f t="shared" si="32"/>
        <v>-1.4309811077781327</v>
      </c>
    </row>
    <row r="120" spans="11:13" x14ac:dyDescent="0.25">
      <c r="K120" s="37">
        <f t="shared" si="31"/>
        <v>-2.2699303685835011</v>
      </c>
      <c r="L120" s="37"/>
      <c r="M120" s="37">
        <f t="shared" si="32"/>
        <v>-1.4309811077781327</v>
      </c>
    </row>
    <row r="121" spans="11:13" x14ac:dyDescent="0.25">
      <c r="K121" s="37">
        <f t="shared" si="31"/>
        <v>-2.5671961888224413</v>
      </c>
      <c r="L121" s="37"/>
      <c r="M121" s="37">
        <f t="shared" si="32"/>
        <v>-1.4309811077781329</v>
      </c>
    </row>
    <row r="122" spans="11:13" x14ac:dyDescent="0.25">
      <c r="K122" s="37">
        <f t="shared" si="31"/>
        <v>-2.4450511819662766</v>
      </c>
      <c r="L122" s="37"/>
      <c r="M122" s="37">
        <f t="shared" si="32"/>
        <v>-1.4309811077781327</v>
      </c>
    </row>
  </sheetData>
  <mergeCells count="5">
    <mergeCell ref="C11:I11"/>
    <mergeCell ref="B2:I2"/>
    <mergeCell ref="B4:I4"/>
    <mergeCell ref="B5:I5"/>
    <mergeCell ref="B6:I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5"/>
  <sheetViews>
    <sheetView zoomScale="80" zoomScaleNormal="80" workbookViewId="0">
      <pane ySplit="12" topLeftCell="A62" activePane="bottomLeft" state="frozen"/>
      <selection pane="bottomLeft" activeCell="B73" sqref="B73"/>
    </sheetView>
  </sheetViews>
  <sheetFormatPr defaultRowHeight="15" x14ac:dyDescent="0.25"/>
  <cols>
    <col min="1" max="1" width="12.7109375" style="3" customWidth="1"/>
    <col min="2" max="13" width="12.7109375" style="28" customWidth="1"/>
    <col min="14" max="14" width="1.7109375" style="28" customWidth="1"/>
    <col min="15" max="17" width="12.7109375" style="28" customWidth="1"/>
    <col min="18" max="18" width="10.7109375" customWidth="1"/>
  </cols>
  <sheetData>
    <row r="1" spans="1:18" s="3" customFormat="1" x14ac:dyDescent="0.25"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</row>
    <row r="2" spans="1:18" s="124" customFormat="1" ht="15" customHeight="1" x14ac:dyDescent="0.25">
      <c r="B2" s="146" t="s">
        <v>146</v>
      </c>
      <c r="C2" s="146"/>
      <c r="D2" s="146"/>
      <c r="E2" s="146"/>
      <c r="F2" s="146"/>
      <c r="G2" s="146"/>
      <c r="H2" s="146"/>
      <c r="I2" s="146"/>
      <c r="J2" s="125"/>
      <c r="K2" s="73"/>
      <c r="L2" s="73"/>
      <c r="M2" s="73"/>
      <c r="N2" s="73"/>
      <c r="O2" s="73"/>
    </row>
    <row r="3" spans="1:18" s="124" customFormat="1" ht="15" customHeight="1" x14ac:dyDescent="0.25">
      <c r="B3" s="126"/>
      <c r="C3" s="126"/>
      <c r="D3" s="126"/>
      <c r="E3" s="126"/>
      <c r="F3" s="126"/>
      <c r="G3" s="126"/>
      <c r="H3" s="126"/>
      <c r="I3" s="126"/>
      <c r="J3" s="125"/>
      <c r="K3" s="73"/>
      <c r="L3" s="73"/>
      <c r="M3" s="73"/>
      <c r="N3" s="73"/>
      <c r="O3" s="73"/>
    </row>
    <row r="4" spans="1:18" s="124" customFormat="1" ht="15" customHeight="1" x14ac:dyDescent="0.25">
      <c r="B4" s="147" t="s">
        <v>147</v>
      </c>
      <c r="C4" s="147"/>
      <c r="D4" s="147"/>
      <c r="E4" s="147"/>
      <c r="F4" s="147"/>
      <c r="G4" s="147"/>
      <c r="H4" s="147"/>
      <c r="I4" s="147"/>
      <c r="J4" s="125"/>
      <c r="K4" s="73"/>
      <c r="L4" s="73"/>
      <c r="M4" s="73"/>
      <c r="N4" s="73"/>
      <c r="O4" s="73"/>
    </row>
    <row r="5" spans="1:18" s="124" customFormat="1" ht="15" customHeight="1" x14ac:dyDescent="0.25">
      <c r="B5" s="148" t="s">
        <v>148</v>
      </c>
      <c r="C5" s="148"/>
      <c r="D5" s="148"/>
      <c r="E5" s="148"/>
      <c r="F5" s="148"/>
      <c r="G5" s="148"/>
      <c r="H5" s="148"/>
      <c r="I5" s="148"/>
      <c r="J5" s="125"/>
      <c r="K5" s="73"/>
      <c r="L5" s="73"/>
      <c r="M5" s="73"/>
      <c r="N5" s="73"/>
      <c r="O5" s="73"/>
    </row>
    <row r="6" spans="1:18" s="124" customFormat="1" ht="15" customHeight="1" x14ac:dyDescent="0.25">
      <c r="B6" s="148" t="s">
        <v>149</v>
      </c>
      <c r="C6" s="148"/>
      <c r="D6" s="148"/>
      <c r="E6" s="148"/>
      <c r="F6" s="148"/>
      <c r="G6" s="148"/>
      <c r="H6" s="148"/>
      <c r="I6" s="148"/>
      <c r="J6" s="125"/>
      <c r="K6" s="73"/>
      <c r="L6" s="73"/>
      <c r="M6" s="73"/>
      <c r="N6" s="73"/>
      <c r="O6" s="73"/>
    </row>
    <row r="7" spans="1:18" s="3" customFormat="1" x14ac:dyDescent="0.25">
      <c r="B7" s="31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</row>
    <row r="8" spans="1:18" x14ac:dyDescent="0.25">
      <c r="B8" s="29" t="s">
        <v>1</v>
      </c>
      <c r="C8" s="29" t="s">
        <v>2</v>
      </c>
      <c r="D8" s="29" t="s">
        <v>3</v>
      </c>
      <c r="E8" s="29" t="s">
        <v>4</v>
      </c>
      <c r="F8" s="29" t="s">
        <v>10</v>
      </c>
      <c r="G8" s="29" t="s">
        <v>6</v>
      </c>
      <c r="H8" s="29" t="s">
        <v>5</v>
      </c>
      <c r="I8" s="29" t="s">
        <v>11</v>
      </c>
      <c r="J8" s="29" t="s">
        <v>12</v>
      </c>
      <c r="K8" s="5" t="s">
        <v>13</v>
      </c>
      <c r="O8" s="33"/>
      <c r="R8" s="16"/>
    </row>
    <row r="9" spans="1:18" x14ac:dyDescent="0.25">
      <c r="B9" s="29"/>
      <c r="C9" s="29">
        <v>627.5095</v>
      </c>
      <c r="D9" s="29">
        <v>1.9858775000000002E-3</v>
      </c>
      <c r="E9" s="29">
        <v>298.14999999999998</v>
      </c>
      <c r="F9" s="28">
        <f>LN(10)*D9*E9</f>
        <v>1.3633361723368622</v>
      </c>
      <c r="G9" s="29">
        <f>-6.287-265.9+1.89</f>
        <v>-270.29699999999997</v>
      </c>
      <c r="H9" s="29">
        <v>23.060369999999999</v>
      </c>
      <c r="I9" s="30">
        <f>J9-K9/H9</f>
        <v>4.3185969683053651</v>
      </c>
      <c r="J9" s="29">
        <v>4.2809999999999997</v>
      </c>
      <c r="K9" s="5">
        <v>-0.86699999999999999</v>
      </c>
      <c r="L9" s="30"/>
      <c r="M9" s="30"/>
      <c r="O9" s="33"/>
      <c r="P9" s="33"/>
      <c r="Q9" s="33"/>
    </row>
    <row r="10" spans="1:18" x14ac:dyDescent="0.25">
      <c r="P10" s="31"/>
      <c r="Q10" s="31"/>
      <c r="R10" s="3"/>
    </row>
    <row r="11" spans="1:18" s="3" customFormat="1" x14ac:dyDescent="0.25">
      <c r="A11" s="111"/>
      <c r="B11" s="106"/>
      <c r="C11" s="145" t="s">
        <v>0</v>
      </c>
      <c r="D11" s="145"/>
      <c r="E11" s="145"/>
      <c r="F11" s="145"/>
      <c r="G11" s="145"/>
      <c r="H11" s="145"/>
      <c r="I11" s="145"/>
      <c r="J11" s="137"/>
      <c r="K11" s="138" t="s">
        <v>15</v>
      </c>
      <c r="L11" s="137"/>
      <c r="M11" s="137"/>
      <c r="N11" s="137"/>
      <c r="O11" s="138" t="s">
        <v>16</v>
      </c>
      <c r="P11" s="137"/>
      <c r="Q11" s="137"/>
    </row>
    <row r="12" spans="1:18" x14ac:dyDescent="0.25">
      <c r="A12" s="112"/>
      <c r="B12" s="113" t="s">
        <v>97</v>
      </c>
      <c r="C12" s="113" t="s">
        <v>113</v>
      </c>
      <c r="D12" s="113" t="s">
        <v>99</v>
      </c>
      <c r="E12" s="113" t="s">
        <v>64</v>
      </c>
      <c r="F12" s="113" t="s">
        <v>65</v>
      </c>
      <c r="G12" s="113" t="s">
        <v>66</v>
      </c>
      <c r="H12" s="113" t="s">
        <v>7</v>
      </c>
      <c r="I12" s="113" t="s">
        <v>111</v>
      </c>
      <c r="J12" s="137"/>
      <c r="K12" s="137" t="s">
        <v>158</v>
      </c>
      <c r="L12" s="137" t="s">
        <v>159</v>
      </c>
      <c r="M12" s="137" t="s">
        <v>160</v>
      </c>
      <c r="N12" s="137"/>
      <c r="O12" s="137" t="s">
        <v>158</v>
      </c>
      <c r="P12" s="137" t="s">
        <v>159</v>
      </c>
      <c r="Q12" s="137" t="s">
        <v>160</v>
      </c>
    </row>
    <row r="13" spans="1:18" ht="16.5" x14ac:dyDescent="0.25">
      <c r="A13" s="90" t="s">
        <v>115</v>
      </c>
      <c r="B13" s="32" t="s">
        <v>23</v>
      </c>
      <c r="C13" s="38">
        <v>-684.39948613900003</v>
      </c>
      <c r="D13" s="38">
        <v>9.8730999999999999E-2</v>
      </c>
      <c r="E13" s="28">
        <f>C13+D13</f>
        <v>-684.30075513899999</v>
      </c>
      <c r="F13" s="28">
        <f t="shared" ref="F13:F23" si="0">(C13+D13)*$C$9</f>
        <v>-429405.22470689629</v>
      </c>
      <c r="G13" s="37">
        <f t="shared" ref="G13:G23" si="1">F13-$F$20</f>
        <v>2.94675637409091</v>
      </c>
      <c r="H13" s="34">
        <f>EXP(-G13/($D$9*$E$9))</f>
        <v>6.8955594603429416E-3</v>
      </c>
      <c r="I13" s="35">
        <f>H13/SUM($H$13:$H$23)</f>
        <v>2.4987293067990544E-3</v>
      </c>
      <c r="K13" s="37">
        <f t="shared" ref="K13:K23" si="2">-($F$13-F25)/$H$9-$I$9</f>
        <v>0.57221640732201173</v>
      </c>
      <c r="L13" s="37">
        <f t="shared" ref="L13:L22" si="3">-($F$13-F49-$G$9)/$H$9-$I$9</f>
        <v>0.42304022765163296</v>
      </c>
      <c r="M13" s="37">
        <f t="shared" ref="M13:M22" si="4">-($F$37-F49)/$H$9-$I$9</f>
        <v>-0.35636911597512766</v>
      </c>
      <c r="N13" s="37"/>
      <c r="O13" s="44">
        <f>K13-$D$9*$E$9/$H$9*LN(I$13/I25)</f>
        <v>0.58035540776124572</v>
      </c>
      <c r="P13" s="66">
        <f>L13-$D$9*$E$9/$H$9*LN(I$13/I49)</f>
        <v>0.41379657517711776</v>
      </c>
      <c r="Q13" s="66">
        <f>M13-$D$9*$E$9/$H$9*LN(I$37/I49)</f>
        <v>-0.37247618421503104</v>
      </c>
      <c r="R13" s="4"/>
    </row>
    <row r="14" spans="1:18" x14ac:dyDescent="0.25">
      <c r="B14" s="32" t="s">
        <v>24</v>
      </c>
      <c r="C14" s="38">
        <v>-684.39550306199999</v>
      </c>
      <c r="D14" s="38">
        <v>9.7430000000000003E-2</v>
      </c>
      <c r="E14" s="28">
        <f t="shared" ref="E14:E23" si="5">C14+D14</f>
        <v>-684.29807306199996</v>
      </c>
      <c r="F14" s="28">
        <f t="shared" si="0"/>
        <v>-429403.54167809908</v>
      </c>
      <c r="G14" s="37">
        <f t="shared" si="1"/>
        <v>4.6297851713025011</v>
      </c>
      <c r="H14" s="34">
        <f t="shared" ref="H14:H23" si="6">EXP(-G14/($D$9*$E$9))</f>
        <v>4.0186171023051187E-4</v>
      </c>
      <c r="I14" s="35">
        <f t="shared" ref="I14:I23" si="7">H14/SUM($H$13:$H$23)</f>
        <v>1.4562177853853639E-4</v>
      </c>
      <c r="K14" s="37">
        <f t="shared" si="2"/>
        <v>0.65484912986518751</v>
      </c>
      <c r="L14" s="37">
        <f t="shared" si="3"/>
        <v>0.44755779510467875</v>
      </c>
      <c r="M14" s="37">
        <f t="shared" si="4"/>
        <v>-0.33185154852208143</v>
      </c>
      <c r="N14" s="37"/>
      <c r="O14" s="44">
        <f>K14-$D$9*$E$9/$H$9*LN(I$13/I26)</f>
        <v>0.58035540776124628</v>
      </c>
      <c r="P14" s="66">
        <f>L14-$D$9*$E$9/$H$9*LN(I$13/I50)</f>
        <v>0.41379657517711749</v>
      </c>
      <c r="Q14" s="66">
        <f>M14-$D$9*$E$9/$H$9*LN(I$37/I50)</f>
        <v>-0.37247618421503093</v>
      </c>
      <c r="R14" s="4"/>
    </row>
    <row r="15" spans="1:18" x14ac:dyDescent="0.25">
      <c r="B15" s="32" t="s">
        <v>25</v>
      </c>
      <c r="C15" s="38">
        <v>-684.39973680399999</v>
      </c>
      <c r="D15" s="38">
        <v>9.7069000000000003E-2</v>
      </c>
      <c r="E15" s="28">
        <f t="shared" si="5"/>
        <v>-684.30266780399995</v>
      </c>
      <c r="F15" s="28">
        <f t="shared" si="0"/>
        <v>-429406.42492235411</v>
      </c>
      <c r="G15" s="37">
        <f t="shared" si="1"/>
        <v>1.7465409162687138</v>
      </c>
      <c r="H15" s="34">
        <f t="shared" si="6"/>
        <v>5.2350557505053213E-2</v>
      </c>
      <c r="I15" s="35">
        <f t="shared" si="7"/>
        <v>1.8970160871999788E-2</v>
      </c>
      <c r="K15" s="37">
        <f t="shared" si="2"/>
        <v>0.4939003148705492</v>
      </c>
      <c r="L15" s="37">
        <f t="shared" si="3"/>
        <v>0.30585144338959136</v>
      </c>
      <c r="M15" s="37">
        <f t="shared" si="4"/>
        <v>-0.47355790023716882</v>
      </c>
      <c r="N15" s="37"/>
      <c r="O15" s="44">
        <f>K15-$D$9*$E$9/$H$9*LN(I$13/I27)</f>
        <v>0.58035540776124628</v>
      </c>
      <c r="P15" s="66">
        <f>L15-$D$9*$E$9/$H$9*LN(I$13/I51)</f>
        <v>0.41379657517711732</v>
      </c>
      <c r="Q15" s="66">
        <f>M15-$D$9*$E$9/$H$9*LN(I$37/I51)</f>
        <v>-0.37247618421503104</v>
      </c>
      <c r="R15" s="4"/>
    </row>
    <row r="16" spans="1:18" x14ac:dyDescent="0.25">
      <c r="B16" s="32" t="s">
        <v>26</v>
      </c>
      <c r="C16" s="38">
        <v>-684.40174731900004</v>
      </c>
      <c r="D16" s="38">
        <v>9.8070000000000004E-2</v>
      </c>
      <c r="E16" s="28">
        <f t="shared" si="5"/>
        <v>-684.30367731900003</v>
      </c>
      <c r="F16" s="28">
        <f t="shared" si="0"/>
        <v>-429407.05840260704</v>
      </c>
      <c r="G16" s="37">
        <f t="shared" si="1"/>
        <v>1.1130606633378193</v>
      </c>
      <c r="H16" s="34">
        <f t="shared" si="6"/>
        <v>0.15260746761896435</v>
      </c>
      <c r="I16" s="35">
        <f t="shared" si="7"/>
        <v>5.5300045481288508E-2</v>
      </c>
      <c r="K16" s="37">
        <f t="shared" si="2"/>
        <v>0.45798272088435965</v>
      </c>
      <c r="L16" s="37">
        <f t="shared" si="3"/>
        <v>0.35071778881519844</v>
      </c>
      <c r="M16" s="37">
        <f t="shared" si="4"/>
        <v>-0.42869155481156218</v>
      </c>
      <c r="N16" s="37"/>
      <c r="O16" s="44">
        <f>K16-$D$9*$E$9/$H$9*LN(I$13/I28)</f>
        <v>0.58035540776124583</v>
      </c>
      <c r="P16" s="66">
        <f>L16-$D$9*$E$9/$H$9*LN(I$13/I52)</f>
        <v>0.41379657517711799</v>
      </c>
      <c r="Q16" s="66">
        <f>M16-$D$9*$E$9/$H$9*LN(I$37/I52)</f>
        <v>-0.37247618421503081</v>
      </c>
      <c r="R16" s="4"/>
    </row>
    <row r="17" spans="1:18" x14ac:dyDescent="0.25">
      <c r="B17" s="32" t="s">
        <v>27</v>
      </c>
      <c r="C17" s="38">
        <v>-684.39971646799995</v>
      </c>
      <c r="D17" s="38">
        <v>9.6863000000000005E-2</v>
      </c>
      <c r="E17" s="28">
        <f t="shared" si="5"/>
        <v>-684.30285346799997</v>
      </c>
      <c r="F17" s="28">
        <f t="shared" si="0"/>
        <v>-429406.54142827791</v>
      </c>
      <c r="G17" s="37">
        <f t="shared" si="1"/>
        <v>1.6300349924713373</v>
      </c>
      <c r="H17" s="34">
        <f t="shared" si="6"/>
        <v>6.3734972228423156E-2</v>
      </c>
      <c r="I17" s="35">
        <f t="shared" si="7"/>
        <v>2.3095507172562958E-2</v>
      </c>
      <c r="K17" s="37">
        <f t="shared" si="2"/>
        <v>0.48539554785684125</v>
      </c>
      <c r="L17" s="37">
        <f t="shared" si="3"/>
        <v>0.31815426908589828</v>
      </c>
      <c r="M17" s="37">
        <f t="shared" si="4"/>
        <v>-0.4612550745408619</v>
      </c>
      <c r="N17" s="37"/>
      <c r="O17" s="44">
        <f>K17-$D$9*$E$9/$H$9*LN(I$13/I29)</f>
        <v>0.58035540776124572</v>
      </c>
      <c r="P17" s="66">
        <f>L17-$D$9*$E$9/$H$9*LN(I$13/I53)</f>
        <v>0.41379657517711771</v>
      </c>
      <c r="Q17" s="66">
        <f>M17-$D$9*$E$9/$H$9*LN(I$37/I53)</f>
        <v>-0.37247618421503065</v>
      </c>
      <c r="R17" s="4"/>
    </row>
    <row r="18" spans="1:18" x14ac:dyDescent="0.25">
      <c r="B18" s="32" t="s">
        <v>28</v>
      </c>
      <c r="C18" s="38">
        <v>-684.40403391300003</v>
      </c>
      <c r="D18" s="38">
        <v>9.9085999999999994E-2</v>
      </c>
      <c r="E18" s="28">
        <f t="shared" si="5"/>
        <v>-684.30494791299998</v>
      </c>
      <c r="F18" s="28">
        <f t="shared" si="0"/>
        <v>-429407.85571241268</v>
      </c>
      <c r="G18" s="37">
        <f t="shared" si="1"/>
        <v>0.31575085769873112</v>
      </c>
      <c r="H18" s="34">
        <f t="shared" si="6"/>
        <v>0.58667608632802926</v>
      </c>
      <c r="I18" s="35">
        <f t="shared" si="7"/>
        <v>0.21259257337085044</v>
      </c>
      <c r="K18" s="37">
        <f t="shared" si="2"/>
        <v>0.51858215874004809</v>
      </c>
      <c r="L18" s="37">
        <f t="shared" si="3"/>
        <v>0.32287795745765457</v>
      </c>
      <c r="M18" s="37">
        <f t="shared" si="4"/>
        <v>-0.45653138616910516</v>
      </c>
      <c r="N18" s="37"/>
      <c r="O18" s="44">
        <f>K18-$D$9*$E$9/$H$9*LN(I$13/I30)</f>
        <v>0.58035540776124561</v>
      </c>
      <c r="P18" s="66">
        <f>L18-$D$9*$E$9/$H$9*LN(I$13/I54)</f>
        <v>0.41379657517711721</v>
      </c>
      <c r="Q18" s="66">
        <f>M18-$D$9*$E$9/$H$9*LN(I$37/I54)</f>
        <v>-0.3724761842150307</v>
      </c>
      <c r="R18" s="4"/>
    </row>
    <row r="19" spans="1:18" x14ac:dyDescent="0.25">
      <c r="B19" s="32" t="s">
        <v>29</v>
      </c>
      <c r="C19" s="38">
        <v>-684.403627056</v>
      </c>
      <c r="D19" s="38">
        <v>9.8900000000000002E-2</v>
      </c>
      <c r="E19" s="28">
        <f t="shared" si="5"/>
        <v>-684.30472705600005</v>
      </c>
      <c r="F19" s="28">
        <f t="shared" si="0"/>
        <v>-429407.71712254704</v>
      </c>
      <c r="G19" s="37">
        <f t="shared" si="1"/>
        <v>0.45434072334319353</v>
      </c>
      <c r="H19" s="34">
        <f t="shared" si="6"/>
        <v>0.46424094295630225</v>
      </c>
      <c r="I19" s="35">
        <f t="shared" si="7"/>
        <v>0.16822600925309819</v>
      </c>
      <c r="K19" s="37">
        <f t="shared" si="2"/>
        <v>0.53829581802959314</v>
      </c>
      <c r="L19" s="37">
        <f t="shared" si="3"/>
        <v>0.3187848706416716</v>
      </c>
      <c r="M19" s="37">
        <f t="shared" si="4"/>
        <v>-0.46062447298508857</v>
      </c>
      <c r="N19" s="37"/>
      <c r="O19" s="44">
        <f>K19-$D$9*$E$9/$H$9*LN(I$13/I31)</f>
        <v>0.58035540776124561</v>
      </c>
      <c r="P19" s="66">
        <f>L19-$D$9*$E$9/$H$9*LN(I$13/I55)</f>
        <v>0.41379657517711754</v>
      </c>
      <c r="Q19" s="66">
        <f>M19-$D$9*$E$9/$H$9*LN(I$37/I55)</f>
        <v>-0.37247618421503081</v>
      </c>
    </row>
    <row r="20" spans="1:18" x14ac:dyDescent="0.25">
      <c r="B20" s="32" t="s">
        <v>30</v>
      </c>
      <c r="C20" s="38">
        <v>-684.40403109399995</v>
      </c>
      <c r="D20" s="38">
        <v>9.8580000000000001E-2</v>
      </c>
      <c r="E20" s="28">
        <f t="shared" si="5"/>
        <v>-684.30545109399998</v>
      </c>
      <c r="F20" s="28">
        <f t="shared" si="0"/>
        <v>-429408.17146327038</v>
      </c>
      <c r="G20" s="37">
        <f t="shared" si="1"/>
        <v>0</v>
      </c>
      <c r="H20" s="34">
        <f t="shared" si="6"/>
        <v>1</v>
      </c>
      <c r="I20" s="35">
        <f t="shared" si="7"/>
        <v>0.36236788634330525</v>
      </c>
      <c r="J20" s="51">
        <f>-($F$20-F34)/$H$9-$I$9</f>
        <v>0.58603510946875748</v>
      </c>
      <c r="K20" s="37">
        <f t="shared" si="2"/>
        <v>0.52596009351257589</v>
      </c>
      <c r="L20" s="37">
        <f t="shared" si="3"/>
        <v>0.31573031443010358</v>
      </c>
      <c r="M20" s="37">
        <f t="shared" si="4"/>
        <v>-0.4636790291966566</v>
      </c>
      <c r="N20" s="37"/>
      <c r="O20" s="44">
        <f>K20-$D$9*$E$9/$H$9*LN(I$13/I32)</f>
        <v>0.58035540776124572</v>
      </c>
      <c r="P20" s="66">
        <f>L20-$D$9*$E$9/$H$9*LN(I$13/I56)</f>
        <v>0.41379657517711765</v>
      </c>
      <c r="Q20" s="66">
        <f>M20-$D$9*$E$9/$H$9*LN(I$37/I56)</f>
        <v>-0.37247618421503076</v>
      </c>
    </row>
    <row r="21" spans="1:18" s="3" customFormat="1" x14ac:dyDescent="0.25">
      <c r="B21" s="32" t="s">
        <v>31</v>
      </c>
      <c r="C21" s="28">
        <v>-684.39972781300003</v>
      </c>
      <c r="D21" s="28">
        <v>9.7308000000000006E-2</v>
      </c>
      <c r="E21" s="28">
        <f t="shared" si="5"/>
        <v>-684.30241981300003</v>
      </c>
      <c r="F21" s="28">
        <f t="shared" si="0"/>
        <v>-429406.26930564572</v>
      </c>
      <c r="G21" s="37">
        <f t="shared" si="1"/>
        <v>1.9021576246595941</v>
      </c>
      <c r="H21" s="34">
        <f t="shared" si="6"/>
        <v>4.0251054622302433E-2</v>
      </c>
      <c r="I21" s="35">
        <f t="shared" si="7"/>
        <v>1.4585689586572659E-2</v>
      </c>
      <c r="J21" s="28"/>
      <c r="K21" s="37">
        <f t="shared" si="2"/>
        <v>0.4733599128358712</v>
      </c>
      <c r="L21" s="37">
        <f t="shared" si="3"/>
        <v>0.29815586763973823</v>
      </c>
      <c r="M21" s="37">
        <f t="shared" si="4"/>
        <v>-0.48125347598702195</v>
      </c>
      <c r="N21" s="37"/>
      <c r="O21" s="44">
        <f>K21-$D$9*$E$9/$H$9*LN(I$13/I33)</f>
        <v>0.58035540776124561</v>
      </c>
      <c r="P21" s="66">
        <f>L21-$D$9*$E$9/$H$9*LN(I$13/I57)</f>
        <v>0.41379657517711754</v>
      </c>
      <c r="Q21" s="66">
        <f>M21-$D$9*$E$9/$H$9*LN(I$37/I57)</f>
        <v>-0.37247618421503087</v>
      </c>
    </row>
    <row r="22" spans="1:18" s="3" customFormat="1" x14ac:dyDescent="0.25">
      <c r="B22" s="32" t="s">
        <v>32</v>
      </c>
      <c r="C22" s="28">
        <v>-684.400205927</v>
      </c>
      <c r="D22" s="28">
        <v>9.6934000000000006E-2</v>
      </c>
      <c r="E22" s="28">
        <f t="shared" si="5"/>
        <v>-684.30327192699997</v>
      </c>
      <c r="F22" s="28">
        <f t="shared" si="0"/>
        <v>-429406.80401527579</v>
      </c>
      <c r="G22" s="37">
        <f t="shared" si="1"/>
        <v>1.3674479945912026</v>
      </c>
      <c r="H22" s="34">
        <f t="shared" si="6"/>
        <v>9.9307946074614323E-2</v>
      </c>
      <c r="I22" s="35">
        <f t="shared" si="7"/>
        <v>3.5986010516152932E-2</v>
      </c>
      <c r="J22" s="28"/>
      <c r="K22" s="37">
        <f t="shared" si="2"/>
        <v>0.45825067348221893</v>
      </c>
      <c r="L22" s="37">
        <f t="shared" si="3"/>
        <v>0.30537711804106937</v>
      </c>
      <c r="M22" s="37">
        <f t="shared" si="4"/>
        <v>-0.4740322255856908</v>
      </c>
      <c r="N22" s="37"/>
      <c r="O22" s="44">
        <f>K22-$D$9*$E$9/$H$9*LN(I$13/I34)</f>
        <v>0.58035540776124617</v>
      </c>
      <c r="P22" s="66">
        <f>L22-$D$9*$E$9/$H$9*LN(I$13/I58)</f>
        <v>0.4137965751771176</v>
      </c>
      <c r="Q22" s="66">
        <f>M22-$D$9*$E$9/$H$9*LN(I$37/I58)</f>
        <v>-0.37247618421503081</v>
      </c>
    </row>
    <row r="23" spans="1:18" x14ac:dyDescent="0.25">
      <c r="B23" s="32" t="s">
        <v>68</v>
      </c>
      <c r="C23" s="28">
        <v>-684.40366231799999</v>
      </c>
      <c r="D23" s="28">
        <v>9.9368999999999999E-2</v>
      </c>
      <c r="E23" s="28">
        <f t="shared" si="5"/>
        <v>-684.30429331799996</v>
      </c>
      <c r="F23" s="28">
        <f t="shared" si="0"/>
        <v>-429407.44494783151</v>
      </c>
      <c r="G23" s="37">
        <f t="shared" si="1"/>
        <v>0.72651543887332082</v>
      </c>
      <c r="H23" s="34">
        <f t="shared" si="6"/>
        <v>0.29315999105447343</v>
      </c>
      <c r="I23" s="35">
        <f t="shared" si="7"/>
        <v>0.10623176631883181</v>
      </c>
      <c r="K23" s="37">
        <f t="shared" si="2"/>
        <v>0.53188808553998967</v>
      </c>
      <c r="L23" s="37"/>
      <c r="M23" s="37"/>
      <c r="N23" s="37"/>
      <c r="O23" s="44">
        <f>K23-$D$9*$E$9/$H$9*LN(I$13/I35)</f>
        <v>0.58035540776124583</v>
      </c>
      <c r="P23" s="66"/>
      <c r="Q23" s="66"/>
      <c r="R23" s="4"/>
    </row>
    <row r="24" spans="1:18" x14ac:dyDescent="0.25">
      <c r="A24" s="128"/>
      <c r="B24" s="139"/>
      <c r="C24" s="137"/>
      <c r="D24" s="137"/>
      <c r="E24" s="137"/>
      <c r="F24" s="137"/>
      <c r="G24" s="137"/>
      <c r="H24" s="137"/>
      <c r="I24" s="137"/>
      <c r="K24" s="37">
        <f t="shared" ref="K24:K34" si="8">-($F$14-F25)/$H$9-$I$9</f>
        <v>0.49923280830726924</v>
      </c>
      <c r="L24" s="37">
        <f t="shared" ref="L24:L33" si="9">-($F$14-F49-$G$9)/$H$9-$I$9</f>
        <v>0.35005662863689047</v>
      </c>
      <c r="M24" s="37">
        <f t="shared" ref="M24:M33" si="10">-($F$38-F49)/$H$9-$I$9</f>
        <v>-0.42087148600669</v>
      </c>
      <c r="N24" s="37"/>
      <c r="O24" s="66">
        <f>K24-$D$9*$E$9/$H$9*LN(I$14/I25)</f>
        <v>0.58035540776124539</v>
      </c>
      <c r="P24" s="66">
        <f>L24-$D$9*$E$9/$H$9*LN(I$14/I49)</f>
        <v>0.41379657517711749</v>
      </c>
      <c r="Q24" s="66">
        <f>M24-$D$9*$E$9/$H$9*LN(I$38/I49)</f>
        <v>-0.37247618421503104</v>
      </c>
      <c r="R24" s="4"/>
    </row>
    <row r="25" spans="1:18" ht="17.25" x14ac:dyDescent="0.25">
      <c r="A25" s="2" t="s">
        <v>150</v>
      </c>
      <c r="B25" s="32" t="s">
        <v>44</v>
      </c>
      <c r="C25" s="38">
        <v>-684.22015245600005</v>
      </c>
      <c r="D25" s="28" t="s">
        <v>75</v>
      </c>
      <c r="E25" s="38">
        <v>9.9129999999999996E-2</v>
      </c>
      <c r="F25" s="28">
        <f>(C25+E25)*$C$9</f>
        <v>-429292.44074085337</v>
      </c>
      <c r="G25" s="37">
        <f t="shared" ref="G25:G35" si="11">F25-$F$28</f>
        <v>2.6342710757162422</v>
      </c>
      <c r="H25" s="34">
        <f t="shared" ref="H25:H35" si="12">EXP(-G25/($D$9*$E$9))</f>
        <v>1.1688959415893027E-2</v>
      </c>
      <c r="I25" s="35">
        <f>H25/SUM($H$25:$H$35)</f>
        <v>3.4307387565477312E-3</v>
      </c>
      <c r="K25" s="37">
        <f t="shared" si="8"/>
        <v>0.58186553085044501</v>
      </c>
      <c r="L25" s="37">
        <f t="shared" si="9"/>
        <v>0.37457419608993625</v>
      </c>
      <c r="M25" s="37">
        <f t="shared" si="10"/>
        <v>-0.39635391855364377</v>
      </c>
      <c r="N25" s="37"/>
      <c r="O25" s="66">
        <f>K25-$D$9*$E$9/$H$9*LN(I$14/I26)</f>
        <v>0.58035540776124606</v>
      </c>
      <c r="P25" s="66">
        <f>L25-$D$9*$E$9/$H$9*LN(I$14/I50)</f>
        <v>0.41379657517711721</v>
      </c>
      <c r="Q25" s="66">
        <f>M25-$D$9*$E$9/$H$9*LN(I$38/I50)</f>
        <v>-0.37247618421503087</v>
      </c>
      <c r="R25" s="4"/>
    </row>
    <row r="26" spans="1:18" x14ac:dyDescent="0.25">
      <c r="B26" s="32" t="s">
        <v>45</v>
      </c>
      <c r="C26" s="38">
        <v>-684.21687378299998</v>
      </c>
      <c r="D26" s="28" t="s">
        <v>76</v>
      </c>
      <c r="E26" s="38">
        <v>9.8888000000000004E-2</v>
      </c>
      <c r="F26" s="28">
        <f t="shared" ref="F26:F35" si="13">(C26+E26)*$C$9</f>
        <v>-429290.53519969742</v>
      </c>
      <c r="G26" s="37">
        <f t="shared" si="11"/>
        <v>4.5398122316692024</v>
      </c>
      <c r="H26" s="34">
        <f t="shared" si="12"/>
        <v>4.6781195060147026E-4</v>
      </c>
      <c r="I26" s="35">
        <f t="shared" ref="I26:I35" si="14">H26/SUM($H$25:$H$35)</f>
        <v>1.3730397485361108E-4</v>
      </c>
      <c r="K26" s="37">
        <f t="shared" si="8"/>
        <v>0.4209167158558067</v>
      </c>
      <c r="L26" s="37">
        <f t="shared" si="9"/>
        <v>0.23286784437484975</v>
      </c>
      <c r="M26" s="37">
        <f t="shared" si="10"/>
        <v>-0.53806027026873116</v>
      </c>
      <c r="N26" s="37"/>
      <c r="O26" s="66">
        <f>K26-$D$9*$E$9/$H$9*LN(I$14/I27)</f>
        <v>0.58035540776124594</v>
      </c>
      <c r="P26" s="66">
        <f>L26-$D$9*$E$9/$H$9*LN(I$14/I51)</f>
        <v>0.41379657517711788</v>
      </c>
      <c r="Q26" s="66">
        <f>M26-$D$9*$E$9/$H$9*LN(I$38/I51)</f>
        <v>-0.37247618421503104</v>
      </c>
      <c r="R26" s="4"/>
    </row>
    <row r="27" spans="1:18" x14ac:dyDescent="0.25">
      <c r="B27" s="32" t="s">
        <v>46</v>
      </c>
      <c r="C27" s="38">
        <v>-684.22144849699998</v>
      </c>
      <c r="D27" s="28" t="s">
        <v>77</v>
      </c>
      <c r="E27" s="38">
        <v>9.7547999999999996E-2</v>
      </c>
      <c r="F27" s="28">
        <f t="shared" si="13"/>
        <v>-429294.24673892226</v>
      </c>
      <c r="G27" s="37">
        <f t="shared" si="11"/>
        <v>0.82827300683129579</v>
      </c>
      <c r="H27" s="34">
        <f t="shared" si="12"/>
        <v>0.24686871263034599</v>
      </c>
      <c r="I27" s="35">
        <f t="shared" si="14"/>
        <v>7.245658317954444E-2</v>
      </c>
      <c r="K27" s="37">
        <f t="shared" si="8"/>
        <v>0.38499912186961716</v>
      </c>
      <c r="L27" s="37">
        <f t="shared" si="9"/>
        <v>0.27773418980045594</v>
      </c>
      <c r="M27" s="37">
        <f t="shared" si="10"/>
        <v>-0.49319392484312452</v>
      </c>
      <c r="N27" s="37"/>
      <c r="O27" s="66">
        <f>K27-$D$9*$E$9/$H$9*LN(I$14/I28)</f>
        <v>0.58035540776124561</v>
      </c>
      <c r="P27" s="66">
        <f>L27-$D$9*$E$9/$H$9*LN(I$14/I52)</f>
        <v>0.41379657517711771</v>
      </c>
      <c r="Q27" s="66">
        <f>M27-$D$9*$E$9/$H$9*LN(I$38/I52)</f>
        <v>-0.37247618421503081</v>
      </c>
      <c r="R27" s="4"/>
    </row>
    <row r="28" spans="1:18" x14ac:dyDescent="0.25">
      <c r="B28" s="32" t="s">
        <v>47</v>
      </c>
      <c r="C28" s="38">
        <v>-684.22340943400002</v>
      </c>
      <c r="D28" s="28" t="s">
        <v>80</v>
      </c>
      <c r="E28" s="38">
        <v>9.8188999999999999E-2</v>
      </c>
      <c r="F28" s="28">
        <f t="shared" si="13"/>
        <v>-429295.07501192909</v>
      </c>
      <c r="G28" s="37">
        <f t="shared" si="11"/>
        <v>0</v>
      </c>
      <c r="H28" s="34">
        <f t="shared" si="12"/>
        <v>1</v>
      </c>
      <c r="I28" s="35">
        <f t="shared" si="14"/>
        <v>0.29350249534471717</v>
      </c>
      <c r="K28" s="37">
        <f t="shared" si="8"/>
        <v>0.41241194884209875</v>
      </c>
      <c r="L28" s="37">
        <f t="shared" si="9"/>
        <v>0.24517067007115578</v>
      </c>
      <c r="M28" s="37">
        <f t="shared" si="10"/>
        <v>-0.52575744457242468</v>
      </c>
      <c r="N28" s="37"/>
      <c r="O28" s="66">
        <f>K28-$D$9*$E$9/$H$9*LN(I$14/I29)</f>
        <v>0.58035540776124539</v>
      </c>
      <c r="P28" s="66">
        <f>L28-$D$9*$E$9/$H$9*LN(I$14/I53)</f>
        <v>0.41379657517711743</v>
      </c>
      <c r="Q28" s="66">
        <f>M28-$D$9*$E$9/$H$9*LN(I$38/I53)</f>
        <v>-0.37247618421503104</v>
      </c>
      <c r="R28" s="4"/>
    </row>
    <row r="29" spans="1:18" x14ac:dyDescent="0.25">
      <c r="B29" s="32" t="s">
        <v>48</v>
      </c>
      <c r="C29" s="38">
        <v>-684.22146603900001</v>
      </c>
      <c r="D29" s="28" t="s">
        <v>81</v>
      </c>
      <c r="E29" s="38">
        <v>9.7253000000000006E-2</v>
      </c>
      <c r="F29" s="28">
        <f t="shared" si="13"/>
        <v>-429294.44286199636</v>
      </c>
      <c r="G29" s="37">
        <f t="shared" si="11"/>
        <v>0.63214993273140863</v>
      </c>
      <c r="H29" s="34">
        <f t="shared" si="12"/>
        <v>0.34381221976114451</v>
      </c>
      <c r="I29" s="35">
        <f t="shared" si="14"/>
        <v>0.10090974442990219</v>
      </c>
      <c r="K29" s="37">
        <f t="shared" si="8"/>
        <v>0.44559855972530649</v>
      </c>
      <c r="L29" s="37">
        <f t="shared" si="9"/>
        <v>0.24989435844291297</v>
      </c>
      <c r="M29" s="37">
        <f t="shared" si="10"/>
        <v>-0.5210337562006675</v>
      </c>
      <c r="N29" s="37"/>
      <c r="O29" s="66">
        <f>K29-$D$9*$E$9/$H$9*LN(I$14/I30)</f>
        <v>0.58035540776124628</v>
      </c>
      <c r="P29" s="66">
        <f>L29-$D$9*$E$9/$H$9*LN(I$14/I54)</f>
        <v>0.41379657517711782</v>
      </c>
      <c r="Q29" s="66">
        <f>M29-$D$9*$E$9/$H$9*LN(I$38/I54)</f>
        <v>-0.3724761842150307</v>
      </c>
      <c r="R29" s="4"/>
    </row>
    <row r="30" spans="1:18" x14ac:dyDescent="0.25">
      <c r="B30" s="32" t="s">
        <v>49</v>
      </c>
      <c r="C30" s="38">
        <v>-684.22124546299995</v>
      </c>
      <c r="D30" s="28" t="s">
        <v>79</v>
      </c>
      <c r="E30" s="38">
        <v>9.8252000000000006E-2</v>
      </c>
      <c r="F30" s="28">
        <f t="shared" si="13"/>
        <v>-429293.67756647035</v>
      </c>
      <c r="G30" s="37">
        <f t="shared" si="11"/>
        <v>1.3974454587441869</v>
      </c>
      <c r="H30" s="34">
        <f t="shared" si="12"/>
        <v>9.4401960930175999E-2</v>
      </c>
      <c r="I30" s="35">
        <f t="shared" si="14"/>
        <v>2.7707211098441153E-2</v>
      </c>
      <c r="K30" s="37">
        <f t="shared" si="8"/>
        <v>0.46531221901485154</v>
      </c>
      <c r="L30" s="37">
        <f t="shared" si="9"/>
        <v>0.24580127162692911</v>
      </c>
      <c r="M30" s="37">
        <f t="shared" si="10"/>
        <v>-0.52512684301665091</v>
      </c>
      <c r="N30" s="37"/>
      <c r="O30" s="66">
        <f>K30-$D$9*$E$9/$H$9*LN(I$14/I31)</f>
        <v>0.58035540776124628</v>
      </c>
      <c r="P30" s="66">
        <f>L30-$D$9*$E$9/$H$9*LN(I$14/I55)</f>
        <v>0.41379657517711732</v>
      </c>
      <c r="Q30" s="66">
        <f>M30-$D$9*$E$9/$H$9*LN(I$38/I55)</f>
        <v>-0.37247618421503076</v>
      </c>
      <c r="R30" s="4"/>
    </row>
    <row r="31" spans="1:18" x14ac:dyDescent="0.25">
      <c r="B31" s="32" t="s">
        <v>50</v>
      </c>
      <c r="C31" s="38">
        <v>-684.22094300499998</v>
      </c>
      <c r="D31" s="28" t="s">
        <v>78</v>
      </c>
      <c r="E31" s="38">
        <v>9.8673999999999998E-2</v>
      </c>
      <c r="F31" s="28">
        <f t="shared" si="13"/>
        <v>-429293.22296219307</v>
      </c>
      <c r="G31" s="37">
        <f t="shared" si="11"/>
        <v>1.852049736015033</v>
      </c>
      <c r="H31" s="34">
        <f t="shared" si="12"/>
        <v>4.3805751972754117E-2</v>
      </c>
      <c r="I31" s="35">
        <f t="shared" si="14"/>
        <v>1.28570975144551E-2</v>
      </c>
      <c r="K31" s="37">
        <f t="shared" si="8"/>
        <v>0.45297649449783339</v>
      </c>
      <c r="L31" s="37">
        <f t="shared" si="9"/>
        <v>0.24274671541536108</v>
      </c>
      <c r="M31" s="37">
        <f t="shared" si="10"/>
        <v>-0.52818139922821894</v>
      </c>
      <c r="N31" s="37"/>
      <c r="O31" s="66">
        <f>K31-$D$9*$E$9/$H$9*LN(I$14/I32)</f>
        <v>0.5803554077612455</v>
      </c>
      <c r="P31" s="66">
        <f>L31-$D$9*$E$9/$H$9*LN(I$14/I56)</f>
        <v>0.41379657517711738</v>
      </c>
      <c r="Q31" s="66">
        <f>M31-$D$9*$E$9/$H$9*LN(I$38/I56)</f>
        <v>-0.3724761842150307</v>
      </c>
      <c r="R31" s="4"/>
    </row>
    <row r="32" spans="1:18" x14ac:dyDescent="0.25">
      <c r="B32" s="32" t="s">
        <v>51</v>
      </c>
      <c r="C32" s="38">
        <v>-684.22125833099994</v>
      </c>
      <c r="D32" s="28" t="s">
        <v>82</v>
      </c>
      <c r="E32" s="38">
        <v>9.8535999999999999E-2</v>
      </c>
      <c r="F32" s="28">
        <f t="shared" si="13"/>
        <v>-429293.50742856466</v>
      </c>
      <c r="G32" s="37">
        <f t="shared" si="11"/>
        <v>1.5675833644345403</v>
      </c>
      <c r="H32" s="34">
        <f t="shared" si="12"/>
        <v>7.0824863411937736E-2</v>
      </c>
      <c r="I32" s="35">
        <f t="shared" si="14"/>
        <v>2.0787274143852483E-2</v>
      </c>
      <c r="K32" s="37">
        <f t="shared" si="8"/>
        <v>0.40037631382112959</v>
      </c>
      <c r="L32" s="37">
        <f t="shared" si="9"/>
        <v>0.22517226862499573</v>
      </c>
      <c r="M32" s="37">
        <f t="shared" si="10"/>
        <v>-0.54575584601858429</v>
      </c>
      <c r="N32" s="37"/>
      <c r="O32" s="66">
        <f>K32-$D$9*$E$9/$H$9*LN(I$14/I33)</f>
        <v>0.58035540776124628</v>
      </c>
      <c r="P32" s="66">
        <f>L32-$D$9*$E$9/$H$9*LN(I$14/I57)</f>
        <v>0.41379657517711721</v>
      </c>
      <c r="Q32" s="66">
        <f>M32-$D$9*$E$9/$H$9*LN(I$38/I57)</f>
        <v>-0.37247618421503081</v>
      </c>
      <c r="R32" s="4"/>
    </row>
    <row r="33" spans="1:18" s="3" customFormat="1" x14ac:dyDescent="0.25">
      <c r="B33" s="32" t="s">
        <v>52</v>
      </c>
      <c r="C33" s="28">
        <v>-684.22149233699997</v>
      </c>
      <c r="D33" s="28" t="s">
        <v>73</v>
      </c>
      <c r="E33" s="28">
        <v>9.6837000000000006E-2</v>
      </c>
      <c r="F33" s="28">
        <f t="shared" si="13"/>
        <v>-429294.72040819313</v>
      </c>
      <c r="G33" s="37">
        <f t="shared" si="11"/>
        <v>0.35460373596288264</v>
      </c>
      <c r="H33" s="34">
        <f t="shared" si="12"/>
        <v>0.5494143542466321</v>
      </c>
      <c r="I33" s="35">
        <f t="shared" si="14"/>
        <v>0.16125448394959294</v>
      </c>
      <c r="J33" s="28"/>
      <c r="K33" s="37">
        <f t="shared" si="8"/>
        <v>0.38526707446747643</v>
      </c>
      <c r="L33" s="37">
        <f t="shared" si="9"/>
        <v>0.23239351902632688</v>
      </c>
      <c r="M33" s="37">
        <f t="shared" si="10"/>
        <v>-0.53853459561725314</v>
      </c>
      <c r="N33" s="37"/>
      <c r="O33" s="66">
        <f>K33-$D$9*$E$9/$H$9*LN(I$14/I34)</f>
        <v>0.58035540776124594</v>
      </c>
      <c r="P33" s="66">
        <f>L33-$D$9*$E$9/$H$9*LN(I$14/I58)</f>
        <v>0.41379657517711732</v>
      </c>
      <c r="Q33" s="66">
        <f>M33-$D$9*$E$9/$H$9*LN(I$38/I58)</f>
        <v>-0.37247618421503081</v>
      </c>
      <c r="R33" s="4"/>
    </row>
    <row r="34" spans="1:18" s="3" customFormat="1" x14ac:dyDescent="0.25">
      <c r="B34" s="32" t="s">
        <v>53</v>
      </c>
      <c r="C34" s="28">
        <v>-684.22184958699995</v>
      </c>
      <c r="D34" s="28" t="s">
        <v>72</v>
      </c>
      <c r="E34" s="28">
        <v>9.6639000000000003E-2</v>
      </c>
      <c r="F34" s="28">
        <f t="shared" si="13"/>
        <v>-429295.06883284304</v>
      </c>
      <c r="G34" s="37">
        <f t="shared" si="11"/>
        <v>6.1790860490873456E-3</v>
      </c>
      <c r="H34" s="34">
        <f t="shared" si="12"/>
        <v>0.9896181970569613</v>
      </c>
      <c r="I34" s="35">
        <f t="shared" si="14"/>
        <v>0.29045541027475819</v>
      </c>
      <c r="J34" s="28"/>
      <c r="K34" s="37">
        <f t="shared" si="8"/>
        <v>0.45890448652524718</v>
      </c>
      <c r="L34" s="37"/>
      <c r="M34" s="37"/>
      <c r="N34" s="37"/>
      <c r="O34" s="66">
        <f>K34-$D$9*$E$9/$H$9*LN(I$14/I35)</f>
        <v>0.58035540776124561</v>
      </c>
      <c r="P34" s="66"/>
      <c r="Q34" s="66"/>
      <c r="R34" s="4"/>
    </row>
    <row r="35" spans="1:18" x14ac:dyDescent="0.25">
      <c r="B35" s="32" t="s">
        <v>71</v>
      </c>
      <c r="C35" s="3">
        <v>-684.22098748300004</v>
      </c>
      <c r="D35" s="28" t="s">
        <v>74</v>
      </c>
      <c r="E35" s="3">
        <v>9.8483000000000001E-2</v>
      </c>
      <c r="F35" s="28">
        <f t="shared" si="13"/>
        <v>-429293.37072687515</v>
      </c>
      <c r="G35" s="37">
        <f t="shared" si="11"/>
        <v>1.7042850539437495</v>
      </c>
      <c r="H35" s="34">
        <f t="shared" si="12"/>
        <v>5.6223226701884801E-2</v>
      </c>
      <c r="I35" s="35">
        <f t="shared" si="14"/>
        <v>1.6501657333334922E-2</v>
      </c>
      <c r="K35" s="37">
        <f t="shared" ref="K35:K45" si="15">-($F$15-F25)/$H$9-$I$9</f>
        <v>0.6242630769037314</v>
      </c>
      <c r="L35" s="37">
        <f t="shared" ref="L35:L44" si="16">-($F$15-F49-$G$9)/$H$9-$I$9</f>
        <v>0.47508689723335262</v>
      </c>
      <c r="M35" s="37">
        <f t="shared" ref="M35:M44" si="17">-($F$39-F49)/$H$9-$I$9</f>
        <v>-0.32254594419967875</v>
      </c>
      <c r="N35" s="37"/>
      <c r="O35" s="66">
        <f>K35-$D$9*$E$9/$H$9*LN(I$15/I25)</f>
        <v>0.58035540776124583</v>
      </c>
      <c r="P35" s="66">
        <f>L35-$D$9*$E$9/$H$9*LN(I$15/I49)</f>
        <v>0.41379657517711799</v>
      </c>
      <c r="Q35" s="66">
        <f>M35-$D$9*$E$9/$H$9*LN(I$39/I49)</f>
        <v>-0.37247618421503104</v>
      </c>
      <c r="R35" s="4"/>
    </row>
    <row r="36" spans="1:18" x14ac:dyDescent="0.25">
      <c r="A36" s="128"/>
      <c r="B36" s="139"/>
      <c r="C36" s="137"/>
      <c r="D36" s="137"/>
      <c r="E36" s="137"/>
      <c r="F36" s="137"/>
      <c r="G36" s="137"/>
      <c r="H36" s="137"/>
      <c r="I36" s="137"/>
      <c r="K36" s="37">
        <f t="shared" si="15"/>
        <v>0.70689579944690628</v>
      </c>
      <c r="L36" s="37">
        <f t="shared" si="16"/>
        <v>0.49960446468639841</v>
      </c>
      <c r="M36" s="37">
        <f t="shared" si="17"/>
        <v>-0.29802837674663252</v>
      </c>
      <c r="N36" s="37"/>
      <c r="O36" s="66">
        <f>K36-$D$9*$E$9/$H$9*LN(I$15/I26)</f>
        <v>0.58035540776124561</v>
      </c>
      <c r="P36" s="66">
        <f>L36-$D$9*$E$9/$H$9*LN(I$15/I50)</f>
        <v>0.41379657517711765</v>
      </c>
      <c r="Q36" s="66">
        <f>M36-$D$9*$E$9/$H$9*LN(I$39/I50)</f>
        <v>-0.37247618421503093</v>
      </c>
      <c r="R36" s="4"/>
    </row>
    <row r="37" spans="1:18" ht="17.25" x14ac:dyDescent="0.25">
      <c r="A37" s="90" t="s">
        <v>114</v>
      </c>
      <c r="B37" s="32" t="s">
        <v>34</v>
      </c>
      <c r="C37" s="28">
        <v>-683.92805692599995</v>
      </c>
      <c r="E37" s="28">
        <v>8.6690000000000003E-2</v>
      </c>
      <c r="F37" s="28">
        <f>(C37+E37)*$C$9</f>
        <v>-429116.9542390508</v>
      </c>
      <c r="G37" s="37">
        <f t="shared" ref="G37:G46" si="18">F37-$F$42</f>
        <v>2.7104199811583385</v>
      </c>
      <c r="H37" s="34">
        <f t="shared" ref="H37:H46" si="19">EXP(-G37/($D$9*$E$9))</f>
        <v>1.0278293719227626E-2</v>
      </c>
      <c r="I37" s="35">
        <f>H37/SUM($H$37:$H$46)</f>
        <v>3.2644616095509832E-3</v>
      </c>
      <c r="K37" s="37">
        <f t="shared" si="15"/>
        <v>0.54594698445226797</v>
      </c>
      <c r="L37" s="37">
        <f t="shared" si="16"/>
        <v>0.35789811297131102</v>
      </c>
      <c r="M37" s="37">
        <f t="shared" si="17"/>
        <v>-0.4397347284617199</v>
      </c>
      <c r="N37" s="37"/>
      <c r="O37" s="66">
        <f>K37-$D$9*$E$9/$H$9*LN(I$15/I27)</f>
        <v>0.5803554077612455</v>
      </c>
      <c r="P37" s="66">
        <f>L37-$D$9*$E$9/$H$9*LN(I$15/I51)</f>
        <v>0.41379657517711749</v>
      </c>
      <c r="Q37" s="66">
        <f>M37-$D$9*$E$9/$H$9*LN(I$39/I51)</f>
        <v>-0.37247618421503104</v>
      </c>
      <c r="R37" s="4"/>
    </row>
    <row r="38" spans="1:18" x14ac:dyDescent="0.25">
      <c r="A38" s="91" t="s">
        <v>137</v>
      </c>
      <c r="B38" s="32" t="s">
        <v>35</v>
      </c>
      <c r="C38" s="28">
        <v>-683.92529852600001</v>
      </c>
      <c r="E38" s="28">
        <v>8.6302000000000004E-2</v>
      </c>
      <c r="F38" s="28">
        <f t="shared" ref="F38:F46" si="20">(C38+E38)*$C$9</f>
        <v>-429115.46679053199</v>
      </c>
      <c r="G38" s="37">
        <f t="shared" si="18"/>
        <v>4.1978684999630786</v>
      </c>
      <c r="H38" s="34">
        <f t="shared" si="19"/>
        <v>8.3346096172566444E-4</v>
      </c>
      <c r="I38" s="35">
        <f t="shared" ref="I38:I46" si="21">H38/SUM($H$37:$H$46)</f>
        <v>2.6471332566835136E-4</v>
      </c>
      <c r="K38" s="37">
        <f t="shared" si="15"/>
        <v>0.51002939046607931</v>
      </c>
      <c r="L38" s="37">
        <f t="shared" si="16"/>
        <v>0.40276445839691721</v>
      </c>
      <c r="M38" s="37">
        <f t="shared" si="17"/>
        <v>-0.39486838303611327</v>
      </c>
      <c r="N38" s="37"/>
      <c r="O38" s="66">
        <f>K38-$D$9*$E$9/$H$9*LN(I$15/I28)</f>
        <v>0.58035540776124606</v>
      </c>
      <c r="P38" s="66">
        <f>L38-$D$9*$E$9/$H$9*LN(I$15/I52)</f>
        <v>0.41379657517711732</v>
      </c>
      <c r="Q38" s="66">
        <f>M38-$D$9*$E$9/$H$9*LN(I$39/I52)</f>
        <v>-0.37247618421503081</v>
      </c>
      <c r="R38" s="4"/>
    </row>
    <row r="39" spans="1:18" x14ac:dyDescent="0.25">
      <c r="B39" s="32" t="s">
        <v>36</v>
      </c>
      <c r="C39" s="28">
        <v>-683.92862289499999</v>
      </c>
      <c r="E39" s="28">
        <v>8.6013000000000006E-2</v>
      </c>
      <c r="F39" s="28">
        <f t="shared" si="20"/>
        <v>-429117.73421390651</v>
      </c>
      <c r="G39" s="37">
        <f t="shared" si="18"/>
        <v>1.9304451254429296</v>
      </c>
      <c r="H39" s="34">
        <f t="shared" si="19"/>
        <v>3.8373245220138491E-2</v>
      </c>
      <c r="I39" s="35">
        <f t="shared" si="21"/>
        <v>1.2187624646364092E-2</v>
      </c>
      <c r="K39" s="37">
        <f t="shared" si="15"/>
        <v>0.53744221743856091</v>
      </c>
      <c r="L39" s="37">
        <f t="shared" si="16"/>
        <v>0.37020093866761794</v>
      </c>
      <c r="M39" s="37">
        <f t="shared" si="17"/>
        <v>-0.42743190276541299</v>
      </c>
      <c r="N39" s="37"/>
      <c r="O39" s="66">
        <f>K39-$D$9*$E$9/$H$9*LN(I$15/I29)</f>
        <v>0.58035540776124583</v>
      </c>
      <c r="P39" s="66">
        <f>L39-$D$9*$E$9/$H$9*LN(I$15/I53)</f>
        <v>0.41379657517711788</v>
      </c>
      <c r="Q39" s="66">
        <f>M39-$D$9*$E$9/$H$9*LN(I$39/I53)</f>
        <v>-0.37247618421503065</v>
      </c>
    </row>
    <row r="40" spans="1:18" x14ac:dyDescent="0.25">
      <c r="B40" s="32" t="s">
        <v>37</v>
      </c>
      <c r="C40" s="28">
        <v>-683.92948974800004</v>
      </c>
      <c r="E40" s="28">
        <v>8.5542999999999994E-2</v>
      </c>
      <c r="F40" s="28">
        <f t="shared" si="20"/>
        <v>-429118.57310186414</v>
      </c>
      <c r="G40" s="37">
        <f t="shared" si="18"/>
        <v>1.0915571678197011</v>
      </c>
      <c r="H40" s="34">
        <f t="shared" si="19"/>
        <v>0.15825173785070087</v>
      </c>
      <c r="I40" s="35">
        <f t="shared" si="21"/>
        <v>5.0261914766253656E-2</v>
      </c>
      <c r="K40" s="37">
        <f t="shared" si="15"/>
        <v>0.57062882832176776</v>
      </c>
      <c r="L40" s="37">
        <f t="shared" si="16"/>
        <v>0.37492462703937424</v>
      </c>
      <c r="M40" s="37">
        <f t="shared" si="17"/>
        <v>-0.42270821439365625</v>
      </c>
      <c r="N40" s="37"/>
      <c r="O40" s="66">
        <f>K40-$D$9*$E$9/$H$9*LN(I$15/I30)</f>
        <v>0.58035540776124583</v>
      </c>
      <c r="P40" s="66">
        <f>L40-$D$9*$E$9/$H$9*LN(I$15/I54)</f>
        <v>0.41379657517711743</v>
      </c>
      <c r="Q40" s="66">
        <f>M40-$D$9*$E$9/$H$9*LN(I$39/I54)</f>
        <v>-0.3724761842150307</v>
      </c>
    </row>
    <row r="41" spans="1:18" x14ac:dyDescent="0.25">
      <c r="B41" s="32" t="s">
        <v>38</v>
      </c>
      <c r="C41" s="28">
        <v>-683.92869009699996</v>
      </c>
      <c r="E41" s="28">
        <v>8.6088999999999999E-2</v>
      </c>
      <c r="F41" s="28">
        <f t="shared" si="20"/>
        <v>-429117.72869307786</v>
      </c>
      <c r="G41" s="37">
        <f t="shared" si="18"/>
        <v>1.9359659540932626</v>
      </c>
      <c r="H41" s="34">
        <f t="shared" si="19"/>
        <v>3.8017103910084477E-2</v>
      </c>
      <c r="I41" s="35">
        <f t="shared" si="21"/>
        <v>1.2074511549384617E-2</v>
      </c>
      <c r="K41" s="37">
        <f t="shared" si="15"/>
        <v>0.59034248761131281</v>
      </c>
      <c r="L41" s="37">
        <f t="shared" si="16"/>
        <v>0.37083154022339126</v>
      </c>
      <c r="M41" s="37">
        <f t="shared" si="17"/>
        <v>-0.42680130120963966</v>
      </c>
      <c r="N41" s="37"/>
      <c r="O41" s="66">
        <f>K41-$D$9*$E$9/$H$9*LN(I$15/I31)</f>
        <v>0.58035540776124583</v>
      </c>
      <c r="P41" s="66">
        <f>L41-$D$9*$E$9/$H$9*LN(I$15/I55)</f>
        <v>0.41379657517711776</v>
      </c>
      <c r="Q41" s="66">
        <f>M41-$D$9*$E$9/$H$9*LN(I$39/I55)</f>
        <v>-0.37247618421503081</v>
      </c>
      <c r="R41" s="4"/>
    </row>
    <row r="42" spans="1:18" x14ac:dyDescent="0.25">
      <c r="B42" s="32" t="s">
        <v>39</v>
      </c>
      <c r="C42" s="28">
        <v>-683.93243125499998</v>
      </c>
      <c r="E42" s="28">
        <v>8.6745000000000003E-2</v>
      </c>
      <c r="F42" s="28">
        <f t="shared" si="20"/>
        <v>-429119.66465903196</v>
      </c>
      <c r="G42" s="37">
        <f t="shared" si="18"/>
        <v>0</v>
      </c>
      <c r="H42" s="34">
        <f t="shared" si="19"/>
        <v>1</v>
      </c>
      <c r="I42" s="35">
        <f t="shared" si="21"/>
        <v>0.31760734794376888</v>
      </c>
      <c r="J42" s="28">
        <f>-($F$42-F57)/$H$9-$I$9</f>
        <v>-0.36371763501142862</v>
      </c>
      <c r="K42" s="37">
        <f t="shared" si="15"/>
        <v>0.57800676309429555</v>
      </c>
      <c r="L42" s="37">
        <f t="shared" si="16"/>
        <v>0.36777698401182324</v>
      </c>
      <c r="M42" s="37">
        <f t="shared" si="17"/>
        <v>-0.42985585742120769</v>
      </c>
      <c r="N42" s="37"/>
      <c r="O42" s="66">
        <f>K42-$D$9*$E$9/$H$9*LN(I$15/I32)</f>
        <v>0.58035540776124594</v>
      </c>
      <c r="P42" s="66">
        <f>L42-$D$9*$E$9/$H$9*LN(I$15/I56)</f>
        <v>0.41379657517711782</v>
      </c>
      <c r="Q42" s="66">
        <f>M42-$D$9*$E$9/$H$9*LN(I$39/I56)</f>
        <v>-0.37247618421503076</v>
      </c>
      <c r="R42" s="4"/>
    </row>
    <row r="43" spans="1:18" x14ac:dyDescent="0.25">
      <c r="B43" s="32" t="s">
        <v>40</v>
      </c>
      <c r="C43" s="28">
        <v>-683.93242839799996</v>
      </c>
      <c r="E43" s="28">
        <v>8.6851999999999999E-2</v>
      </c>
      <c r="F43" s="28">
        <f t="shared" si="20"/>
        <v>-429119.59572272073</v>
      </c>
      <c r="G43" s="37">
        <f t="shared" si="18"/>
        <v>6.8936311232391745E-2</v>
      </c>
      <c r="H43" s="34">
        <f t="shared" si="19"/>
        <v>0.89009338576276353</v>
      </c>
      <c r="I43" s="35">
        <f t="shared" si="21"/>
        <v>0.28270019967440135</v>
      </c>
      <c r="K43" s="37">
        <f t="shared" si="15"/>
        <v>0.52540658241759086</v>
      </c>
      <c r="L43" s="37">
        <f t="shared" si="16"/>
        <v>0.35020253722145789</v>
      </c>
      <c r="M43" s="37">
        <f t="shared" si="17"/>
        <v>-0.44743030421157304</v>
      </c>
      <c r="N43" s="37"/>
      <c r="O43" s="66">
        <f>K43-$D$9*$E$9/$H$9*LN(I$15/I33)</f>
        <v>0.58035540776124583</v>
      </c>
      <c r="P43" s="66">
        <f>L43-$D$9*$E$9/$H$9*LN(I$15/I57)</f>
        <v>0.41379657517711771</v>
      </c>
      <c r="Q43" s="66">
        <f>M43-$D$9*$E$9/$H$9*LN(I$39/I57)</f>
        <v>-0.37247618421503087</v>
      </c>
      <c r="R43" s="4"/>
    </row>
    <row r="44" spans="1:18" x14ac:dyDescent="0.25">
      <c r="B44" s="32" t="s">
        <v>41</v>
      </c>
      <c r="C44" s="28">
        <v>-683.93242838200001</v>
      </c>
      <c r="E44" s="28">
        <v>8.6802000000000004E-2</v>
      </c>
      <c r="F44" s="28">
        <f t="shared" si="20"/>
        <v>-429119.6270881556</v>
      </c>
      <c r="G44" s="37">
        <f t="shared" si="18"/>
        <v>3.7570876360405236E-2</v>
      </c>
      <c r="H44" s="34">
        <f t="shared" si="19"/>
        <v>0.93851659732843862</v>
      </c>
      <c r="I44" s="35">
        <f t="shared" si="21"/>
        <v>0.29807976747869541</v>
      </c>
      <c r="K44" s="37">
        <f t="shared" si="15"/>
        <v>0.5102973430639377</v>
      </c>
      <c r="L44" s="37">
        <f t="shared" si="16"/>
        <v>0.35742378762278904</v>
      </c>
      <c r="M44" s="37">
        <f t="shared" si="17"/>
        <v>-0.44020905381024189</v>
      </c>
      <c r="N44" s="37"/>
      <c r="O44" s="66">
        <f>K44-$D$9*$E$9/$H$9*LN(I$15/I34)</f>
        <v>0.5803554077612455</v>
      </c>
      <c r="P44" s="66">
        <f>L44-$D$9*$E$9/$H$9*LN(I$15/I58)</f>
        <v>0.41379657517711776</v>
      </c>
      <c r="Q44" s="66">
        <f>M44-$D$9*$E$9/$H$9*LN(I$39/I58)</f>
        <v>-0.37247618421503081</v>
      </c>
      <c r="R44" s="4"/>
    </row>
    <row r="45" spans="1:18" s="3" customFormat="1" x14ac:dyDescent="0.25">
      <c r="B45" s="32" t="s">
        <v>69</v>
      </c>
      <c r="C45" s="28">
        <v>-683.92867659499996</v>
      </c>
      <c r="D45" s="28"/>
      <c r="E45" s="28">
        <v>8.609E-2</v>
      </c>
      <c r="F45" s="28">
        <f t="shared" si="20"/>
        <v>-429117.71959293511</v>
      </c>
      <c r="G45" s="37">
        <f t="shared" si="18"/>
        <v>1.9450660968432203</v>
      </c>
      <c r="H45" s="34">
        <f t="shared" si="19"/>
        <v>3.743726575916876E-2</v>
      </c>
      <c r="I45" s="35">
        <f t="shared" si="21"/>
        <v>1.1890350692035657E-2</v>
      </c>
      <c r="J45" s="28"/>
      <c r="K45" s="37">
        <f t="shared" si="15"/>
        <v>0.58393475512170934</v>
      </c>
      <c r="L45" s="37"/>
      <c r="M45" s="37"/>
      <c r="N45" s="37"/>
      <c r="O45" s="66">
        <f>K45-$D$9*$E$9/$H$9*LN(I$15/I35)</f>
        <v>0.58035540776124606</v>
      </c>
      <c r="P45" s="66"/>
      <c r="Q45" s="66"/>
      <c r="R45" s="4"/>
    </row>
    <row r="46" spans="1:18" s="3" customFormat="1" x14ac:dyDescent="0.25">
      <c r="B46" s="32" t="s">
        <v>70</v>
      </c>
      <c r="C46" s="28">
        <v>-683.92869087300005</v>
      </c>
      <c r="D46" s="28"/>
      <c r="E46" s="28">
        <v>8.6122000000000004E-2</v>
      </c>
      <c r="F46" s="28">
        <f t="shared" si="20"/>
        <v>-429117.70847221179</v>
      </c>
      <c r="G46" s="37">
        <f t="shared" si="18"/>
        <v>1.9561868201708421</v>
      </c>
      <c r="H46" s="34">
        <f t="shared" si="19"/>
        <v>3.6740674891258887E-2</v>
      </c>
      <c r="I46" s="35">
        <f t="shared" si="21"/>
        <v>1.1669108313876955E-2</v>
      </c>
      <c r="K46" s="37">
        <f t="shared" ref="K46:K56" si="22">-($F$16-F25)/$H$9-$I$9</f>
        <v>0.65173359246488172</v>
      </c>
      <c r="L46" s="37">
        <f t="shared" ref="L46:L55" si="23">-($F$16-F49-$G$9)/$H$9-$I$9</f>
        <v>0.50255741279450294</v>
      </c>
      <c r="M46" s="37">
        <f t="shared" ref="M46:M55" si="24">-($F$40-F49)/$H$9-$I$9</f>
        <v>-0.28616803883115072</v>
      </c>
      <c r="N46" s="37"/>
      <c r="O46" s="66">
        <f>K46-$D$9*$E$9/$H$9*LN(I$16/I25)</f>
        <v>0.58035540776124539</v>
      </c>
      <c r="P46" s="66">
        <f>L46-$D$9*$E$9/$H$9*LN(I$16/I49)</f>
        <v>0.41379657517711749</v>
      </c>
      <c r="Q46" s="66">
        <f>M46-$D$9*$E$9/$H$9*LN(I$40/I49)</f>
        <v>-0.37247618421503043</v>
      </c>
      <c r="R46" s="4"/>
    </row>
    <row r="47" spans="1:18" x14ac:dyDescent="0.25">
      <c r="K47" s="37">
        <f t="shared" si="22"/>
        <v>0.73436631500805749</v>
      </c>
      <c r="L47" s="37">
        <f t="shared" si="23"/>
        <v>0.52707498024754873</v>
      </c>
      <c r="M47" s="37">
        <f t="shared" si="24"/>
        <v>-0.26165047137810493</v>
      </c>
      <c r="N47" s="37"/>
      <c r="O47" s="66">
        <f>K47-$D$9*$E$9/$H$9*LN(I$16/I26)</f>
        <v>0.58035540776124606</v>
      </c>
      <c r="P47" s="66">
        <f>L47-$D$9*$E$9/$H$9*LN(I$16/I50)</f>
        <v>0.41379657517711721</v>
      </c>
      <c r="Q47" s="66">
        <f>M47-$D$9*$E$9/$H$9*LN(I$40/I50)</f>
        <v>-0.3724761842150307</v>
      </c>
      <c r="R47" s="4"/>
    </row>
    <row r="48" spans="1:18" x14ac:dyDescent="0.25">
      <c r="A48" s="128"/>
      <c r="B48" s="139"/>
      <c r="C48" s="137"/>
      <c r="D48" s="137"/>
      <c r="E48" s="137"/>
      <c r="F48" s="137"/>
      <c r="G48" s="137"/>
      <c r="H48" s="137"/>
      <c r="I48" s="137"/>
      <c r="K48" s="37">
        <f t="shared" si="22"/>
        <v>0.57341750001341918</v>
      </c>
      <c r="L48" s="37">
        <f t="shared" si="23"/>
        <v>0.38536862853246223</v>
      </c>
      <c r="M48" s="37">
        <f t="shared" si="24"/>
        <v>-0.40335682309319232</v>
      </c>
      <c r="N48" s="37"/>
      <c r="O48" s="66">
        <f>K48-$D$9*$E$9/$H$9*LN(I$16/I27)</f>
        <v>0.58035540776124594</v>
      </c>
      <c r="P48" s="66">
        <f>L48-$D$9*$E$9/$H$9*LN(I$16/I51)</f>
        <v>0.41379657517711793</v>
      </c>
      <c r="Q48" s="66">
        <f>M48-$D$9*$E$9/$H$9*LN(I$40/I51)</f>
        <v>-0.37247618421503087</v>
      </c>
      <c r="R48" s="4"/>
    </row>
    <row r="49" spans="1:17" ht="16.5" x14ac:dyDescent="0.25">
      <c r="A49" s="90" t="s">
        <v>151</v>
      </c>
      <c r="B49" s="32" t="s">
        <v>54</v>
      </c>
      <c r="C49" s="28">
        <v>-683.78249686699996</v>
      </c>
      <c r="D49" s="28" t="s">
        <v>75</v>
      </c>
      <c r="E49" s="28">
        <v>8.6737999999999996E-2</v>
      </c>
      <c r="F49" s="28">
        <f>(C49+E49)*$C$9</f>
        <v>-429025.58379875176</v>
      </c>
      <c r="G49" s="37">
        <f t="shared" ref="G49:G58" si="25">F49-$F$51</f>
        <v>2.7024167249328457</v>
      </c>
      <c r="H49" s="34">
        <f t="shared" ref="H49:H58" si="26">EXP(-G49/($D$9*$E$9))</f>
        <v>1.0418168350930665E-2</v>
      </c>
      <c r="I49" s="35">
        <f>H49/SUM($H$49:$H$58)</f>
        <v>1.7432752205047222E-3</v>
      </c>
      <c r="K49" s="37">
        <f t="shared" si="22"/>
        <v>0.53749990602722963</v>
      </c>
      <c r="L49" s="37">
        <f t="shared" si="23"/>
        <v>0.43023497395806842</v>
      </c>
      <c r="M49" s="37">
        <f t="shared" si="24"/>
        <v>-0.35849047766758568</v>
      </c>
      <c r="N49" s="37"/>
      <c r="O49" s="66">
        <f>K49-$D$9*$E$9/$H$9*LN(I$16/I28)</f>
        <v>0.58035540776124561</v>
      </c>
      <c r="P49" s="66">
        <f>L49-$D$9*$E$9/$H$9*LN(I$16/I52)</f>
        <v>0.41379657517711771</v>
      </c>
      <c r="Q49" s="66">
        <f>M49-$D$9*$E$9/$H$9*LN(I$40/I52)</f>
        <v>-0.37247618421503065</v>
      </c>
    </row>
    <row r="50" spans="1:17" x14ac:dyDescent="0.25">
      <c r="B50" s="32" t="s">
        <v>55</v>
      </c>
      <c r="C50" s="28">
        <v>-683.78070387000002</v>
      </c>
      <c r="D50" s="28" t="s">
        <v>76</v>
      </c>
      <c r="E50" s="28">
        <v>8.5846000000000006E-2</v>
      </c>
      <c r="F50" s="28">
        <f t="shared" ref="F50:F58" si="27">(C50+E50)*$C$9</f>
        <v>-429025.01841457479</v>
      </c>
      <c r="G50" s="37">
        <f t="shared" si="25"/>
        <v>3.2678009019000456</v>
      </c>
      <c r="H50" s="34">
        <f t="shared" si="26"/>
        <v>4.0094519611643641E-3</v>
      </c>
      <c r="I50" s="35">
        <f t="shared" ref="I50:I58" si="28">H50/SUM($H$49:$H$58)</f>
        <v>6.7090279368325933E-4</v>
      </c>
      <c r="K50" s="37">
        <f t="shared" si="22"/>
        <v>0.56491273299971123</v>
      </c>
      <c r="L50" s="37">
        <f t="shared" si="23"/>
        <v>0.39767145422876826</v>
      </c>
      <c r="M50" s="37">
        <f t="shared" si="24"/>
        <v>-0.39105399739688584</v>
      </c>
      <c r="N50" s="37"/>
      <c r="O50" s="66">
        <f>K50-$D$9*$E$9/$H$9*LN(I$16/I29)</f>
        <v>0.58035540776124539</v>
      </c>
      <c r="P50" s="66">
        <f>L50-$D$9*$E$9/$H$9*LN(I$16/I53)</f>
        <v>0.41379657517711743</v>
      </c>
      <c r="Q50" s="66">
        <f>M50-$D$9*$E$9/$H$9*LN(I$40/I53)</f>
        <v>-0.37247618421503093</v>
      </c>
    </row>
    <row r="51" spans="1:17" x14ac:dyDescent="0.25">
      <c r="B51" s="32" t="s">
        <v>56</v>
      </c>
      <c r="C51" s="28">
        <v>-683.78513444199996</v>
      </c>
      <c r="D51" s="28" t="s">
        <v>77</v>
      </c>
      <c r="E51" s="28">
        <v>8.5069000000000006E-2</v>
      </c>
      <c r="F51" s="28">
        <f t="shared" si="27"/>
        <v>-429028.28621547669</v>
      </c>
      <c r="G51" s="37">
        <f t="shared" si="25"/>
        <v>0</v>
      </c>
      <c r="H51" s="34">
        <f t="shared" si="26"/>
        <v>1</v>
      </c>
      <c r="I51" s="35">
        <f t="shared" si="28"/>
        <v>0.16733029854993597</v>
      </c>
      <c r="K51" s="37">
        <f t="shared" si="22"/>
        <v>0.59809934388291897</v>
      </c>
      <c r="L51" s="37">
        <f t="shared" si="23"/>
        <v>0.40239514260052545</v>
      </c>
      <c r="M51" s="37">
        <f t="shared" si="24"/>
        <v>-0.3863303090251291</v>
      </c>
      <c r="N51" s="37"/>
      <c r="O51" s="66">
        <f>K51-$D$9*$E$9/$H$9*LN(I$16/I30)</f>
        <v>0.58035540776124628</v>
      </c>
      <c r="P51" s="66">
        <f>L51-$D$9*$E$9/$H$9*LN(I$16/I54)</f>
        <v>0.41379657517711782</v>
      </c>
      <c r="Q51" s="66">
        <f>M51-$D$9*$E$9/$H$9*LN(I$40/I54)</f>
        <v>-0.37247618421503098</v>
      </c>
    </row>
    <row r="52" spans="1:17" x14ac:dyDescent="0.25">
      <c r="B52" s="32" t="s">
        <v>57</v>
      </c>
      <c r="C52" s="28">
        <v>-683.78486264699995</v>
      </c>
      <c r="D52" s="28" t="s">
        <v>80</v>
      </c>
      <c r="E52" s="28">
        <v>8.6445999999999995E-2</v>
      </c>
      <c r="F52" s="28">
        <f t="shared" si="27"/>
        <v>-429027.25158095063</v>
      </c>
      <c r="G52" s="37">
        <f t="shared" si="25"/>
        <v>1.0346345260622911</v>
      </c>
      <c r="H52" s="34">
        <f t="shared" si="26"/>
        <v>0.17422117962978936</v>
      </c>
      <c r="I52" s="35">
        <f t="shared" si="28"/>
        <v>2.9152482001174679E-2</v>
      </c>
      <c r="K52" s="37">
        <f t="shared" si="22"/>
        <v>0.61781300317246401</v>
      </c>
      <c r="L52" s="37">
        <f t="shared" si="23"/>
        <v>0.39830205578454159</v>
      </c>
      <c r="M52" s="37">
        <f t="shared" si="24"/>
        <v>-0.39042339584111208</v>
      </c>
      <c r="N52" s="37"/>
      <c r="O52" s="66">
        <f>K52-$D$9*$E$9/$H$9*LN(I$16/I31)</f>
        <v>0.58035540776124628</v>
      </c>
      <c r="P52" s="66">
        <f>L52-$D$9*$E$9/$H$9*LN(I$16/I55)</f>
        <v>0.41379657517711732</v>
      </c>
      <c r="Q52" s="66">
        <f>M52-$D$9*$E$9/$H$9*LN(I$40/I55)</f>
        <v>-0.37247618421503065</v>
      </c>
    </row>
    <row r="53" spans="1:17" x14ac:dyDescent="0.25">
      <c r="B53" s="32" t="s">
        <v>58</v>
      </c>
      <c r="C53" s="28">
        <v>-683.78513432499994</v>
      </c>
      <c r="D53" s="28" t="s">
        <v>81</v>
      </c>
      <c r="E53" s="28">
        <v>8.5521E-2</v>
      </c>
      <c r="F53" s="28">
        <f t="shared" si="27"/>
        <v>-429028.00250776409</v>
      </c>
      <c r="G53" s="37">
        <f t="shared" si="25"/>
        <v>0.28370771260233596</v>
      </c>
      <c r="H53" s="34">
        <f t="shared" si="26"/>
        <v>0.61930112173216312</v>
      </c>
      <c r="I53" s="35">
        <f t="shared" si="28"/>
        <v>0.10362784159175309</v>
      </c>
      <c r="K53" s="37">
        <f t="shared" si="22"/>
        <v>0.60547727865544587</v>
      </c>
      <c r="L53" s="37">
        <f t="shared" si="23"/>
        <v>0.39524749957297356</v>
      </c>
      <c r="M53" s="37">
        <f t="shared" si="24"/>
        <v>-0.39347795205268055</v>
      </c>
      <c r="N53" s="37"/>
      <c r="O53" s="66">
        <f>K53-$D$9*$E$9/$H$9*LN(I$16/I32)</f>
        <v>0.5803554077612455</v>
      </c>
      <c r="P53" s="66">
        <f>L53-$D$9*$E$9/$H$9*LN(I$16/I56)</f>
        <v>0.41379657517711738</v>
      </c>
      <c r="Q53" s="66">
        <f>M53-$D$9*$E$9/$H$9*LN(I$40/I56)</f>
        <v>-0.37247618421503098</v>
      </c>
    </row>
    <row r="54" spans="1:17" x14ac:dyDescent="0.25">
      <c r="B54" s="32" t="s">
        <v>59</v>
      </c>
      <c r="C54" s="28">
        <v>-683.78651273399998</v>
      </c>
      <c r="D54" s="28" t="s">
        <v>79</v>
      </c>
      <c r="E54" s="28">
        <v>8.7072999999999998E-2</v>
      </c>
      <c r="F54" s="28">
        <f t="shared" si="27"/>
        <v>-429027.89357776247</v>
      </c>
      <c r="G54" s="37">
        <f t="shared" si="25"/>
        <v>0.39263771421974525</v>
      </c>
      <c r="H54" s="34">
        <f t="shared" si="26"/>
        <v>0.51523134513958924</v>
      </c>
      <c r="I54" s="35">
        <f t="shared" si="28"/>
        <v>8.621381480449257E-2</v>
      </c>
      <c r="K54" s="37">
        <f t="shared" si="22"/>
        <v>0.55287709797874207</v>
      </c>
      <c r="L54" s="37">
        <f t="shared" si="23"/>
        <v>0.37767305278260821</v>
      </c>
      <c r="M54" s="37">
        <f t="shared" si="24"/>
        <v>-0.41105239884304545</v>
      </c>
      <c r="N54" s="37"/>
      <c r="O54" s="66">
        <f>K54-$D$9*$E$9/$H$9*LN(I$16/I33)</f>
        <v>0.58035540776124628</v>
      </c>
      <c r="P54" s="66">
        <f>L54-$D$9*$E$9/$H$9*LN(I$16/I57)</f>
        <v>0.41379657517711721</v>
      </c>
      <c r="Q54" s="66">
        <f>M54-$D$9*$E$9/$H$9*LN(I$40/I57)</f>
        <v>-0.3724761842150307</v>
      </c>
    </row>
    <row r="55" spans="1:17" x14ac:dyDescent="0.25">
      <c r="B55" s="32" t="s">
        <v>60</v>
      </c>
      <c r="C55" s="28">
        <v>-683.78652315099998</v>
      </c>
      <c r="D55" s="28" t="s">
        <v>78</v>
      </c>
      <c r="E55" s="28">
        <v>8.6932999999999996E-2</v>
      </c>
      <c r="F55" s="28">
        <f t="shared" si="27"/>
        <v>-429027.98796585889</v>
      </c>
      <c r="G55" s="37">
        <f t="shared" si="25"/>
        <v>0.29824961780104786</v>
      </c>
      <c r="H55" s="34">
        <f t="shared" si="26"/>
        <v>0.60427615164058501</v>
      </c>
      <c r="I55" s="35">
        <f t="shared" si="28"/>
        <v>0.10111370886062547</v>
      </c>
      <c r="K55" s="37">
        <f t="shared" si="22"/>
        <v>0.53776785862508891</v>
      </c>
      <c r="L55" s="37">
        <f t="shared" si="23"/>
        <v>0.38489430318393936</v>
      </c>
      <c r="M55" s="37">
        <f t="shared" si="24"/>
        <v>-0.40383114844171475</v>
      </c>
      <c r="N55" s="37"/>
      <c r="O55" s="66">
        <f>K55-$D$9*$E$9/$H$9*LN(I$16/I34)</f>
        <v>0.58035540776124594</v>
      </c>
      <c r="P55" s="66">
        <f>L55-$D$9*$E$9/$H$9*LN(I$16/I58)</f>
        <v>0.41379657517711732</v>
      </c>
      <c r="Q55" s="66">
        <f>M55-$D$9*$E$9/$H$9*LN(I$40/I58)</f>
        <v>-0.37247618421503109</v>
      </c>
    </row>
    <row r="56" spans="1:17" x14ac:dyDescent="0.25">
      <c r="B56" s="32" t="s">
        <v>61</v>
      </c>
      <c r="C56" s="28">
        <v>-683.78651640299995</v>
      </c>
      <c r="D56" s="28" t="s">
        <v>82</v>
      </c>
      <c r="E56" s="28">
        <v>8.6814000000000002E-2</v>
      </c>
      <c r="F56" s="28">
        <f t="shared" si="27"/>
        <v>-429028.05840505532</v>
      </c>
      <c r="G56" s="37">
        <f t="shared" si="25"/>
        <v>0.2278104213764891</v>
      </c>
      <c r="H56" s="34">
        <f t="shared" si="26"/>
        <v>0.68061613328853099</v>
      </c>
      <c r="I56" s="35">
        <f t="shared" si="28"/>
        <v>0.11388770078107291</v>
      </c>
      <c r="K56" s="37">
        <f t="shared" si="22"/>
        <v>0.61140527068285966</v>
      </c>
      <c r="L56" s="37"/>
      <c r="M56" s="37"/>
      <c r="N56" s="37"/>
      <c r="O56" s="66">
        <f>K56-$D$9*$E$9/$H$9*LN(I$16/I35)</f>
        <v>0.58035540776124561</v>
      </c>
      <c r="P56" s="66"/>
      <c r="Q56" s="66"/>
    </row>
    <row r="57" spans="1:17" x14ac:dyDescent="0.25">
      <c r="B57" s="32" t="s">
        <v>62</v>
      </c>
      <c r="C57" s="28">
        <v>-683.785124247</v>
      </c>
      <c r="D57" s="28" t="s">
        <v>73</v>
      </c>
      <c r="E57" s="28">
        <v>8.4776000000000004E-2</v>
      </c>
      <c r="F57" s="28">
        <f t="shared" si="27"/>
        <v>-429028.46367830085</v>
      </c>
      <c r="G57" s="37">
        <f t="shared" si="25"/>
        <v>-0.1774628241546452</v>
      </c>
      <c r="H57" s="34">
        <f t="shared" si="26"/>
        <v>1.3494849938798614</v>
      </c>
      <c r="I57" s="35">
        <f t="shared" si="28"/>
        <v>0.22580972691457574</v>
      </c>
      <c r="K57" s="37">
        <f t="shared" ref="K57:K67" si="29">-($F$17-F25)/$H$9-$I$9</f>
        <v>0.62931529088804172</v>
      </c>
      <c r="L57" s="37">
        <f t="shared" ref="L57:L66" si="30">-($F$17-F49-$G$9)/$H$9-$I$9</f>
        <v>0.48013911121766295</v>
      </c>
      <c r="M57" s="37">
        <f t="shared" ref="M57:M66" si="31">-($F$41-F49)/$H$9-$I$9</f>
        <v>-0.32278535183495638</v>
      </c>
      <c r="N57" s="37"/>
      <c r="O57" s="66">
        <f>K57-$D$9*$E$9/$H$9*LN(I$17/I25)</f>
        <v>0.58035540776124561</v>
      </c>
      <c r="P57" s="66">
        <f>L57-$D$9*$E$9/$H$9*LN(I$17/I49)</f>
        <v>0.41379657517711771</v>
      </c>
      <c r="Q57" s="66">
        <f>M57-$D$9*$E$9/$H$9*LN(I$41/I49)</f>
        <v>-0.37247618421503081</v>
      </c>
    </row>
    <row r="58" spans="1:17" x14ac:dyDescent="0.25">
      <c r="B58" s="32" t="s">
        <v>63</v>
      </c>
      <c r="C58" s="28">
        <v>-683.78512187299998</v>
      </c>
      <c r="D58" s="28" t="s">
        <v>72</v>
      </c>
      <c r="E58" s="28">
        <v>8.5039000000000003E-2</v>
      </c>
      <c r="F58" s="28">
        <f t="shared" si="27"/>
        <v>-429028.29715359473</v>
      </c>
      <c r="G58" s="37">
        <f t="shared" si="25"/>
        <v>-1.0938118037302047E-2</v>
      </c>
      <c r="H58" s="34">
        <f t="shared" si="26"/>
        <v>1.0186454572739225</v>
      </c>
      <c r="I58" s="35">
        <f t="shared" si="28"/>
        <v>0.17045024848218152</v>
      </c>
      <c r="K58" s="37">
        <f t="shared" si="29"/>
        <v>0.7119480134312175</v>
      </c>
      <c r="L58" s="37">
        <f t="shared" si="30"/>
        <v>0.50465667867070874</v>
      </c>
      <c r="M58" s="37">
        <f t="shared" si="31"/>
        <v>-0.29826778438191059</v>
      </c>
      <c r="N58" s="37"/>
      <c r="O58" s="66">
        <f>K58-$D$9*$E$9/$H$9*LN(I$17/I26)</f>
        <v>0.58035540776124617</v>
      </c>
      <c r="P58" s="66">
        <f>L58-$D$9*$E$9/$H$9*LN(I$17/I50)</f>
        <v>0.41379657517711743</v>
      </c>
      <c r="Q58" s="66">
        <f>M58-$D$9*$E$9/$H$9*LN(I$41/I50)</f>
        <v>-0.37247618421503109</v>
      </c>
    </row>
    <row r="59" spans="1:17" x14ac:dyDescent="0.25">
      <c r="A59" s="128"/>
      <c r="B59" s="137"/>
      <c r="C59" s="137"/>
      <c r="D59" s="137"/>
      <c r="E59" s="137"/>
      <c r="F59" s="137"/>
      <c r="G59" s="137"/>
      <c r="H59" s="137"/>
      <c r="I59" s="137"/>
      <c r="K59" s="37">
        <f t="shared" si="29"/>
        <v>0.55099919843657919</v>
      </c>
      <c r="L59" s="37">
        <f t="shared" si="30"/>
        <v>0.36295032695562135</v>
      </c>
      <c r="M59" s="37">
        <f t="shared" si="31"/>
        <v>-0.43997413609699754</v>
      </c>
      <c r="N59" s="37"/>
      <c r="O59" s="66">
        <f>K59-$D$9*$E$9/$H$9*LN(I$17/I27)</f>
        <v>0.58035540776124617</v>
      </c>
      <c r="P59" s="66">
        <f>L59-$D$9*$E$9/$H$9*LN(I$17/I51)</f>
        <v>0.41379657517711721</v>
      </c>
      <c r="Q59" s="66">
        <f>M59-$D$9*$E$9/$H$9*LN(I$41/I51)</f>
        <v>-0.37247618421503081</v>
      </c>
    </row>
    <row r="60" spans="1:17" x14ac:dyDescent="0.25">
      <c r="K60" s="37">
        <f t="shared" si="29"/>
        <v>0.51508160445038964</v>
      </c>
      <c r="L60" s="37">
        <f t="shared" si="30"/>
        <v>0.40781667238122843</v>
      </c>
      <c r="M60" s="37">
        <f t="shared" si="31"/>
        <v>-0.39510779067139135</v>
      </c>
      <c r="N60" s="37"/>
      <c r="O60" s="66">
        <f>K60-$D$9*$E$9/$H$9*LN(I$17/I28)</f>
        <v>0.58035540776124572</v>
      </c>
      <c r="P60" s="66">
        <f>L60-$D$9*$E$9/$H$9*LN(I$17/I52)</f>
        <v>0.41379657517711793</v>
      </c>
      <c r="Q60" s="66">
        <f>M60-$D$9*$E$9/$H$9*LN(I$41/I52)</f>
        <v>-0.37247618421503104</v>
      </c>
    </row>
    <row r="61" spans="1:17" x14ac:dyDescent="0.25">
      <c r="B61" s="29"/>
      <c r="C61" s="29"/>
      <c r="D61" s="29"/>
      <c r="E61" s="29"/>
      <c r="F61" s="29"/>
      <c r="G61" s="29"/>
      <c r="H61" s="29"/>
      <c r="I61" s="29"/>
      <c r="J61" s="29"/>
      <c r="K61" s="37">
        <f t="shared" si="29"/>
        <v>0.54249443142287124</v>
      </c>
      <c r="L61" s="37">
        <f t="shared" si="30"/>
        <v>0.37525315265192827</v>
      </c>
      <c r="M61" s="37">
        <f t="shared" si="31"/>
        <v>-0.42767131040069106</v>
      </c>
      <c r="N61" s="37"/>
      <c r="O61" s="66">
        <f>K61-$D$9*$E$9/$H$9*LN(I$17/I29)</f>
        <v>0.58035540776124561</v>
      </c>
      <c r="P61" s="66">
        <f>L61-$D$9*$E$9/$H$9*LN(I$17/I53)</f>
        <v>0.41379657517711765</v>
      </c>
      <c r="Q61" s="66">
        <f>M61-$D$9*$E$9/$H$9*LN(I$41/I53)</f>
        <v>-0.37247618421503087</v>
      </c>
    </row>
    <row r="62" spans="1:17" x14ac:dyDescent="0.25">
      <c r="B62" s="29"/>
      <c r="C62" s="29"/>
      <c r="D62" s="29"/>
      <c r="E62" s="29"/>
      <c r="G62" s="29"/>
      <c r="H62" s="29"/>
      <c r="I62" s="30"/>
      <c r="J62" s="29"/>
      <c r="K62" s="37">
        <f t="shared" si="29"/>
        <v>0.57568104230607808</v>
      </c>
      <c r="L62" s="37">
        <f t="shared" si="30"/>
        <v>0.37997684102368545</v>
      </c>
      <c r="M62" s="37">
        <f t="shared" si="31"/>
        <v>-0.42294762202893432</v>
      </c>
      <c r="N62" s="37"/>
      <c r="O62" s="66">
        <f>K62-$D$9*$E$9/$H$9*LN(I$17/I30)</f>
        <v>0.5803554077612455</v>
      </c>
      <c r="P62" s="66">
        <f>L62-$D$9*$E$9/$H$9*LN(I$17/I54)</f>
        <v>0.41379657517711804</v>
      </c>
      <c r="Q62" s="66">
        <f>M62-$D$9*$E$9/$H$9*LN(I$41/I54)</f>
        <v>-0.37247618421503093</v>
      </c>
    </row>
    <row r="63" spans="1:17" x14ac:dyDescent="0.25">
      <c r="B63" s="137"/>
      <c r="C63" s="139" t="s">
        <v>33</v>
      </c>
      <c r="D63" s="139"/>
      <c r="E63" s="139"/>
      <c r="F63" s="139"/>
      <c r="G63" s="139"/>
      <c r="H63" s="139"/>
      <c r="K63" s="37">
        <f t="shared" si="29"/>
        <v>0.59539470159562313</v>
      </c>
      <c r="L63" s="37">
        <f t="shared" si="30"/>
        <v>0.37588375420770159</v>
      </c>
      <c r="M63" s="37">
        <f t="shared" si="31"/>
        <v>-0.42704070884491774</v>
      </c>
      <c r="N63" s="37"/>
      <c r="O63" s="66">
        <f>K63-$D$9*$E$9/$H$9*LN(I$17/I31)</f>
        <v>0.5803554077612455</v>
      </c>
      <c r="P63" s="66">
        <f>L63-$D$9*$E$9/$H$9*LN(I$17/I55)</f>
        <v>0.41379657517711749</v>
      </c>
      <c r="Q63" s="66">
        <f>M63-$D$9*$E$9/$H$9*LN(I$41/I55)</f>
        <v>-0.37247618421503104</v>
      </c>
    </row>
    <row r="64" spans="1:17" x14ac:dyDescent="0.25">
      <c r="B64" s="140"/>
      <c r="C64" s="137" t="s">
        <v>64</v>
      </c>
      <c r="D64" s="137" t="s">
        <v>65</v>
      </c>
      <c r="E64" s="137"/>
      <c r="F64" s="137"/>
      <c r="G64" s="137" t="s">
        <v>19</v>
      </c>
      <c r="H64" s="137" t="s">
        <v>20</v>
      </c>
      <c r="K64" s="37">
        <f t="shared" si="29"/>
        <v>0.58305897707860588</v>
      </c>
      <c r="L64" s="37">
        <f t="shared" si="30"/>
        <v>0.37282919799613357</v>
      </c>
      <c r="M64" s="37">
        <f t="shared" si="31"/>
        <v>-0.43009526505648576</v>
      </c>
      <c r="N64" s="37"/>
      <c r="O64" s="66">
        <f>K64-$D$9*$E$9/$H$9*LN(I$17/I32)</f>
        <v>0.58035540776124572</v>
      </c>
      <c r="P64" s="66">
        <f>L64-$D$9*$E$9/$H$9*LN(I$17/I56)</f>
        <v>0.41379657517711754</v>
      </c>
      <c r="Q64" s="66">
        <f>M64-$D$9*$E$9/$H$9*LN(I$41/I56)</f>
        <v>-0.37247618421503093</v>
      </c>
    </row>
    <row r="65" spans="2:17" ht="16.5" x14ac:dyDescent="0.25">
      <c r="B65" s="117" t="s">
        <v>140</v>
      </c>
      <c r="C65" s="67">
        <v>-683.48985000000005</v>
      </c>
      <c r="D65" s="57">
        <f t="shared" ref="D65:D67" si="32">C65*$C$9</f>
        <v>-428896.37402857502</v>
      </c>
      <c r="E65" s="73" t="s">
        <v>17</v>
      </c>
      <c r="G65" s="71">
        <f>-(D65-D66)/$H$9-$I$9</f>
        <v>0.72145343251440419</v>
      </c>
      <c r="H65" s="33">
        <f>($D$9*$E$9)*LN((10^(-4.16-13.79)+10^(-4.16-7)+10^(-14))/(10^0.45+10^-7))/H9+($D$9*$E$9)*LN(1/10^-4.16)/H9+0.766</f>
        <v>0.32559079592272222</v>
      </c>
      <c r="K65" s="37">
        <f t="shared" si="29"/>
        <v>0.53045879640190119</v>
      </c>
      <c r="L65" s="37">
        <f t="shared" si="30"/>
        <v>0.35525475120576822</v>
      </c>
      <c r="M65" s="37">
        <f t="shared" si="31"/>
        <v>-0.44766971184685111</v>
      </c>
      <c r="N65" s="37"/>
      <c r="O65" s="66">
        <f>K65-$D$9*$E$9/$H$9*LN(I$17/I33)</f>
        <v>0.58035540776124561</v>
      </c>
      <c r="P65" s="66">
        <f>L65-$D$9*$E$9/$H$9*LN(I$17/I57)</f>
        <v>0.41379657517711743</v>
      </c>
      <c r="Q65" s="66">
        <f>M65-$D$9*$E$9/$H$9*LN(I$41/I57)</f>
        <v>-0.37247618421503104</v>
      </c>
    </row>
    <row r="66" spans="2:17" ht="16.5" x14ac:dyDescent="0.25">
      <c r="B66" s="117" t="s">
        <v>154</v>
      </c>
      <c r="C66" s="3">
        <v>-683.30463299999997</v>
      </c>
      <c r="D66" s="38">
        <f t="shared" si="32"/>
        <v>-428780.14860151347</v>
      </c>
      <c r="E66" s="73" t="s">
        <v>67</v>
      </c>
      <c r="G66" s="33">
        <f>-(D65-D67-$G$9)/$H$9-$I$9</f>
        <v>0.58314586409591129</v>
      </c>
      <c r="H66" s="33"/>
      <c r="K66" s="37">
        <f t="shared" si="29"/>
        <v>0.51534955704824892</v>
      </c>
      <c r="L66" s="37">
        <f t="shared" si="30"/>
        <v>0.36247600160709936</v>
      </c>
      <c r="M66" s="37">
        <f t="shared" si="31"/>
        <v>-0.44044846144551997</v>
      </c>
      <c r="N66" s="37"/>
      <c r="O66" s="66">
        <f>K66-$D$9*$E$9/$H$9*LN(I$17/I34)</f>
        <v>0.58035540776124617</v>
      </c>
      <c r="P66" s="66">
        <f>L66-$D$9*$E$9/$H$9*LN(I$17/I58)</f>
        <v>0.41379657517711749</v>
      </c>
      <c r="Q66" s="66">
        <f>M66-$D$9*$E$9/$H$9*LN(I$41/I58)</f>
        <v>-0.37247618421503098</v>
      </c>
    </row>
    <row r="67" spans="2:17" s="3" customFormat="1" ht="16.5" x14ac:dyDescent="0.25">
      <c r="B67" s="117" t="s">
        <v>155</v>
      </c>
      <c r="C67" s="38">
        <v>-682.87896999999998</v>
      </c>
      <c r="D67" s="38">
        <f t="shared" si="32"/>
        <v>-428513.041025215</v>
      </c>
      <c r="E67" s="73" t="s">
        <v>22</v>
      </c>
      <c r="F67" s="28"/>
      <c r="G67" s="55">
        <f>-(D68-D67)/$H$9-$I$9</f>
        <v>-0.23228583817181025</v>
      </c>
      <c r="H67" s="33"/>
      <c r="I67" s="28"/>
      <c r="J67" s="28"/>
      <c r="K67" s="37">
        <f t="shared" si="29"/>
        <v>0.58898696910601966</v>
      </c>
      <c r="L67" s="37"/>
      <c r="M67" s="37"/>
      <c r="N67" s="37"/>
      <c r="O67" s="66">
        <f>K67-$D$9*$E$9/$H$9*LN(I$17/I35)</f>
        <v>0.58035540776124583</v>
      </c>
      <c r="P67" s="66"/>
      <c r="Q67" s="66"/>
    </row>
    <row r="68" spans="2:17" s="3" customFormat="1" ht="17.25" x14ac:dyDescent="0.25">
      <c r="B68" s="117" t="s">
        <v>162</v>
      </c>
      <c r="C68" s="67">
        <v>-683.02913799999999</v>
      </c>
      <c r="D68" s="57">
        <f t="shared" ref="D68" si="33">C68*$C$9</f>
        <v>-428607.272871811</v>
      </c>
      <c r="E68" s="67"/>
      <c r="F68" s="57"/>
      <c r="G68" s="37"/>
      <c r="H68" s="28"/>
      <c r="I68" s="28"/>
      <c r="J68" s="28"/>
      <c r="K68" s="37">
        <f t="shared" ref="K68:K78" si="34">-($F$18-F25)/$H$9-$I$9</f>
        <v>0.68630848461271388</v>
      </c>
      <c r="L68" s="37">
        <f t="shared" ref="L68:L77" si="35">-($F$18-F49-$G$9)/$H$9-$I$9</f>
        <v>0.53713230494233422</v>
      </c>
      <c r="M68" s="37">
        <f t="shared" ref="M68:M77" si="36">-($F$42-F49)/$H$9-$I$9</f>
        <v>-0.23883327499953477</v>
      </c>
      <c r="N68" s="37"/>
      <c r="O68" s="66">
        <f>K68-$D$9*$E$9/$H$9*LN(I$18/I25)</f>
        <v>0.58035540776124606</v>
      </c>
      <c r="P68" s="66">
        <f>L68-$D$9*$E$9/$H$9*LN(I$18/I49)</f>
        <v>0.41379657517711732</v>
      </c>
      <c r="Q68" s="66">
        <f>M68-$D$9*$E$9/$H$9*LN(I$42/I49)</f>
        <v>-0.37247618421503131</v>
      </c>
    </row>
    <row r="69" spans="2:17" x14ac:dyDescent="0.25">
      <c r="B69" s="137" t="s">
        <v>156</v>
      </c>
      <c r="C69" s="137"/>
      <c r="D69" s="137"/>
      <c r="E69" s="137"/>
      <c r="F69" s="137"/>
      <c r="G69" s="137"/>
      <c r="H69" s="137"/>
      <c r="K69" s="37">
        <f t="shared" si="34"/>
        <v>0.76894120715588876</v>
      </c>
      <c r="L69" s="37">
        <f t="shared" si="35"/>
        <v>0.56164987239538089</v>
      </c>
      <c r="M69" s="37">
        <f t="shared" si="36"/>
        <v>-0.2143157075464881</v>
      </c>
      <c r="N69" s="37"/>
      <c r="O69" s="66">
        <f>K69-$D$9*$E$9/$H$9*LN(I$18/I26)</f>
        <v>0.58035540776124583</v>
      </c>
      <c r="P69" s="66">
        <f>L69-$D$9*$E$9/$H$9*LN(I$18/I50)</f>
        <v>0.41379657517711788</v>
      </c>
      <c r="Q69" s="66">
        <f>M69-$D$9*$E$9/$H$9*LN(I$42/I50)</f>
        <v>-0.3724761842150307</v>
      </c>
    </row>
    <row r="70" spans="2:17" ht="18" x14ac:dyDescent="0.35">
      <c r="B70" s="94" t="s">
        <v>163</v>
      </c>
      <c r="C70" s="102">
        <v>-836.20838000000003</v>
      </c>
      <c r="D70" s="115">
        <f>C70*$C$9</f>
        <v>-524728.70242961007</v>
      </c>
      <c r="E70" s="73" t="s">
        <v>17</v>
      </c>
      <c r="G70" s="71">
        <f>-(D70-D71)/$H$9-$I$9</f>
        <v>0.68420075593022656</v>
      </c>
      <c r="H70" s="37">
        <f>($D$9*$E$9)*LN((10^(-4.45-10.51)+10^(-4.45-7)+10^(-14))/(10^(-4.45-7)))/$H$9+($D$9*$E$9)*LN((10^-7)/(10^-7+10^1.21))/H9+G70</f>
        <v>0.19890320171327547</v>
      </c>
      <c r="K70" s="37">
        <f t="shared" si="34"/>
        <v>0.60799239216125045</v>
      </c>
      <c r="L70" s="37">
        <f t="shared" si="35"/>
        <v>0.4199435206802935</v>
      </c>
      <c r="M70" s="37">
        <f t="shared" si="36"/>
        <v>-0.35602205926157549</v>
      </c>
      <c r="N70" s="37"/>
      <c r="O70" s="66">
        <f>K70-$D$9*$E$9/$H$9*LN(I$18/I27)</f>
        <v>0.58035540776124583</v>
      </c>
      <c r="P70" s="66">
        <f>L70-$D$9*$E$9/$H$9*LN(I$18/I51)</f>
        <v>0.41379657517711776</v>
      </c>
      <c r="Q70" s="66">
        <f>M70-$D$9*$E$9/$H$9*LN(I$42/I51)</f>
        <v>-0.37247618421503087</v>
      </c>
    </row>
    <row r="71" spans="2:17" s="3" customFormat="1" ht="18" x14ac:dyDescent="0.35">
      <c r="B71" s="92" t="s">
        <v>161</v>
      </c>
      <c r="C71" s="28">
        <v>-836.02453200000002</v>
      </c>
      <c r="D71" s="62">
        <f>C71*$C$9</f>
        <v>-524613.33606305404</v>
      </c>
      <c r="E71" s="73" t="s">
        <v>85</v>
      </c>
      <c r="F71" s="28"/>
      <c r="G71" s="37">
        <f>-(D73-D72)/$H$9-$I$9</f>
        <v>-8.3071815218840328E-3</v>
      </c>
      <c r="H71" s="28"/>
      <c r="I71" s="28"/>
      <c r="J71" s="28"/>
      <c r="K71" s="37">
        <f t="shared" si="34"/>
        <v>0.57207479817506179</v>
      </c>
      <c r="L71" s="37">
        <f t="shared" si="35"/>
        <v>0.46480986610589969</v>
      </c>
      <c r="M71" s="37">
        <f t="shared" si="36"/>
        <v>-0.31115571383596929</v>
      </c>
      <c r="N71" s="37"/>
      <c r="O71" s="66">
        <f>K71-$D$9*$E$9/$H$9*LN(I$18/I28)</f>
        <v>0.58035540776124628</v>
      </c>
      <c r="P71" s="66">
        <f>L71-$D$9*$E$9/$H$9*LN(I$18/I52)</f>
        <v>0.41379657517711754</v>
      </c>
      <c r="Q71" s="66">
        <f>M71-$D$9*$E$9/$H$9*LN(I$42/I52)</f>
        <v>-0.37247618421503109</v>
      </c>
    </row>
    <row r="72" spans="2:17" ht="18.75" x14ac:dyDescent="0.35">
      <c r="B72" s="94" t="s">
        <v>164</v>
      </c>
      <c r="C72" s="28">
        <v>-835.59641199999999</v>
      </c>
      <c r="D72" s="141">
        <f t="shared" ref="D72:D73" si="37">C72*$C$9</f>
        <v>-524344.68669591402</v>
      </c>
      <c r="E72" s="73" t="s">
        <v>67</v>
      </c>
      <c r="G72" s="33">
        <f>-(D70-D72-$G$9)/$H$9-$I$9</f>
        <v>0.6127520818640253</v>
      </c>
      <c r="H72" s="37">
        <f>($D$9*$E$9)*LN((10^(-4.45-10.51)+10^(-4.45-7)+10^(-14))/(10^(-4.45-7)))/$H$9+($D$9*$E$9)*LN((10^(1.21-7))/(10^-7+10^1.21))/H9+G72</f>
        <v>0.19899010008271173</v>
      </c>
      <c r="I72" s="35"/>
      <c r="K72" s="37">
        <f t="shared" si="34"/>
        <v>0.59948762514754339</v>
      </c>
      <c r="L72" s="37">
        <f t="shared" si="35"/>
        <v>0.43224634637659953</v>
      </c>
      <c r="M72" s="37">
        <f t="shared" si="36"/>
        <v>-0.34371923356526901</v>
      </c>
      <c r="N72" s="37"/>
      <c r="O72" s="66">
        <f>K72-$D$9*$E$9/$H$9*LN(I$18/I29)</f>
        <v>0.58035540776124617</v>
      </c>
      <c r="P72" s="66">
        <f>L72-$D$9*$E$9/$H$9*LN(I$18/I53)</f>
        <v>0.41379657517711727</v>
      </c>
      <c r="Q72" s="66">
        <f>M72-$D$9*$E$9/$H$9*LN(I$42/I53)</f>
        <v>-0.37247618421503093</v>
      </c>
    </row>
    <row r="73" spans="2:17" ht="18.75" x14ac:dyDescent="0.35">
      <c r="B73" s="94" t="s">
        <v>165</v>
      </c>
      <c r="C73" s="78">
        <v>-835.75481100000002</v>
      </c>
      <c r="D73" s="141">
        <f t="shared" si="37"/>
        <v>-524444.08357320447</v>
      </c>
      <c r="G73" s="28">
        <v>-0.36799999999999999</v>
      </c>
      <c r="H73" s="34"/>
      <c r="I73" s="35"/>
      <c r="K73" s="37">
        <f t="shared" si="34"/>
        <v>0.63267423603075024</v>
      </c>
      <c r="L73" s="37">
        <f t="shared" si="35"/>
        <v>0.43697003474835672</v>
      </c>
      <c r="M73" s="37">
        <f t="shared" si="36"/>
        <v>-0.33899554519351227</v>
      </c>
      <c r="N73" s="37"/>
      <c r="O73" s="66">
        <f>K73-$D$9*$E$9/$H$9*LN(I$18/I30)</f>
        <v>0.58035540776124606</v>
      </c>
      <c r="P73" s="66">
        <f>L73-$D$9*$E$9/$H$9*LN(I$18/I54)</f>
        <v>0.41379657517711765</v>
      </c>
      <c r="Q73" s="66">
        <f>M73-$D$9*$E$9/$H$9*LN(I$42/I54)</f>
        <v>-0.37247618421503098</v>
      </c>
    </row>
    <row r="74" spans="2:17" x14ac:dyDescent="0.25">
      <c r="B74" s="83"/>
      <c r="C74" s="84"/>
      <c r="D74" s="85"/>
      <c r="E74" s="64"/>
      <c r="F74" s="64"/>
      <c r="G74" s="64"/>
      <c r="H74" s="86"/>
      <c r="I74" s="35"/>
      <c r="K74" s="37">
        <f t="shared" si="34"/>
        <v>0.65238789532029529</v>
      </c>
      <c r="L74" s="37">
        <f t="shared" si="35"/>
        <v>0.43287694793237375</v>
      </c>
      <c r="M74" s="37">
        <f t="shared" si="36"/>
        <v>-0.34308863200949569</v>
      </c>
      <c r="N74" s="37"/>
      <c r="O74" s="66">
        <f>K74-$D$9*$E$9/$H$9*LN(I$18/I31)</f>
        <v>0.58035540776124606</v>
      </c>
      <c r="P74" s="66">
        <f>L74-$D$9*$E$9/$H$9*LN(I$18/I55)</f>
        <v>0.41379657517711799</v>
      </c>
      <c r="Q74" s="66">
        <f>M74-$D$9*$E$9/$H$9*LN(I$42/I55)</f>
        <v>-0.37247618421503104</v>
      </c>
    </row>
    <row r="75" spans="2:17" x14ac:dyDescent="0.25">
      <c r="B75" s="87"/>
      <c r="C75" s="64"/>
      <c r="D75" s="85"/>
      <c r="E75" s="64"/>
      <c r="F75" s="64"/>
      <c r="G75" s="10"/>
      <c r="H75" s="10"/>
      <c r="I75" s="35"/>
      <c r="K75" s="37">
        <f t="shared" si="34"/>
        <v>0.64005217080327803</v>
      </c>
      <c r="L75" s="37">
        <f t="shared" si="35"/>
        <v>0.42982239172080572</v>
      </c>
      <c r="M75" s="37">
        <f t="shared" si="36"/>
        <v>-0.34614318822106371</v>
      </c>
      <c r="N75" s="37"/>
      <c r="O75" s="66">
        <f>K75-$D$9*$E$9/$H$9*LN(I$18/I32)</f>
        <v>0.58035540776124617</v>
      </c>
      <c r="P75" s="66">
        <f>L75-$D$9*$E$9/$H$9*LN(I$18/I56)</f>
        <v>0.4137965751771181</v>
      </c>
      <c r="Q75" s="66">
        <f>M75-$D$9*$E$9/$H$9*LN(I$42/I56)</f>
        <v>-0.37247618421503098</v>
      </c>
    </row>
    <row r="76" spans="2:17" x14ac:dyDescent="0.25">
      <c r="B76" s="94"/>
      <c r="C76" s="102"/>
      <c r="D76" s="115"/>
      <c r="H76" s="34"/>
      <c r="I76" s="35"/>
      <c r="K76" s="37">
        <f t="shared" si="34"/>
        <v>0.58745199012657334</v>
      </c>
      <c r="L76" s="37">
        <f t="shared" si="35"/>
        <v>0.41224794493044037</v>
      </c>
      <c r="M76" s="37">
        <f t="shared" si="36"/>
        <v>-0.36371763501142862</v>
      </c>
      <c r="N76" s="37"/>
      <c r="O76" s="66">
        <f>K76-$D$9*$E$9/$H$9*LN(I$18/I33)</f>
        <v>0.58035540776124606</v>
      </c>
      <c r="P76" s="66">
        <f>L76-$D$9*$E$9/$H$9*LN(I$18/I57)</f>
        <v>0.41379657517711793</v>
      </c>
      <c r="Q76" s="66">
        <f>M76-$D$9*$E$9/$H$9*LN(I$42/I57)</f>
        <v>-0.37247618421503065</v>
      </c>
    </row>
    <row r="77" spans="2:17" x14ac:dyDescent="0.25">
      <c r="B77" s="117"/>
      <c r="C77" s="27"/>
      <c r="D77" s="82"/>
      <c r="H77" s="34"/>
      <c r="I77" s="35"/>
      <c r="K77" s="37">
        <f t="shared" si="34"/>
        <v>0.57234275077292018</v>
      </c>
      <c r="L77" s="37">
        <f t="shared" si="35"/>
        <v>0.41946919533177152</v>
      </c>
      <c r="M77" s="37">
        <f t="shared" si="36"/>
        <v>-0.35649638461009792</v>
      </c>
      <c r="N77" s="37"/>
      <c r="O77" s="66">
        <f>K77-$D$9*$E$9/$H$9*LN(I$18/I34)</f>
        <v>0.58035540776124572</v>
      </c>
      <c r="P77" s="66">
        <f>L77-$D$9*$E$9/$H$9*LN(I$18/I58)</f>
        <v>0.41379657517711799</v>
      </c>
      <c r="Q77" s="66">
        <f>M77-$D$9*$E$9/$H$9*LN(I$42/I58)</f>
        <v>-0.37247618421503104</v>
      </c>
    </row>
    <row r="78" spans="2:17" s="3" customFormat="1" x14ac:dyDescent="0.25">
      <c r="B78" s="28"/>
      <c r="C78" s="28"/>
      <c r="D78" s="28"/>
      <c r="E78" s="28"/>
      <c r="F78" s="28"/>
      <c r="G78" s="37"/>
      <c r="H78" s="34"/>
      <c r="I78" s="35"/>
      <c r="J78" s="28"/>
      <c r="K78" s="37">
        <f t="shared" si="34"/>
        <v>0.64598016283069093</v>
      </c>
      <c r="L78" s="37"/>
      <c r="M78" s="37"/>
      <c r="N78" s="37"/>
      <c r="O78" s="66">
        <f>K78-$D$9*$E$9/$H$9*LN(I$18/I35)</f>
        <v>0.58035540776124539</v>
      </c>
      <c r="P78" s="66"/>
      <c r="Q78" s="66"/>
    </row>
    <row r="79" spans="2:17" s="3" customFormat="1" x14ac:dyDescent="0.25">
      <c r="B79" s="28"/>
      <c r="C79" s="28"/>
      <c r="D79" s="28"/>
      <c r="E79" s="28"/>
      <c r="F79" s="28"/>
      <c r="G79" s="37"/>
      <c r="H79" s="34"/>
      <c r="I79" s="35"/>
      <c r="J79" s="28"/>
      <c r="K79" s="37">
        <f t="shared" ref="K79:K89" si="38">-($F$19-F25)/$H$9-$I$9</f>
        <v>0.68029861288713178</v>
      </c>
      <c r="L79" s="37">
        <f t="shared" ref="L79:L88" si="39">-($F$19-F49-$G$9)/$H$9-$I$9</f>
        <v>0.53112243321675212</v>
      </c>
      <c r="M79" s="37">
        <f t="shared" ref="M79:M88" si="40">-($F$43-F49)/$H$9-$I$9</f>
        <v>-0.24182265943839631</v>
      </c>
      <c r="N79" s="37"/>
      <c r="O79" s="66">
        <f>K79-$D$9*$E$9/$H$9*LN(I$19/I25)</f>
        <v>0.58035540776124617</v>
      </c>
      <c r="P79" s="66">
        <f>L79-$D$9*$E$9/$H$9*LN(I$19/I49)</f>
        <v>0.41379657517711732</v>
      </c>
      <c r="Q79" s="66">
        <f>M79-$D$9*$E$9/$H$9*LN(I$43/I49)</f>
        <v>-0.3724761842150312</v>
      </c>
    </row>
    <row r="80" spans="2:17" x14ac:dyDescent="0.25">
      <c r="G80" s="37"/>
      <c r="H80" s="34"/>
      <c r="I80" s="35"/>
      <c r="K80" s="37">
        <f t="shared" si="38"/>
        <v>0.76293133543030667</v>
      </c>
      <c r="L80" s="37">
        <f t="shared" si="39"/>
        <v>0.55564000066979879</v>
      </c>
      <c r="M80" s="37">
        <f t="shared" si="40"/>
        <v>-0.21730509198534964</v>
      </c>
      <c r="N80" s="37"/>
      <c r="O80" s="66">
        <f>K80-$D$9*$E$9/$H$9*LN(I$19/I26)</f>
        <v>0.58035540776124583</v>
      </c>
      <c r="P80" s="66">
        <f>L80-$D$9*$E$9/$H$9*LN(I$19/I50)</f>
        <v>0.41379657517711793</v>
      </c>
      <c r="Q80" s="66">
        <f>M80-$D$9*$E$9/$H$9*LN(I$43/I50)</f>
        <v>-0.37247618421503059</v>
      </c>
    </row>
    <row r="81" spans="2:17" x14ac:dyDescent="0.25">
      <c r="G81" s="37"/>
      <c r="H81" s="34"/>
      <c r="I81" s="35"/>
      <c r="K81" s="37">
        <f t="shared" si="38"/>
        <v>0.60198252043566836</v>
      </c>
      <c r="L81" s="37">
        <f t="shared" si="39"/>
        <v>0.41393364895471141</v>
      </c>
      <c r="M81" s="37">
        <f t="shared" si="40"/>
        <v>-0.35901144370043703</v>
      </c>
      <c r="N81" s="37"/>
      <c r="O81" s="66">
        <f>K81-$D$9*$E$9/$H$9*LN(I$19/I27)</f>
        <v>0.58035540776124583</v>
      </c>
      <c r="P81" s="66">
        <f>L81-$D$9*$E$9/$H$9*LN(I$19/I51)</f>
        <v>0.41379657517711776</v>
      </c>
      <c r="Q81" s="66">
        <f>M81-$D$9*$E$9/$H$9*LN(I$43/I51)</f>
        <v>-0.37247618421503076</v>
      </c>
    </row>
    <row r="82" spans="2:17" x14ac:dyDescent="0.25">
      <c r="G82" s="37"/>
      <c r="H82" s="34"/>
      <c r="I82" s="35"/>
      <c r="K82" s="37">
        <f t="shared" si="38"/>
        <v>0.56606492644947881</v>
      </c>
      <c r="L82" s="37">
        <f t="shared" si="39"/>
        <v>0.4587999943803176</v>
      </c>
      <c r="M82" s="37">
        <f t="shared" si="40"/>
        <v>-0.31414509827483084</v>
      </c>
      <c r="N82" s="37"/>
      <c r="O82" s="66">
        <f>K82-$D$9*$E$9/$H$9*LN(I$19/I28)</f>
        <v>0.58035540776124539</v>
      </c>
      <c r="P82" s="66">
        <f>L82-$D$9*$E$9/$H$9*LN(I$19/I52)</f>
        <v>0.41379657517711754</v>
      </c>
      <c r="Q82" s="66">
        <f>M82-$D$9*$E$9/$H$9*LN(I$43/I52)</f>
        <v>-0.37247618421503098</v>
      </c>
    </row>
    <row r="83" spans="2:17" x14ac:dyDescent="0.25">
      <c r="B83" s="32"/>
      <c r="D83" s="38"/>
      <c r="G83" s="37"/>
      <c r="H83" s="34"/>
      <c r="I83" s="35"/>
      <c r="K83" s="37">
        <f t="shared" si="38"/>
        <v>0.5934777534219613</v>
      </c>
      <c r="L83" s="37">
        <f t="shared" si="39"/>
        <v>0.42623647465101744</v>
      </c>
      <c r="M83" s="37">
        <f t="shared" si="40"/>
        <v>-0.34670861800413055</v>
      </c>
      <c r="N83" s="37"/>
      <c r="O83" s="66">
        <f>K83-$D$9*$E$9/$H$9*LN(I$19/I29)</f>
        <v>0.58035540776124617</v>
      </c>
      <c r="P83" s="66">
        <f>L83-$D$9*$E$9/$H$9*LN(I$19/I53)</f>
        <v>0.41379657517711727</v>
      </c>
      <c r="Q83" s="66">
        <f>M83-$D$9*$E$9/$H$9*LN(I$43/I53)</f>
        <v>-0.37247618421503081</v>
      </c>
    </row>
    <row r="84" spans="2:17" x14ac:dyDescent="0.25">
      <c r="B84" s="32"/>
      <c r="D84" s="38"/>
      <c r="G84" s="37"/>
      <c r="H84" s="34"/>
      <c r="I84" s="35"/>
      <c r="K84" s="37">
        <f t="shared" si="38"/>
        <v>0.62666436430516814</v>
      </c>
      <c r="L84" s="37">
        <f t="shared" si="39"/>
        <v>0.43096016302277462</v>
      </c>
      <c r="M84" s="37">
        <f t="shared" si="40"/>
        <v>-0.34198492963237381</v>
      </c>
      <c r="N84" s="37"/>
      <c r="O84" s="66">
        <f>K84-$D$9*$E$9/$H$9*LN(I$19/I30)</f>
        <v>0.58035540776124606</v>
      </c>
      <c r="P84" s="66">
        <f>L84-$D$9*$E$9/$H$9*LN(I$19/I54)</f>
        <v>0.41379657517711765</v>
      </c>
      <c r="Q84" s="66">
        <f>M84-$D$9*$E$9/$H$9*LN(I$43/I54)</f>
        <v>-0.37247618421503087</v>
      </c>
    </row>
    <row r="85" spans="2:17" x14ac:dyDescent="0.25">
      <c r="B85" s="32"/>
      <c r="G85" s="37"/>
      <c r="H85" s="34"/>
      <c r="I85" s="35"/>
      <c r="K85" s="37">
        <f t="shared" si="38"/>
        <v>0.64637802359471319</v>
      </c>
      <c r="L85" s="37">
        <f t="shared" si="39"/>
        <v>0.42686707620679165</v>
      </c>
      <c r="M85" s="37">
        <f t="shared" si="40"/>
        <v>-0.34607801644835723</v>
      </c>
      <c r="N85" s="37"/>
      <c r="O85" s="66">
        <f>K85-$D$9*$E$9/$H$9*LN(I$19/I31)</f>
        <v>0.58035540776124606</v>
      </c>
      <c r="P85" s="66">
        <f>L85-$D$9*$E$9/$H$9*LN(I$19/I55)</f>
        <v>0.41379657517711804</v>
      </c>
      <c r="Q85" s="66">
        <f>M85-$D$9*$E$9/$H$9*LN(I$43/I55)</f>
        <v>-0.37247618421503098</v>
      </c>
    </row>
    <row r="86" spans="2:17" x14ac:dyDescent="0.25">
      <c r="B86" s="62"/>
      <c r="C86" s="38"/>
      <c r="D86" s="38"/>
      <c r="E86" s="38"/>
      <c r="F86" s="38"/>
      <c r="G86" s="57"/>
      <c r="H86" s="68"/>
      <c r="I86" s="69"/>
      <c r="J86" s="38"/>
      <c r="K86" s="37">
        <f t="shared" si="38"/>
        <v>0.63404229907769594</v>
      </c>
      <c r="L86" s="37">
        <f t="shared" si="39"/>
        <v>0.42381251999522274</v>
      </c>
      <c r="M86" s="37">
        <f t="shared" si="40"/>
        <v>-0.34913257265992526</v>
      </c>
      <c r="N86" s="37"/>
      <c r="O86" s="66">
        <f>K86-$D$9*$E$9/$H$9*LN(I$19/I32)</f>
        <v>0.58035540776124628</v>
      </c>
      <c r="P86" s="66">
        <f>L86-$D$9*$E$9/$H$9*LN(I$19/I56)</f>
        <v>0.41379657517711721</v>
      </c>
      <c r="Q86" s="66">
        <f>M86-$D$9*$E$9/$H$9*LN(I$43/I56)</f>
        <v>-0.37247618421503087</v>
      </c>
    </row>
    <row r="87" spans="2:17" s="3" customFormat="1" x14ac:dyDescent="0.25">
      <c r="B87" s="62"/>
      <c r="C87" s="38"/>
      <c r="D87" s="63"/>
      <c r="E87" s="38"/>
      <c r="F87" s="38"/>
      <c r="G87" s="57"/>
      <c r="H87" s="68"/>
      <c r="I87" s="69"/>
      <c r="J87" s="38"/>
      <c r="K87" s="37">
        <f t="shared" si="38"/>
        <v>0.58144211840099125</v>
      </c>
      <c r="L87" s="37">
        <f t="shared" si="39"/>
        <v>0.40623807320485827</v>
      </c>
      <c r="M87" s="37">
        <f t="shared" si="40"/>
        <v>-0.36670701945029061</v>
      </c>
      <c r="N87" s="37"/>
      <c r="O87" s="66">
        <f>K87-$D$9*$E$9/$H$9*LN(I$19/I33)</f>
        <v>0.58035540776124606</v>
      </c>
      <c r="P87" s="66">
        <f>L87-$D$9*$E$9/$H$9*LN(I$19/I57)</f>
        <v>0.41379657517711799</v>
      </c>
      <c r="Q87" s="66">
        <f>M87-$D$9*$E$9/$H$9*LN(I$43/I57)</f>
        <v>-0.37247618421503104</v>
      </c>
    </row>
    <row r="88" spans="2:17" s="3" customFormat="1" x14ac:dyDescent="0.25">
      <c r="B88" s="62"/>
      <c r="C88" s="38"/>
      <c r="D88" s="38"/>
      <c r="E88" s="38"/>
      <c r="F88" s="38"/>
      <c r="G88" s="57"/>
      <c r="H88" s="68"/>
      <c r="I88" s="69"/>
      <c r="J88" s="38"/>
      <c r="K88" s="37">
        <f t="shared" si="38"/>
        <v>0.56633287904733809</v>
      </c>
      <c r="L88" s="37">
        <f t="shared" si="39"/>
        <v>0.41345932360618942</v>
      </c>
      <c r="M88" s="37">
        <f t="shared" si="40"/>
        <v>-0.35948576904895946</v>
      </c>
      <c r="N88" s="37"/>
      <c r="O88" s="66">
        <f>K88-$D$9*$E$9/$H$9*LN(I$19/I34)</f>
        <v>0.58035540776124583</v>
      </c>
      <c r="P88" s="66">
        <f>L88-$D$9*$E$9/$H$9*LN(I$19/I58)</f>
        <v>0.41379657517711804</v>
      </c>
      <c r="Q88" s="66">
        <f>M88-$D$9*$E$9/$H$9*LN(I$43/I58)</f>
        <v>-0.37247618421503093</v>
      </c>
    </row>
    <row r="89" spans="2:17" s="3" customFormat="1" x14ac:dyDescent="0.25">
      <c r="B89" s="62"/>
      <c r="C89" s="38"/>
      <c r="D89" s="38"/>
      <c r="E89" s="38"/>
      <c r="F89" s="38"/>
      <c r="G89" s="57"/>
      <c r="H89" s="68"/>
      <c r="I89" s="69"/>
      <c r="J89" s="38"/>
      <c r="K89" s="37">
        <f t="shared" si="38"/>
        <v>0.63997029110510883</v>
      </c>
      <c r="L89" s="37"/>
      <c r="M89" s="37"/>
      <c r="N89" s="37"/>
      <c r="O89" s="66">
        <f>K89-$D$9*$E$9/$H$9*LN(I$19/I35)</f>
        <v>0.5803554077612455</v>
      </c>
      <c r="P89" s="66"/>
      <c r="Q89" s="66"/>
    </row>
    <row r="90" spans="2:17" x14ac:dyDescent="0.25">
      <c r="B90" s="70"/>
      <c r="C90" s="38"/>
      <c r="D90" s="38"/>
      <c r="E90" s="38"/>
      <c r="F90" s="38"/>
      <c r="G90" s="57"/>
      <c r="H90" s="68"/>
      <c r="I90" s="69"/>
      <c r="J90" s="38"/>
      <c r="K90" s="37">
        <f t="shared" ref="K90:K100" si="41">-($F$20-F25)/$H$9-$I$9</f>
        <v>0.70000084330855117</v>
      </c>
      <c r="L90" s="37">
        <f t="shared" ref="L90:L99" si="42">-($F$20-F49-$G$9)/$H$9-$I$9</f>
        <v>0.5508246636381724</v>
      </c>
      <c r="M90" s="37">
        <f t="shared" ref="M90:M99" si="43">-($F$44-F49)/$H$9-$I$9</f>
        <v>-0.24046251496231008</v>
      </c>
      <c r="N90" s="37"/>
      <c r="O90" s="66">
        <f>K90-$D$9*$E$9/$H$9*LN(I$20/I25)</f>
        <v>0.58035540776124583</v>
      </c>
      <c r="P90" s="66">
        <f>L90-$D$9*$E$9/$H$9*LN(I$20/I49)</f>
        <v>0.41379657517711799</v>
      </c>
      <c r="Q90" s="66">
        <f>M90-$D$9*$E$9/$H$9*LN(I$44/I49)</f>
        <v>-0.37247618421503043</v>
      </c>
    </row>
    <row r="91" spans="2:17" x14ac:dyDescent="0.25">
      <c r="B91" s="36"/>
      <c r="C91" s="38"/>
      <c r="D91" s="38"/>
      <c r="E91" s="38"/>
      <c r="F91" s="38"/>
      <c r="G91" s="38"/>
      <c r="H91" s="38"/>
      <c r="I91" s="38"/>
      <c r="J91" s="38"/>
      <c r="K91" s="37">
        <f t="shared" si="41"/>
        <v>0.78263356585172605</v>
      </c>
      <c r="L91" s="37">
        <f t="shared" si="42"/>
        <v>0.57534223109121818</v>
      </c>
      <c r="M91" s="37">
        <f t="shared" si="43"/>
        <v>-0.2159449475092643</v>
      </c>
      <c r="N91" s="37"/>
      <c r="O91" s="66">
        <f>K91-$D$9*$E$9/$H$9*LN(I$20/I26)</f>
        <v>0.58035540776124561</v>
      </c>
      <c r="P91" s="66">
        <f>L91-$D$9*$E$9/$H$9*LN(I$20/I50)</f>
        <v>0.41379657517711765</v>
      </c>
      <c r="Q91" s="66">
        <f>M91-$D$9*$E$9/$H$9*LN(I$44/I50)</f>
        <v>-0.3724761842150307</v>
      </c>
    </row>
    <row r="92" spans="2:17" x14ac:dyDescent="0.25">
      <c r="B92" s="38"/>
      <c r="C92" s="38"/>
      <c r="D92" s="38"/>
      <c r="E92" s="38"/>
      <c r="F92" s="38"/>
      <c r="G92" s="38"/>
      <c r="H92" s="38"/>
      <c r="I92" s="38"/>
      <c r="J92" s="38"/>
      <c r="K92" s="37">
        <f t="shared" si="41"/>
        <v>0.62168475085708774</v>
      </c>
      <c r="L92" s="37">
        <f t="shared" si="42"/>
        <v>0.4336358793761308</v>
      </c>
      <c r="M92" s="37">
        <f t="shared" si="43"/>
        <v>-0.35765129922435168</v>
      </c>
      <c r="N92" s="37"/>
      <c r="O92" s="66">
        <f>K92-$D$9*$E$9/$H$9*LN(I$20/I27)</f>
        <v>0.5803554077612455</v>
      </c>
      <c r="P92" s="66">
        <f>L92-$D$9*$E$9/$H$9*LN(I$20/I51)</f>
        <v>0.41379657517711749</v>
      </c>
      <c r="Q92" s="66">
        <f>M92-$D$9*$E$9/$H$9*LN(I$44/I51)</f>
        <v>-0.37247618421503087</v>
      </c>
    </row>
    <row r="93" spans="2:17" x14ac:dyDescent="0.25">
      <c r="B93" s="38"/>
      <c r="C93" s="38"/>
      <c r="D93" s="38"/>
      <c r="E93" s="38"/>
      <c r="F93" s="38"/>
      <c r="G93" s="38"/>
      <c r="H93" s="38"/>
      <c r="I93" s="63"/>
      <c r="J93" s="38"/>
      <c r="K93" s="37">
        <f t="shared" si="41"/>
        <v>0.58576715687089909</v>
      </c>
      <c r="L93" s="37">
        <f t="shared" si="42"/>
        <v>0.47850222480173699</v>
      </c>
      <c r="M93" s="37">
        <f t="shared" si="43"/>
        <v>-0.31278495379874549</v>
      </c>
      <c r="N93" s="37"/>
      <c r="O93" s="66">
        <f>K93-$D$9*$E$9/$H$9*LN(I$20/I28)</f>
        <v>0.58035540776124606</v>
      </c>
      <c r="P93" s="66">
        <f>L93-$D$9*$E$9/$H$9*LN(I$20/I52)</f>
        <v>0.41379657517711727</v>
      </c>
      <c r="Q93" s="66">
        <f>M93-$D$9*$E$9/$H$9*LN(I$44/I52)</f>
        <v>-0.37247618421503109</v>
      </c>
    </row>
    <row r="94" spans="2:17" s="3" customFormat="1" x14ac:dyDescent="0.25">
      <c r="B94" s="38"/>
      <c r="C94" s="38"/>
      <c r="D94" s="38"/>
      <c r="E94" s="38"/>
      <c r="F94" s="38"/>
      <c r="G94" s="38"/>
      <c r="H94" s="38"/>
      <c r="I94" s="63"/>
      <c r="J94" s="38"/>
      <c r="K94" s="37">
        <f t="shared" si="41"/>
        <v>0.61317998384338068</v>
      </c>
      <c r="L94" s="37">
        <f t="shared" si="42"/>
        <v>0.44593870507243771</v>
      </c>
      <c r="M94" s="37">
        <f t="shared" si="43"/>
        <v>-0.34534847352804521</v>
      </c>
      <c r="N94" s="37"/>
      <c r="O94" s="66">
        <f>K94-$D$9*$E$9/$H$9*LN(I$20/I29)</f>
        <v>0.58035540776124583</v>
      </c>
      <c r="P94" s="66">
        <f>L94-$D$9*$E$9/$H$9*LN(I$20/I53)</f>
        <v>0.41379657517711788</v>
      </c>
      <c r="Q94" s="66">
        <f>M94-$D$9*$E$9/$H$9*LN(I$44/I53)</f>
        <v>-0.37247618421503093</v>
      </c>
    </row>
    <row r="95" spans="2:17" x14ac:dyDescent="0.25">
      <c r="B95" s="38"/>
      <c r="C95" s="38"/>
      <c r="D95" s="38"/>
      <c r="E95" s="38"/>
      <c r="F95" s="38"/>
      <c r="G95" s="38"/>
      <c r="H95" s="38"/>
      <c r="I95" s="63"/>
      <c r="J95" s="38"/>
      <c r="K95" s="37">
        <f t="shared" si="41"/>
        <v>0.64636659472658753</v>
      </c>
      <c r="L95" s="37">
        <f t="shared" si="42"/>
        <v>0.45066239344419401</v>
      </c>
      <c r="M95" s="37">
        <f t="shared" si="43"/>
        <v>-0.34062478515628847</v>
      </c>
      <c r="N95" s="37"/>
      <c r="O95" s="66">
        <f>K95-$D$9*$E$9/$H$9*LN(I$20/I30)</f>
        <v>0.58035540776124583</v>
      </c>
      <c r="P95" s="66">
        <f>L95-$D$9*$E$9/$H$9*LN(I$20/I54)</f>
        <v>0.41379657517711738</v>
      </c>
      <c r="Q95" s="66">
        <f>M95-$D$9*$E$9/$H$9*LN(I$44/I54)</f>
        <v>-0.37247618421503098</v>
      </c>
    </row>
    <row r="96" spans="2:17" s="3" customFormat="1" x14ac:dyDescent="0.25">
      <c r="B96" s="38"/>
      <c r="C96" s="38"/>
      <c r="D96" s="38"/>
      <c r="E96" s="38"/>
      <c r="F96" s="38"/>
      <c r="G96" s="38"/>
      <c r="H96" s="38"/>
      <c r="I96" s="63"/>
      <c r="J96" s="38"/>
      <c r="K96" s="37">
        <f t="shared" si="41"/>
        <v>0.66608025401613258</v>
      </c>
      <c r="L96" s="37">
        <f t="shared" si="42"/>
        <v>0.44656930662821104</v>
      </c>
      <c r="M96" s="37">
        <f t="shared" si="43"/>
        <v>-0.34471787197227188</v>
      </c>
      <c r="N96" s="37"/>
      <c r="O96" s="66">
        <f>K96-$D$9*$E$9/$H$9*LN(I$20/I31)</f>
        <v>0.58035540776124583</v>
      </c>
      <c r="P96" s="66">
        <f>L96-$D$9*$E$9/$H$9*LN(I$20/I55)</f>
        <v>0.41379657517711776</v>
      </c>
      <c r="Q96" s="66">
        <f>M96-$D$9*$E$9/$H$9*LN(I$44/I55)</f>
        <v>-0.37247618421503104</v>
      </c>
    </row>
    <row r="97" spans="2:17" x14ac:dyDescent="0.25">
      <c r="B97" s="56"/>
      <c r="C97" s="38"/>
      <c r="D97" s="38"/>
      <c r="E97" s="38"/>
      <c r="F97" s="38"/>
      <c r="G97" s="38"/>
      <c r="H97" s="38"/>
      <c r="I97" s="63"/>
      <c r="J97" s="38"/>
      <c r="K97" s="37">
        <f t="shared" si="41"/>
        <v>0.65374452949911532</v>
      </c>
      <c r="L97" s="37">
        <f t="shared" si="42"/>
        <v>0.44351475041664301</v>
      </c>
      <c r="M97" s="37">
        <f t="shared" si="43"/>
        <v>-0.34777242818383991</v>
      </c>
      <c r="N97" s="37"/>
      <c r="O97" s="66">
        <f>K97-$D$9*$E$9/$H$9*LN(I$20/I32)</f>
        <v>0.58035540776124594</v>
      </c>
      <c r="P97" s="66">
        <f>L97-$D$9*$E$9/$H$9*LN(I$20/I56)</f>
        <v>0.41379657517711782</v>
      </c>
      <c r="Q97" s="66">
        <f>M97-$D$9*$E$9/$H$9*LN(I$44/I56)</f>
        <v>-0.37247618421503098</v>
      </c>
    </row>
    <row r="98" spans="2:17" x14ac:dyDescent="0.25">
      <c r="B98" s="56"/>
      <c r="C98" s="38"/>
      <c r="D98" s="38"/>
      <c r="E98" s="38"/>
      <c r="F98" s="38"/>
      <c r="G98" s="38"/>
      <c r="H98" s="38"/>
      <c r="I98" s="63"/>
      <c r="J98" s="38"/>
      <c r="K98" s="37">
        <f t="shared" si="41"/>
        <v>0.60114434882241063</v>
      </c>
      <c r="L98" s="37">
        <f t="shared" si="42"/>
        <v>0.42594030362627766</v>
      </c>
      <c r="M98" s="37">
        <f t="shared" si="43"/>
        <v>-0.36534687497420482</v>
      </c>
      <c r="O98" s="66">
        <f>K98-$D$9*$E$9/$H$9*LN(I$20/I33)</f>
        <v>0.58035540776124583</v>
      </c>
      <c r="P98" s="66">
        <f>L98-$D$9*$E$9/$H$9*LN(I$20/I57)</f>
        <v>0.41379657517711771</v>
      </c>
      <c r="Q98" s="66">
        <f>M98-$D$9*$E$9/$H$9*LN(I$44/I57)</f>
        <v>-0.37247618421503065</v>
      </c>
    </row>
    <row r="99" spans="2:17" s="3" customFormat="1" x14ac:dyDescent="0.25">
      <c r="B99" s="56"/>
      <c r="C99" s="63"/>
      <c r="D99" s="38"/>
      <c r="E99" s="38"/>
      <c r="F99" s="38"/>
      <c r="G99" s="38"/>
      <c r="H99" s="38"/>
      <c r="I99" s="63"/>
      <c r="J99" s="38"/>
      <c r="K99" s="37">
        <f t="shared" si="41"/>
        <v>0.58603510946875748</v>
      </c>
      <c r="L99" s="37">
        <f t="shared" si="42"/>
        <v>0.43316155402760881</v>
      </c>
      <c r="M99" s="37">
        <f t="shared" si="43"/>
        <v>-0.35812562457287411</v>
      </c>
      <c r="N99" s="28"/>
      <c r="O99" s="66">
        <f>K99-$D$9*$E$9/$H$9*LN(I$20/I34)</f>
        <v>0.5803554077612455</v>
      </c>
      <c r="P99" s="66">
        <f>L99-$D$9*$E$9/$H$9*LN(I$20/I58)</f>
        <v>0.41379657517711776</v>
      </c>
      <c r="Q99" s="66">
        <f>M99-$D$9*$E$9/$H$9*LN(I$44/I58)</f>
        <v>-0.37247618421503104</v>
      </c>
    </row>
    <row r="100" spans="2:17" s="3" customFormat="1" x14ac:dyDescent="0.25">
      <c r="B100" s="56"/>
      <c r="C100" s="38"/>
      <c r="D100" s="38"/>
      <c r="E100" s="38"/>
      <c r="F100" s="38"/>
      <c r="G100" s="38"/>
      <c r="H100" s="38"/>
      <c r="I100" s="63"/>
      <c r="J100" s="38"/>
      <c r="K100" s="37">
        <f t="shared" si="41"/>
        <v>0.65967252152652911</v>
      </c>
      <c r="L100" s="37"/>
      <c r="M100" s="28"/>
      <c r="N100" s="28"/>
      <c r="O100" s="66">
        <f>K100-$D$9*$E$9/$H$9*LN(I$20/I35)</f>
        <v>0.58035540776124606</v>
      </c>
      <c r="P100" s="28"/>
      <c r="Q100" s="28"/>
    </row>
    <row r="101" spans="2:17" x14ac:dyDescent="0.25">
      <c r="B101" s="56"/>
      <c r="C101" s="63"/>
      <c r="D101" s="38"/>
      <c r="E101" s="38"/>
      <c r="F101" s="38"/>
      <c r="G101" s="38"/>
      <c r="H101" s="38"/>
      <c r="I101" s="38"/>
      <c r="J101" s="38"/>
      <c r="K101" s="37">
        <f t="shared" ref="K101:K111" si="44">-($F$21-F25)/$H$9-$I$9</f>
        <v>0.61751484570055126</v>
      </c>
      <c r="L101" s="37">
        <f t="shared" ref="L101:L110" si="45">-($F$21-F49-$G$9)/$H$9-$I$9</f>
        <v>0.46833866603017249</v>
      </c>
      <c r="M101" s="37">
        <f t="shared" ref="M101:M110" si="46">-($F$45-F49)/$H$9-$I$9</f>
        <v>-0.32317997441689927</v>
      </c>
      <c r="O101" s="66">
        <f>K101-$D$9*$E$9/$H$9*LN(I$21/I25)</f>
        <v>0.58035540776124594</v>
      </c>
      <c r="P101" s="66">
        <f>L101-$D$9*$E$9/$H$9*LN(I$21/I49)</f>
        <v>0.41379657517711799</v>
      </c>
      <c r="Q101" s="66">
        <f>M101-$D$9*$E$9/$H$9*LN(I$45/I49)</f>
        <v>-0.37247618421503081</v>
      </c>
    </row>
    <row r="102" spans="2:17" s="3" customFormat="1" x14ac:dyDescent="0.25">
      <c r="B102" s="56"/>
      <c r="C102" s="63"/>
      <c r="D102" s="38"/>
      <c r="E102" s="38"/>
      <c r="F102" s="38"/>
      <c r="G102" s="38"/>
      <c r="H102" s="38"/>
      <c r="I102" s="38"/>
      <c r="J102" s="38"/>
      <c r="K102" s="37">
        <f t="shared" si="44"/>
        <v>0.70014756824372615</v>
      </c>
      <c r="L102" s="37">
        <f t="shared" si="45"/>
        <v>0.49285623348321828</v>
      </c>
      <c r="M102" s="37">
        <f t="shared" si="46"/>
        <v>-0.29866240696385304</v>
      </c>
      <c r="N102" s="28"/>
      <c r="O102" s="66">
        <f>K102-$D$9*$E$9/$H$9*LN(I$21/I26)</f>
        <v>0.58035540776124561</v>
      </c>
      <c r="P102" s="66">
        <f>L102-$D$9*$E$9/$H$9*LN(I$21/I50)</f>
        <v>0.41379657517711771</v>
      </c>
      <c r="Q102" s="66">
        <f>M102-$D$9*$E$9/$H$9*LN(I$45/I50)</f>
        <v>-0.3724761842150307</v>
      </c>
    </row>
    <row r="103" spans="2:17" s="3" customFormat="1" x14ac:dyDescent="0.25">
      <c r="B103" s="56"/>
      <c r="C103" s="38"/>
      <c r="D103" s="38"/>
      <c r="E103" s="38"/>
      <c r="F103" s="38"/>
      <c r="G103" s="57"/>
      <c r="H103" s="38"/>
      <c r="I103" s="38"/>
      <c r="J103" s="38"/>
      <c r="K103" s="37">
        <f t="shared" si="44"/>
        <v>0.53919875324908784</v>
      </c>
      <c r="L103" s="37">
        <f t="shared" si="45"/>
        <v>0.35114988176813089</v>
      </c>
      <c r="M103" s="37">
        <f t="shared" si="46"/>
        <v>-0.44036875867894043</v>
      </c>
      <c r="N103" s="28"/>
      <c r="O103" s="66">
        <f>K103-$D$9*$E$9/$H$9*LN(I$21/I27)</f>
        <v>0.58035540776124561</v>
      </c>
      <c r="P103" s="66">
        <f>L103-$D$9*$E$9/$H$9*LN(I$21/I51)</f>
        <v>0.41379657517711754</v>
      </c>
      <c r="Q103" s="66">
        <f>M103-$D$9*$E$9/$H$9*LN(I$45/I51)</f>
        <v>-0.37247618421503081</v>
      </c>
    </row>
    <row r="104" spans="2:17" x14ac:dyDescent="0.25">
      <c r="B104" s="56"/>
      <c r="C104" s="38"/>
      <c r="D104" s="38"/>
      <c r="E104" s="38"/>
      <c r="F104" s="38"/>
      <c r="G104" s="38"/>
      <c r="H104" s="38"/>
      <c r="I104" s="63"/>
      <c r="J104" s="38"/>
      <c r="K104" s="37">
        <f t="shared" si="44"/>
        <v>0.50328115926289918</v>
      </c>
      <c r="L104" s="37">
        <f t="shared" si="45"/>
        <v>0.39601622719373708</v>
      </c>
      <c r="M104" s="37">
        <f t="shared" si="46"/>
        <v>-0.39550241325333424</v>
      </c>
      <c r="O104" s="66">
        <f>K104-$D$9*$E$9/$H$9*LN(I$21/I28)</f>
        <v>0.58035540776124606</v>
      </c>
      <c r="P104" s="66">
        <f>L104-$D$9*$E$9/$H$9*LN(I$21/I52)</f>
        <v>0.41379657517711732</v>
      </c>
      <c r="Q104" s="66">
        <f>M104-$D$9*$E$9/$H$9*LN(I$45/I52)</f>
        <v>-0.37247618421503104</v>
      </c>
    </row>
    <row r="105" spans="2:17" x14ac:dyDescent="0.25">
      <c r="B105" s="56"/>
      <c r="C105" s="38"/>
      <c r="D105" s="38"/>
      <c r="E105" s="38"/>
      <c r="F105" s="38"/>
      <c r="G105" s="38"/>
      <c r="H105" s="38"/>
      <c r="I105" s="63"/>
      <c r="J105" s="38"/>
      <c r="K105" s="37">
        <f t="shared" si="44"/>
        <v>0.53069398623538078</v>
      </c>
      <c r="L105" s="37">
        <f t="shared" si="45"/>
        <v>0.36345270746443781</v>
      </c>
      <c r="M105" s="37">
        <f t="shared" si="46"/>
        <v>-0.42806593298263396</v>
      </c>
      <c r="O105" s="66">
        <f>K105-$D$9*$E$9/$H$9*LN(I$21/I29)</f>
        <v>0.58035540776124594</v>
      </c>
      <c r="P105" s="66">
        <f>L105-$D$9*$E$9/$H$9*LN(I$21/I53)</f>
        <v>0.41379657517711799</v>
      </c>
      <c r="Q105" s="66">
        <f>M105-$D$9*$E$9/$H$9*LN(I$45/I53)</f>
        <v>-0.37247618421503093</v>
      </c>
    </row>
    <row r="106" spans="2:17" s="3" customFormat="1" x14ac:dyDescent="0.25">
      <c r="B106" s="56"/>
      <c r="C106" s="38"/>
      <c r="D106" s="38"/>
      <c r="E106" s="38"/>
      <c r="F106" s="38"/>
      <c r="G106" s="38"/>
      <c r="H106" s="38"/>
      <c r="I106" s="63"/>
      <c r="J106" s="38"/>
      <c r="K106" s="37">
        <f t="shared" si="44"/>
        <v>0.56388059711858762</v>
      </c>
      <c r="L106" s="37">
        <f t="shared" si="45"/>
        <v>0.3681763958361941</v>
      </c>
      <c r="M106" s="37">
        <f t="shared" si="46"/>
        <v>-0.42334224461087722</v>
      </c>
      <c r="N106" s="28"/>
      <c r="O106" s="66">
        <f>K106-$D$9*$E$9/$H$9*LN(I$21/I30)</f>
        <v>0.58035540776124583</v>
      </c>
      <c r="P106" s="66">
        <f>L106-$D$9*$E$9/$H$9*LN(I$21/I54)</f>
        <v>0.41379657517711743</v>
      </c>
      <c r="Q106" s="66">
        <f>M106-$D$9*$E$9/$H$9*LN(I$45/I54)</f>
        <v>-0.37247618421503093</v>
      </c>
    </row>
    <row r="107" spans="2:17" x14ac:dyDescent="0.25">
      <c r="B107" s="56"/>
      <c r="C107" s="38"/>
      <c r="D107" s="38"/>
      <c r="E107" s="38"/>
      <c r="F107" s="38"/>
      <c r="G107" s="38"/>
      <c r="H107" s="38"/>
      <c r="I107" s="63"/>
      <c r="J107" s="38"/>
      <c r="K107" s="37">
        <f t="shared" si="44"/>
        <v>0.58359425640813267</v>
      </c>
      <c r="L107" s="37">
        <f t="shared" si="45"/>
        <v>0.36408330902021113</v>
      </c>
      <c r="M107" s="37">
        <f t="shared" si="46"/>
        <v>-0.42743533142686063</v>
      </c>
      <c r="O107" s="66">
        <f>K107-$D$9*$E$9/$H$9*LN(I$21/I31)</f>
        <v>0.58035540776124583</v>
      </c>
      <c r="P107" s="66">
        <f>L107-$D$9*$E$9/$H$9*LN(I$21/I55)</f>
        <v>0.41379657517711782</v>
      </c>
      <c r="Q107" s="66">
        <f>M107-$D$9*$E$9/$H$9*LN(I$45/I55)</f>
        <v>-0.37247618421503104</v>
      </c>
    </row>
    <row r="108" spans="2:17" x14ac:dyDescent="0.25">
      <c r="B108" s="38"/>
      <c r="C108" s="38"/>
      <c r="D108" s="38"/>
      <c r="E108" s="63"/>
      <c r="F108" s="38"/>
      <c r="G108" s="38"/>
      <c r="H108" s="38"/>
      <c r="I108" s="63"/>
      <c r="J108" s="38"/>
      <c r="K108" s="37">
        <f t="shared" si="44"/>
        <v>0.57125853189111542</v>
      </c>
      <c r="L108" s="37">
        <f t="shared" si="45"/>
        <v>0.36102875280864311</v>
      </c>
      <c r="M108" s="37">
        <f t="shared" si="46"/>
        <v>-0.43048988763842866</v>
      </c>
      <c r="O108" s="66">
        <f>K108-$D$9*$E$9/$H$9*LN(I$21/I32)</f>
        <v>0.58035540776124606</v>
      </c>
      <c r="P108" s="66">
        <f>L108-$D$9*$E$9/$H$9*LN(I$21/I56)</f>
        <v>0.41379657517711788</v>
      </c>
      <c r="Q108" s="66">
        <f>M108-$D$9*$E$9/$H$9*LN(I$45/I56)</f>
        <v>-0.37247618421503098</v>
      </c>
    </row>
    <row r="109" spans="2:17" s="3" customFormat="1" x14ac:dyDescent="0.25">
      <c r="B109" s="38"/>
      <c r="C109" s="38"/>
      <c r="D109" s="38"/>
      <c r="E109" s="38"/>
      <c r="F109" s="38"/>
      <c r="G109" s="38"/>
      <c r="H109" s="38"/>
      <c r="I109" s="63"/>
      <c r="J109" s="38"/>
      <c r="K109" s="37">
        <f t="shared" si="44"/>
        <v>0.51865835121441073</v>
      </c>
      <c r="L109" s="37">
        <f t="shared" si="45"/>
        <v>0.34345430601827776</v>
      </c>
      <c r="M109" s="37">
        <f t="shared" si="46"/>
        <v>-0.44806433442879356</v>
      </c>
      <c r="N109" s="28"/>
      <c r="O109" s="66">
        <f>K109-$D$9*$E$9/$H$9*LN(I$21/I33)</f>
        <v>0.58035540776124583</v>
      </c>
      <c r="P109" s="66">
        <f>L109-$D$9*$E$9/$H$9*LN(I$21/I57)</f>
        <v>0.41379657517711776</v>
      </c>
      <c r="Q109" s="66">
        <f>M109-$D$9*$E$9/$H$9*LN(I$45/I57)</f>
        <v>-0.37247618421503065</v>
      </c>
    </row>
    <row r="110" spans="2:17" s="3" customFormat="1" x14ac:dyDescent="0.25">
      <c r="B110" s="56"/>
      <c r="C110" s="56"/>
      <c r="D110" s="56"/>
      <c r="E110" s="56"/>
      <c r="F110" s="56"/>
      <c r="G110" s="56"/>
      <c r="H110" s="56"/>
      <c r="I110" s="56"/>
      <c r="J110" s="56"/>
      <c r="K110" s="37">
        <f t="shared" si="44"/>
        <v>0.50354911186075757</v>
      </c>
      <c r="L110" s="37">
        <f t="shared" si="45"/>
        <v>0.3506755564196089</v>
      </c>
      <c r="M110" s="37">
        <f t="shared" si="46"/>
        <v>-0.44084308402746286</v>
      </c>
      <c r="N110" s="28"/>
      <c r="O110" s="66">
        <f>K110-$D$9*$E$9/$H$9*LN(I$21/I34)</f>
        <v>0.58035540776124561</v>
      </c>
      <c r="P110" s="66">
        <f>L110-$D$9*$E$9/$H$9*LN(I$21/I58)</f>
        <v>0.41379657517711782</v>
      </c>
      <c r="Q110" s="66">
        <f>M110-$D$9*$E$9/$H$9*LN(I$45/I58)</f>
        <v>-0.37247618421503104</v>
      </c>
    </row>
    <row r="111" spans="2:17" x14ac:dyDescent="0.25">
      <c r="B111" s="56"/>
      <c r="C111" s="56"/>
      <c r="D111" s="56"/>
      <c r="E111" s="56"/>
      <c r="F111" s="38"/>
      <c r="G111" s="56"/>
      <c r="H111" s="56"/>
      <c r="I111" s="71"/>
      <c r="J111" s="56"/>
      <c r="K111" s="37">
        <f t="shared" si="44"/>
        <v>0.5771865239185292</v>
      </c>
      <c r="O111" s="66">
        <f>K111-$D$9*$E$9/$H$9*LN(I$21/I35)</f>
        <v>0.58035540776124617</v>
      </c>
    </row>
    <row r="112" spans="2:17" x14ac:dyDescent="0.25">
      <c r="B112" s="38"/>
      <c r="C112" s="38"/>
      <c r="D112" s="38"/>
      <c r="E112" s="38"/>
      <c r="F112" s="38"/>
      <c r="G112" s="38"/>
      <c r="H112" s="38"/>
      <c r="I112" s="63"/>
      <c r="J112" s="38"/>
      <c r="K112" s="37">
        <f t="shared" ref="K112:K122" si="47">-($F$22-F25)/$H$9-$I$9</f>
        <v>0.64070222864663506</v>
      </c>
      <c r="L112" s="37">
        <f t="shared" ref="L112:L121" si="48">-($F$22-F49-$G$9)/$H$9-$I$9</f>
        <v>0.49152604897625629</v>
      </c>
      <c r="M112" s="37">
        <f t="shared" ref="M112:M121" si="49">-($F$46-F49)/$H$9-$I$9</f>
        <v>-0.32366221834133002</v>
      </c>
      <c r="O112" s="66">
        <f>K112-$D$9*$E$9/$H$9*LN(I$22/I25)</f>
        <v>0.5803554077612455</v>
      </c>
      <c r="P112" s="66">
        <f>L112-$D$9*$E$9/$H$9*LN(I$22/I49)</f>
        <v>0.41379657517711765</v>
      </c>
      <c r="Q112" s="66">
        <f>M112-$D$9*$E$9/$H$9*LN(I$45/I49)</f>
        <v>-0.37295842813946156</v>
      </c>
    </row>
    <row r="113" spans="2:17" x14ac:dyDescent="0.25">
      <c r="B113" s="38"/>
      <c r="C113" s="38"/>
      <c r="D113" s="38"/>
      <c r="E113" s="38"/>
      <c r="F113" s="38"/>
      <c r="G113" s="38"/>
      <c r="H113" s="38"/>
      <c r="I113" s="38"/>
      <c r="J113" s="38"/>
      <c r="K113" s="37">
        <f t="shared" si="47"/>
        <v>0.72333495118981084</v>
      </c>
      <c r="L113" s="37">
        <f t="shared" si="48"/>
        <v>0.51604361642930208</v>
      </c>
      <c r="M113" s="37">
        <f t="shared" si="49"/>
        <v>-0.29914465088828379</v>
      </c>
      <c r="O113" s="66">
        <f>K113-$D$9*$E$9/$H$9*LN(I$22/I26)</f>
        <v>0.58035540776124606</v>
      </c>
      <c r="P113" s="66">
        <f>L113-$D$9*$E$9/$H$9*LN(I$22/I50)</f>
        <v>0.41379657517711732</v>
      </c>
      <c r="Q113" s="66">
        <f>M113-$D$9*$E$9/$H$9*LN(I$45/I50)</f>
        <v>-0.37295842813946145</v>
      </c>
    </row>
    <row r="114" spans="2:17" s="3" customFormat="1" x14ac:dyDescent="0.25">
      <c r="B114" s="38"/>
      <c r="C114" s="38"/>
      <c r="D114" s="38"/>
      <c r="E114" s="57"/>
      <c r="F114" s="38"/>
      <c r="G114" s="38"/>
      <c r="H114" s="38"/>
      <c r="I114" s="38"/>
      <c r="J114" s="38"/>
      <c r="K114" s="37">
        <f t="shared" si="47"/>
        <v>0.56238613619517253</v>
      </c>
      <c r="L114" s="37">
        <f t="shared" si="48"/>
        <v>0.37433726471421558</v>
      </c>
      <c r="M114" s="37">
        <f t="shared" si="49"/>
        <v>-0.44085100260337118</v>
      </c>
      <c r="N114" s="28"/>
      <c r="O114" s="66">
        <f>K114-$D$9*$E$9/$H$9*LN(I$22/I27)</f>
        <v>0.58035540776124606</v>
      </c>
      <c r="P114" s="66">
        <f>L114-$D$9*$E$9/$H$9*LN(I$22/I51)</f>
        <v>0.41379657517711804</v>
      </c>
      <c r="Q114" s="66">
        <f>M114-$D$9*$E$9/$H$9*LN(I$45/I51)</f>
        <v>-0.37295842813946156</v>
      </c>
    </row>
    <row r="115" spans="2:17" x14ac:dyDescent="0.25">
      <c r="B115" s="38"/>
      <c r="C115" s="38"/>
      <c r="D115" s="38"/>
      <c r="E115" s="57"/>
      <c r="F115" s="38"/>
      <c r="G115" s="38"/>
      <c r="H115" s="38"/>
      <c r="I115" s="38"/>
      <c r="J115" s="38"/>
      <c r="K115" s="37">
        <f t="shared" si="47"/>
        <v>0.52646854220898298</v>
      </c>
      <c r="L115" s="37">
        <f t="shared" si="48"/>
        <v>0.41920361013982177</v>
      </c>
      <c r="M115" s="37">
        <f t="shared" si="49"/>
        <v>-0.39598465717776454</v>
      </c>
      <c r="O115" s="66">
        <f>K115-$D$9*$E$9/$H$9*LN(I$22/I28)</f>
        <v>0.58035540776124572</v>
      </c>
      <c r="P115" s="66">
        <f>L115-$D$9*$E$9/$H$9*LN(I$22/I52)</f>
        <v>0.41379657517711782</v>
      </c>
      <c r="Q115" s="66">
        <f>M115-$D$9*$E$9/$H$9*LN(I$45/I52)</f>
        <v>-0.37295842813946134</v>
      </c>
    </row>
    <row r="116" spans="2:17" s="3" customFormat="1" x14ac:dyDescent="0.25">
      <c r="B116" s="38"/>
      <c r="C116" s="38"/>
      <c r="D116" s="38"/>
      <c r="E116" s="57"/>
      <c r="F116" s="38"/>
      <c r="G116" s="38"/>
      <c r="H116" s="38"/>
      <c r="I116" s="38"/>
      <c r="J116" s="38"/>
      <c r="K116" s="37">
        <f t="shared" si="47"/>
        <v>0.55388136918146458</v>
      </c>
      <c r="L116" s="37">
        <f t="shared" si="48"/>
        <v>0.38664009041052161</v>
      </c>
      <c r="M116" s="37">
        <f t="shared" si="49"/>
        <v>-0.4285481769070647</v>
      </c>
      <c r="N116" s="28"/>
      <c r="O116" s="66">
        <f>K116-$D$9*$E$9/$H$9*LN(I$22/I29)</f>
        <v>0.5803554077612455</v>
      </c>
      <c r="P116" s="66">
        <f>L116-$D$9*$E$9/$H$9*LN(I$22/I53)</f>
        <v>0.41379657517711754</v>
      </c>
      <c r="Q116" s="66">
        <f>M116-$D$9*$E$9/$H$9*LN(I$45/I53)</f>
        <v>-0.37295842813946167</v>
      </c>
    </row>
    <row r="117" spans="2:17" x14ac:dyDescent="0.25">
      <c r="B117" s="38"/>
      <c r="C117" s="38"/>
      <c r="D117" s="38"/>
      <c r="E117" s="57"/>
      <c r="F117" s="38"/>
      <c r="G117" s="38"/>
      <c r="H117" s="38"/>
      <c r="I117" s="38"/>
      <c r="J117" s="38"/>
      <c r="K117" s="37">
        <f t="shared" si="47"/>
        <v>0.58706798006467142</v>
      </c>
      <c r="L117" s="37">
        <f t="shared" si="48"/>
        <v>0.39136377878227879</v>
      </c>
      <c r="M117" s="37">
        <f t="shared" si="49"/>
        <v>-0.42382448853530752</v>
      </c>
      <c r="O117" s="66">
        <f>K117-$D$9*$E$9/$H$9*LN(I$22/I30)</f>
        <v>0.5803554077612455</v>
      </c>
      <c r="P117" s="66">
        <f>L117-$D$9*$E$9/$H$9*LN(I$22/I54)</f>
        <v>0.41379657517711793</v>
      </c>
      <c r="Q117" s="66">
        <f>M117-$D$9*$E$9/$H$9*LN(I$45/I54)</f>
        <v>-0.37295842813946123</v>
      </c>
    </row>
    <row r="118" spans="2:17" x14ac:dyDescent="0.25">
      <c r="B118" s="38"/>
      <c r="C118" s="38"/>
      <c r="D118" s="65"/>
      <c r="E118" s="65"/>
      <c r="F118" s="65"/>
      <c r="G118" s="57"/>
      <c r="H118" s="38"/>
      <c r="I118" s="38"/>
      <c r="J118" s="38"/>
      <c r="K118" s="37">
        <f t="shared" si="47"/>
        <v>0.60678163935421647</v>
      </c>
      <c r="L118" s="37">
        <f t="shared" si="48"/>
        <v>0.38727069196629493</v>
      </c>
      <c r="M118" s="37">
        <f t="shared" si="49"/>
        <v>-0.42791757535129094</v>
      </c>
      <c r="O118" s="66">
        <f>K118-$D$9*$E$9/$H$9*LN(I$22/I31)</f>
        <v>0.5803554077612455</v>
      </c>
      <c r="P118" s="66">
        <f>L118-$D$9*$E$9/$H$9*LN(I$22/I55)</f>
        <v>0.41379657517711743</v>
      </c>
      <c r="Q118" s="66">
        <f>M118-$D$9*$E$9/$H$9*LN(I$45/I55)</f>
        <v>-0.37295842813946134</v>
      </c>
    </row>
    <row r="119" spans="2:17" x14ac:dyDescent="0.25">
      <c r="B119" s="38"/>
      <c r="C119" s="38"/>
      <c r="D119" s="38"/>
      <c r="E119" s="57"/>
      <c r="F119" s="38"/>
      <c r="G119" s="38"/>
      <c r="H119" s="38"/>
      <c r="I119" s="38"/>
      <c r="J119" s="38"/>
      <c r="K119" s="37">
        <f t="shared" si="47"/>
        <v>0.59444591483719922</v>
      </c>
      <c r="L119" s="37">
        <f t="shared" si="48"/>
        <v>0.38421613575472691</v>
      </c>
      <c r="M119" s="37">
        <f t="shared" si="49"/>
        <v>-0.43097213156285896</v>
      </c>
      <c r="O119" s="66">
        <f>K119-$D$9*$E$9/$H$9*LN(I$22/I32)</f>
        <v>0.58035540776124561</v>
      </c>
      <c r="P119" s="66">
        <f>L119-$D$9*$E$9/$H$9*LN(I$22/I56)</f>
        <v>0.41379657517711749</v>
      </c>
      <c r="Q119" s="66">
        <f>M119-$D$9*$E$9/$H$9*LN(I$45/I56)</f>
        <v>-0.37295842813946128</v>
      </c>
    </row>
    <row r="120" spans="2:17" x14ac:dyDescent="0.25">
      <c r="B120" s="38"/>
      <c r="C120" s="38"/>
      <c r="D120" s="57"/>
      <c r="E120" s="57"/>
      <c r="F120" s="38"/>
      <c r="G120" s="38"/>
      <c r="H120" s="55"/>
      <c r="I120" s="38"/>
      <c r="J120" s="38"/>
      <c r="K120" s="37">
        <f t="shared" si="47"/>
        <v>0.54184573416049453</v>
      </c>
      <c r="L120" s="37">
        <f t="shared" si="48"/>
        <v>0.36664168896436156</v>
      </c>
      <c r="M120" s="37">
        <f t="shared" si="49"/>
        <v>-0.44854657835322431</v>
      </c>
      <c r="O120" s="66">
        <f>K120-$D$9*$E$9/$H$9*LN(I$22/I33)</f>
        <v>0.5803554077612455</v>
      </c>
      <c r="P120" s="66">
        <f>L120-$D$9*$E$9/$H$9*LN(I$22/I57)</f>
        <v>0.41379657517711738</v>
      </c>
      <c r="Q120" s="66">
        <f>M120-$D$9*$E$9/$H$9*LN(I$45/I57)</f>
        <v>-0.3729584281394614</v>
      </c>
    </row>
    <row r="121" spans="2:17" x14ac:dyDescent="0.25">
      <c r="B121" s="38"/>
      <c r="C121" s="38"/>
      <c r="D121" s="38"/>
      <c r="E121" s="57"/>
      <c r="F121" s="38"/>
      <c r="G121" s="38"/>
      <c r="H121" s="38"/>
      <c r="I121" s="38"/>
      <c r="J121" s="38"/>
      <c r="K121" s="37">
        <f t="shared" si="47"/>
        <v>0.52673649480684226</v>
      </c>
      <c r="L121" s="37">
        <f t="shared" si="48"/>
        <v>0.3738629393656927</v>
      </c>
      <c r="M121" s="37">
        <f t="shared" si="49"/>
        <v>-0.44132532795189316</v>
      </c>
      <c r="O121" s="66">
        <f>K121-$D$9*$E$9/$H$9*LN(I$22/I34)</f>
        <v>0.58035540776124606</v>
      </c>
      <c r="P121" s="66">
        <f>L121-$D$9*$E$9/$H$9*LN(I$22/I58)</f>
        <v>0.41379657517711743</v>
      </c>
      <c r="Q121" s="66">
        <f>M121-$D$9*$E$9/$H$9*LN(I$45/I58)</f>
        <v>-0.37295842813946134</v>
      </c>
    </row>
    <row r="122" spans="2:17" x14ac:dyDescent="0.25">
      <c r="B122" s="38"/>
      <c r="C122" s="38"/>
      <c r="D122" s="38"/>
      <c r="E122" s="38"/>
      <c r="F122" s="38"/>
      <c r="G122" s="38"/>
      <c r="H122" s="38"/>
      <c r="I122" s="38"/>
      <c r="J122" s="38"/>
      <c r="K122" s="37">
        <f t="shared" si="47"/>
        <v>0.60037390686461301</v>
      </c>
      <c r="O122" s="66">
        <f>K122-$D$9*$E$9/$H$9*LN(I$22/I35)</f>
        <v>0.58035540776124572</v>
      </c>
    </row>
    <row r="123" spans="2:17" x14ac:dyDescent="0.25">
      <c r="B123" s="38"/>
      <c r="C123" s="38"/>
      <c r="D123" s="38"/>
      <c r="E123" s="57"/>
      <c r="F123" s="38"/>
      <c r="G123" s="38"/>
      <c r="H123" s="38"/>
      <c r="I123" s="38"/>
      <c r="J123" s="38"/>
      <c r="K123" s="37">
        <f t="shared" ref="K123:K133" si="50">-($F$23-F25)/$H$9-$I$9</f>
        <v>0.66849590913475776</v>
      </c>
      <c r="L123" s="37">
        <f t="shared" ref="L123:L132" si="51">-($F$23-F49-$G$9)/$H$9-$I$9</f>
        <v>0.51931972946437899</v>
      </c>
      <c r="O123" s="66">
        <f>K123-$D$9*$E$9/$H$9*LN(I$23/I25)</f>
        <v>0.58035540776124583</v>
      </c>
    </row>
    <row r="124" spans="2:17" s="3" customFormat="1" x14ac:dyDescent="0.25">
      <c r="B124" s="38"/>
      <c r="C124" s="38"/>
      <c r="D124" s="38"/>
      <c r="E124" s="57"/>
      <c r="F124" s="38"/>
      <c r="G124" s="38"/>
      <c r="H124" s="38"/>
      <c r="I124" s="38"/>
      <c r="J124" s="38"/>
      <c r="K124" s="37">
        <f t="shared" si="50"/>
        <v>0.75112863167793265</v>
      </c>
      <c r="L124" s="37">
        <f t="shared" si="51"/>
        <v>0.54383729691742477</v>
      </c>
      <c r="M124" s="28"/>
      <c r="N124" s="28"/>
      <c r="O124" s="66">
        <f>K124-$D$9*$E$9/$H$9*LN(I$23/I26)</f>
        <v>0.58035540776124561</v>
      </c>
      <c r="P124" s="28"/>
      <c r="Q124" s="28"/>
    </row>
    <row r="125" spans="2:17" x14ac:dyDescent="0.25">
      <c r="B125" s="38"/>
      <c r="C125" s="38"/>
      <c r="D125" s="38"/>
      <c r="E125" s="57"/>
      <c r="F125" s="38"/>
      <c r="G125" s="38"/>
      <c r="H125" s="38"/>
      <c r="I125" s="38"/>
      <c r="J125" s="38"/>
      <c r="K125" s="37">
        <f t="shared" si="50"/>
        <v>0.59017981668329433</v>
      </c>
      <c r="L125" s="37">
        <f t="shared" si="51"/>
        <v>0.40213094520233739</v>
      </c>
      <c r="O125" s="66">
        <f>K125-$D$9*$E$9/$H$9*LN(I$23/I27)</f>
        <v>0.58035540776124561</v>
      </c>
    </row>
    <row r="126" spans="2:17" x14ac:dyDescent="0.25">
      <c r="B126" s="38"/>
      <c r="C126" s="38"/>
      <c r="D126" s="57"/>
      <c r="E126" s="55"/>
      <c r="F126" s="38"/>
      <c r="G126" s="38"/>
      <c r="H126" s="38"/>
      <c r="I126" s="38"/>
      <c r="J126" s="38"/>
      <c r="K126" s="37">
        <f t="shared" si="50"/>
        <v>0.55426222269710568</v>
      </c>
      <c r="L126" s="37">
        <f t="shared" si="51"/>
        <v>0.44699729062794358</v>
      </c>
      <c r="O126" s="66">
        <f>K126-$D$9*$E$9/$H$9*LN(I$23/I28)</f>
        <v>0.58035540776124606</v>
      </c>
    </row>
    <row r="127" spans="2:17" x14ac:dyDescent="0.25">
      <c r="B127" s="38"/>
      <c r="C127" s="38"/>
      <c r="D127" s="38"/>
      <c r="E127" s="57"/>
      <c r="F127" s="57"/>
      <c r="G127" s="38"/>
      <c r="H127" s="38"/>
      <c r="I127" s="38"/>
      <c r="J127" s="38"/>
      <c r="K127" s="37">
        <f t="shared" si="50"/>
        <v>0.58167504966958727</v>
      </c>
      <c r="L127" s="37">
        <f t="shared" si="51"/>
        <v>0.4144337708986443</v>
      </c>
      <c r="O127" s="66">
        <f>K127-$D$9*$E$9/$H$9*LN(I$23/I29)</f>
        <v>0.58035540776124583</v>
      </c>
    </row>
    <row r="128" spans="2:17" x14ac:dyDescent="0.25">
      <c r="B128" s="38"/>
      <c r="C128" s="38"/>
      <c r="D128" s="38"/>
      <c r="E128" s="38"/>
      <c r="F128" s="57"/>
      <c r="G128" s="38"/>
      <c r="H128" s="38"/>
      <c r="I128" s="38"/>
      <c r="J128" s="38"/>
      <c r="K128" s="37">
        <f t="shared" si="50"/>
        <v>0.61486166055279412</v>
      </c>
      <c r="L128" s="37">
        <f t="shared" si="51"/>
        <v>0.4191574592704006</v>
      </c>
      <c r="O128" s="66">
        <f>K128-$D$9*$E$9/$H$9*LN(I$23/I30)</f>
        <v>0.58035540776124583</v>
      </c>
    </row>
    <row r="129" spans="2:15" x14ac:dyDescent="0.25">
      <c r="B129" s="38"/>
      <c r="C129" s="38"/>
      <c r="D129" s="57"/>
      <c r="E129" s="72"/>
      <c r="F129" s="57"/>
      <c r="G129" s="38"/>
      <c r="H129" s="38"/>
      <c r="I129" s="38"/>
      <c r="J129" s="38"/>
      <c r="K129" s="37">
        <f t="shared" si="50"/>
        <v>0.63457531984233917</v>
      </c>
      <c r="L129" s="37">
        <f t="shared" si="51"/>
        <v>0.41506437245441763</v>
      </c>
      <c r="O129" s="66">
        <f>K129-$D$9*$E$9/$H$9*LN(I$23/I31)</f>
        <v>0.58035540776124583</v>
      </c>
    </row>
    <row r="130" spans="2:15" x14ac:dyDescent="0.25">
      <c r="B130" s="38"/>
      <c r="C130" s="38"/>
      <c r="D130" s="38"/>
      <c r="E130" s="38"/>
      <c r="F130" s="38"/>
      <c r="G130" s="38"/>
      <c r="H130" s="38"/>
      <c r="I130" s="38"/>
      <c r="J130" s="38"/>
      <c r="K130" s="37">
        <f t="shared" si="50"/>
        <v>0.62223959532532191</v>
      </c>
      <c r="L130" s="37">
        <f t="shared" si="51"/>
        <v>0.4120098162428496</v>
      </c>
      <c r="O130" s="66">
        <f>K130-$D$9*$E$9/$H$9*LN(I$23/I32)</f>
        <v>0.58035540776124594</v>
      </c>
    </row>
    <row r="131" spans="2:15" x14ac:dyDescent="0.25">
      <c r="B131" s="38"/>
      <c r="C131" s="38"/>
      <c r="D131" s="38"/>
      <c r="E131" s="38"/>
      <c r="F131" s="38"/>
      <c r="G131" s="38"/>
      <c r="H131" s="38"/>
      <c r="I131" s="38"/>
      <c r="J131" s="38"/>
      <c r="K131" s="37">
        <f t="shared" si="50"/>
        <v>0.56963941464861723</v>
      </c>
      <c r="L131" s="37">
        <f t="shared" si="51"/>
        <v>0.39443536945248425</v>
      </c>
      <c r="O131" s="66">
        <f>K131-$D$9*$E$9/$H$9*LN(I$23/I33)</f>
        <v>0.58035540776124583</v>
      </c>
    </row>
    <row r="132" spans="2:15" x14ac:dyDescent="0.25">
      <c r="B132" s="38"/>
      <c r="C132" s="38"/>
      <c r="D132" s="38"/>
      <c r="E132" s="38"/>
      <c r="F132" s="38"/>
      <c r="G132" s="38"/>
      <c r="H132" s="38"/>
      <c r="I132" s="38"/>
      <c r="J132" s="38"/>
      <c r="K132" s="37">
        <f t="shared" si="50"/>
        <v>0.55453017529496407</v>
      </c>
      <c r="L132" s="37">
        <f t="shared" si="51"/>
        <v>0.4016566198538154</v>
      </c>
      <c r="O132" s="66">
        <f>K132-$D$9*$E$9/$H$9*LN(I$23/I34)</f>
        <v>0.5803554077612455</v>
      </c>
    </row>
    <row r="133" spans="2:15" x14ac:dyDescent="0.25">
      <c r="B133" s="38"/>
      <c r="C133" s="38"/>
      <c r="D133" s="38"/>
      <c r="E133" s="38"/>
      <c r="F133" s="38"/>
      <c r="G133" s="38"/>
      <c r="H133" s="38"/>
      <c r="I133" s="38"/>
      <c r="J133" s="38"/>
      <c r="K133" s="37">
        <f t="shared" si="50"/>
        <v>0.6281675873527357</v>
      </c>
      <c r="O133" s="66">
        <f>K133-$D$9*$E$9/$H$9*LN(I$23/I35)</f>
        <v>0.58035540776124606</v>
      </c>
    </row>
    <row r="134" spans="2:15" x14ac:dyDescent="0.25">
      <c r="B134" s="38"/>
      <c r="C134" s="38"/>
      <c r="D134" s="38"/>
      <c r="E134" s="38"/>
      <c r="F134" s="38"/>
      <c r="G134" s="38"/>
      <c r="H134" s="38"/>
      <c r="I134" s="38"/>
      <c r="J134" s="38"/>
      <c r="O134" s="66"/>
    </row>
    <row r="135" spans="2:15" x14ac:dyDescent="0.25">
      <c r="B135" s="38"/>
      <c r="C135" s="38"/>
      <c r="D135" s="38"/>
      <c r="E135" s="38"/>
      <c r="F135" s="38"/>
      <c r="G135" s="38"/>
      <c r="H135" s="38"/>
      <c r="I135" s="38"/>
      <c r="J135" s="38"/>
    </row>
  </sheetData>
  <mergeCells count="5">
    <mergeCell ref="B2:I2"/>
    <mergeCell ref="B4:I4"/>
    <mergeCell ref="B5:I5"/>
    <mergeCell ref="B6:I6"/>
    <mergeCell ref="C11:I11"/>
  </mergeCells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7"/>
  <sheetViews>
    <sheetView zoomScale="90" zoomScaleNormal="90" workbookViewId="0">
      <pane ySplit="12" topLeftCell="A37" activePane="bottomLeft" state="frozen"/>
      <selection pane="bottomLeft" activeCell="B43" sqref="B43"/>
    </sheetView>
  </sheetViews>
  <sheetFormatPr defaultRowHeight="15" x14ac:dyDescent="0.25"/>
  <cols>
    <col min="1" max="1" width="12.7109375" style="3" customWidth="1"/>
    <col min="2" max="9" width="12.7109375" style="28" customWidth="1"/>
    <col min="10" max="11" width="12.7109375" customWidth="1"/>
    <col min="12" max="12" width="12.7109375" style="28" customWidth="1"/>
    <col min="13" max="13" width="1.7109375" style="28" customWidth="1"/>
    <col min="14" max="15" width="12.7109375" style="31" customWidth="1"/>
    <col min="16" max="16" width="12.7109375" style="17" customWidth="1"/>
    <col min="17" max="17" width="13.85546875" bestFit="1" customWidth="1"/>
  </cols>
  <sheetData>
    <row r="1" spans="1:19" s="3" customFormat="1" x14ac:dyDescent="0.25">
      <c r="A1" s="28"/>
      <c r="B1" s="28"/>
      <c r="C1" s="28"/>
      <c r="D1" s="28"/>
      <c r="E1" s="28"/>
      <c r="F1" s="28"/>
      <c r="G1" s="28"/>
      <c r="H1" s="28"/>
      <c r="K1" s="28"/>
      <c r="L1" s="28"/>
      <c r="M1" s="31"/>
      <c r="N1" s="31"/>
      <c r="O1" s="17"/>
    </row>
    <row r="2" spans="1:19" s="124" customFormat="1" ht="15" customHeight="1" x14ac:dyDescent="0.25">
      <c r="B2" s="146" t="s">
        <v>146</v>
      </c>
      <c r="C2" s="146"/>
      <c r="D2" s="146"/>
      <c r="E2" s="146"/>
      <c r="F2" s="146"/>
      <c r="G2" s="146"/>
      <c r="H2" s="146"/>
      <c r="I2" s="146"/>
      <c r="J2" s="125"/>
      <c r="K2" s="73"/>
      <c r="L2" s="73"/>
      <c r="M2" s="73"/>
      <c r="N2" s="73"/>
      <c r="O2" s="73"/>
    </row>
    <row r="3" spans="1:19" s="124" customFormat="1" ht="15" customHeight="1" x14ac:dyDescent="0.25">
      <c r="B3" s="126"/>
      <c r="C3" s="163"/>
      <c r="D3" s="126"/>
      <c r="E3" s="126"/>
      <c r="F3" s="126"/>
      <c r="G3" s="126"/>
      <c r="H3" s="126"/>
      <c r="I3" s="126"/>
      <c r="J3" s="125"/>
      <c r="K3" s="73"/>
      <c r="L3" s="73"/>
      <c r="M3" s="73"/>
      <c r="N3" s="73"/>
      <c r="O3" s="73"/>
    </row>
    <row r="4" spans="1:19" s="124" customFormat="1" ht="15" customHeight="1" x14ac:dyDescent="0.25">
      <c r="B4" s="147" t="s">
        <v>147</v>
      </c>
      <c r="C4" s="147"/>
      <c r="D4" s="147"/>
      <c r="E4" s="147"/>
      <c r="F4" s="147"/>
      <c r="G4" s="147"/>
      <c r="H4" s="147"/>
      <c r="I4" s="147"/>
      <c r="J4" s="125"/>
      <c r="K4" s="73"/>
      <c r="L4" s="73"/>
      <c r="M4" s="73"/>
      <c r="N4" s="73"/>
      <c r="O4" s="73"/>
    </row>
    <row r="5" spans="1:19" s="124" customFormat="1" ht="15" customHeight="1" x14ac:dyDescent="0.25">
      <c r="B5" s="148" t="s">
        <v>148</v>
      </c>
      <c r="C5" s="148"/>
      <c r="D5" s="148"/>
      <c r="E5" s="148"/>
      <c r="F5" s="148"/>
      <c r="G5" s="148"/>
      <c r="H5" s="148"/>
      <c r="I5" s="148"/>
      <c r="J5" s="125"/>
      <c r="K5" s="73"/>
      <c r="L5" s="73"/>
      <c r="M5" s="73"/>
      <c r="N5" s="73"/>
      <c r="O5" s="73"/>
    </row>
    <row r="6" spans="1:19" s="124" customFormat="1" ht="15" customHeight="1" x14ac:dyDescent="0.25">
      <c r="B6" s="148" t="s">
        <v>149</v>
      </c>
      <c r="C6" s="148"/>
      <c r="D6" s="148"/>
      <c r="E6" s="148"/>
      <c r="F6" s="148"/>
      <c r="G6" s="148"/>
      <c r="H6" s="148"/>
      <c r="I6" s="148"/>
      <c r="J6" s="125"/>
      <c r="K6" s="73"/>
      <c r="L6" s="73"/>
      <c r="M6" s="73"/>
      <c r="N6" s="73"/>
      <c r="O6" s="73"/>
    </row>
    <row r="7" spans="1:19" s="3" customFormat="1" x14ac:dyDescent="0.25">
      <c r="B7" s="28"/>
      <c r="C7" s="28"/>
      <c r="D7" s="28"/>
      <c r="E7" s="28"/>
      <c r="F7" s="28"/>
      <c r="G7" s="28"/>
      <c r="H7" s="28"/>
      <c r="I7" s="28"/>
      <c r="L7" s="28"/>
      <c r="M7" s="28"/>
      <c r="N7" s="31"/>
      <c r="O7" s="31"/>
      <c r="P7" s="17"/>
    </row>
    <row r="8" spans="1:19" x14ac:dyDescent="0.25">
      <c r="B8" s="29" t="s">
        <v>1</v>
      </c>
      <c r="C8" s="29" t="s">
        <v>2</v>
      </c>
      <c r="D8" s="29" t="s">
        <v>3</v>
      </c>
      <c r="E8" s="29" t="s">
        <v>4</v>
      </c>
      <c r="F8" s="29" t="s">
        <v>10</v>
      </c>
      <c r="G8" s="29" t="s">
        <v>6</v>
      </c>
      <c r="H8" s="29" t="s">
        <v>5</v>
      </c>
      <c r="I8" s="29" t="s">
        <v>11</v>
      </c>
      <c r="J8" s="5" t="s">
        <v>12</v>
      </c>
      <c r="K8" s="5" t="s">
        <v>13</v>
      </c>
    </row>
    <row r="9" spans="1:19" x14ac:dyDescent="0.25">
      <c r="B9" s="29"/>
      <c r="C9" s="29">
        <v>627.5095</v>
      </c>
      <c r="D9" s="29">
        <v>1.9858775000000002E-3</v>
      </c>
      <c r="E9" s="29">
        <v>298.14999999999998</v>
      </c>
      <c r="F9" s="28">
        <f>LN(10)*D9*E9</f>
        <v>1.3633361723368622</v>
      </c>
      <c r="G9" s="29">
        <f>-6.287-265.9+1.89</f>
        <v>-270.29699999999997</v>
      </c>
      <c r="H9" s="29">
        <v>23.060369999999999</v>
      </c>
      <c r="I9" s="30">
        <f>J9-K9/H9</f>
        <v>4.3185969683053651</v>
      </c>
      <c r="J9" s="5">
        <v>4.2809999999999997</v>
      </c>
      <c r="K9" s="5">
        <v>-0.86699999999999999</v>
      </c>
      <c r="N9" s="44"/>
      <c r="O9" s="44"/>
      <c r="P9" s="24"/>
      <c r="Q9" s="24"/>
    </row>
    <row r="11" spans="1:19" s="3" customFormat="1" x14ac:dyDescent="0.25">
      <c r="A11" s="111"/>
      <c r="B11" s="106"/>
      <c r="C11" s="145" t="s">
        <v>0</v>
      </c>
      <c r="D11" s="145"/>
      <c r="E11" s="145"/>
      <c r="F11" s="145"/>
      <c r="G11" s="145"/>
      <c r="H11" s="145"/>
      <c r="I11" s="145"/>
      <c r="J11" s="128"/>
      <c r="K11" s="128"/>
      <c r="L11" s="137" t="s">
        <v>8</v>
      </c>
      <c r="M11" s="137"/>
      <c r="N11" s="139" t="s">
        <v>9</v>
      </c>
      <c r="O11" s="31"/>
      <c r="P11" s="17"/>
    </row>
    <row r="12" spans="1:19" x14ac:dyDescent="0.25">
      <c r="A12" s="112"/>
      <c r="B12" s="113" t="s">
        <v>97</v>
      </c>
      <c r="C12" s="113" t="s">
        <v>113</v>
      </c>
      <c r="D12" s="113" t="s">
        <v>99</v>
      </c>
      <c r="E12" s="113" t="s">
        <v>64</v>
      </c>
      <c r="F12" s="113" t="s">
        <v>65</v>
      </c>
      <c r="G12" s="113" t="s">
        <v>66</v>
      </c>
      <c r="H12" s="113" t="s">
        <v>7</v>
      </c>
      <c r="I12" s="113" t="s">
        <v>111</v>
      </c>
      <c r="J12" s="143"/>
      <c r="K12" s="143"/>
      <c r="L12" s="137" t="s">
        <v>166</v>
      </c>
      <c r="M12" s="137"/>
      <c r="N12" s="137" t="s">
        <v>166</v>
      </c>
      <c r="P12" s="2"/>
      <c r="Q12" s="2"/>
    </row>
    <row r="13" spans="1:19" x14ac:dyDescent="0.25">
      <c r="A13" s="2" t="s">
        <v>21</v>
      </c>
      <c r="B13" s="32" t="s">
        <v>87</v>
      </c>
      <c r="C13" s="38">
        <v>-683.61100471600002</v>
      </c>
      <c r="D13" s="38">
        <v>8.9162000000000005E-2</v>
      </c>
      <c r="E13" s="38">
        <f>C13+D13</f>
        <v>-683.52184271600004</v>
      </c>
      <c r="F13" s="33">
        <f>(C13+D13)*$C$9</f>
        <v>-428916.44976179581</v>
      </c>
      <c r="G13" s="37">
        <f>F13-$F$21</f>
        <v>0.8109123291214928</v>
      </c>
      <c r="H13" s="34">
        <f t="shared" ref="H13:H34" si="0">EXP(-G13/($D$9*$E$9))</f>
        <v>0.2542143248628303</v>
      </c>
      <c r="I13" s="35">
        <f>H13/SUM($H$13:$H$22)</f>
        <v>9.3557161521308205E-2</v>
      </c>
      <c r="J13" s="22"/>
      <c r="K13" s="23"/>
      <c r="L13" s="33">
        <f t="shared" ref="L13:L22" si="1">-($F$25-F13)/$H$9-$I$9</f>
        <v>0.4139392813709204</v>
      </c>
      <c r="M13" s="43"/>
      <c r="N13" s="44">
        <f t="shared" ref="N13:N22" si="2">L13-$D$9*$E$9/$H$9*LN(I$25/I13)</f>
        <v>0.5162003328256608</v>
      </c>
      <c r="O13" s="44"/>
      <c r="P13" s="50"/>
      <c r="Q13" s="88"/>
      <c r="R13" s="14"/>
      <c r="S13" s="14"/>
    </row>
    <row r="14" spans="1:19" x14ac:dyDescent="0.25">
      <c r="B14" s="32" t="s">
        <v>88</v>
      </c>
      <c r="C14" s="38">
        <v>-683.60381255300001</v>
      </c>
      <c r="D14" s="38">
        <v>8.7318000000000007E-2</v>
      </c>
      <c r="E14" s="38">
        <f t="shared" ref="E14:E22" si="3">C14+D14</f>
        <v>-683.51649455300003</v>
      </c>
      <c r="F14" s="33">
        <f t="shared" ref="F14:F22" si="4">(C14+D14)*$C$9</f>
        <v>-428913.09373870579</v>
      </c>
      <c r="G14" s="37">
        <f t="shared" ref="G14:G22" si="5">F14-$F$21</f>
        <v>4.1669354191399179</v>
      </c>
      <c r="H14" s="34">
        <f t="shared" si="0"/>
        <v>8.7816175051710498E-4</v>
      </c>
      <c r="I14" s="35">
        <f t="shared" ref="I14:I22" si="6">H14/SUM($H$13:$H$22)</f>
        <v>3.2318525236252826E-4</v>
      </c>
      <c r="J14" s="22"/>
      <c r="K14" s="23"/>
      <c r="L14" s="33">
        <f t="shared" si="1"/>
        <v>0.55947133874980981</v>
      </c>
      <c r="M14" s="43"/>
      <c r="N14" s="44">
        <f t="shared" si="2"/>
        <v>0.51620033282566058</v>
      </c>
      <c r="O14" s="44"/>
      <c r="P14" s="50"/>
      <c r="Q14" s="88"/>
      <c r="R14" s="14"/>
      <c r="S14" s="14"/>
    </row>
    <row r="15" spans="1:19" x14ac:dyDescent="0.25">
      <c r="B15" s="32" t="s">
        <v>89</v>
      </c>
      <c r="C15" s="38">
        <v>-683.60850388699998</v>
      </c>
      <c r="D15" s="38">
        <v>8.6945999999999996E-2</v>
      </c>
      <c r="E15" s="38">
        <f t="shared" si="3"/>
        <v>-683.52155788699997</v>
      </c>
      <c r="F15" s="33">
        <f t="shared" si="4"/>
        <v>-428916.27102889243</v>
      </c>
      <c r="G15" s="37">
        <f t="shared" si="5"/>
        <v>0.98964523250469938</v>
      </c>
      <c r="H15" s="34">
        <f t="shared" si="0"/>
        <v>0.18797511668119937</v>
      </c>
      <c r="I15" s="35">
        <f t="shared" si="6"/>
        <v>6.9179493967615927E-2</v>
      </c>
      <c r="J15" s="22"/>
      <c r="K15" s="23"/>
      <c r="L15" s="33">
        <f t="shared" si="1"/>
        <v>0.42168993339355509</v>
      </c>
      <c r="M15" s="43"/>
      <c r="N15" s="44">
        <f t="shared" si="2"/>
        <v>0.51620033282566069</v>
      </c>
      <c r="O15" s="44"/>
      <c r="P15" s="50"/>
      <c r="Q15" s="88"/>
      <c r="R15" s="14"/>
      <c r="S15" s="14"/>
    </row>
    <row r="16" spans="1:19" x14ac:dyDescent="0.25">
      <c r="B16" s="32" t="s">
        <v>90</v>
      </c>
      <c r="C16" s="38">
        <v>-683.60749804600005</v>
      </c>
      <c r="D16" s="38">
        <v>8.6532999999999999E-2</v>
      </c>
      <c r="E16" s="38">
        <f t="shared" si="3"/>
        <v>-683.52096504600001</v>
      </c>
      <c r="F16" s="33">
        <f t="shared" si="4"/>
        <v>-428915.89901553292</v>
      </c>
      <c r="G16" s="37">
        <f t="shared" si="5"/>
        <v>1.3616585920099169</v>
      </c>
      <c r="H16" s="34">
        <f t="shared" si="0"/>
        <v>0.10028373404466828</v>
      </c>
      <c r="I16" s="35">
        <f t="shared" si="6"/>
        <v>3.6906895427861713E-2</v>
      </c>
      <c r="J16" s="22"/>
      <c r="K16" s="23"/>
      <c r="L16" s="33">
        <f t="shared" si="1"/>
        <v>0.43782208389700461</v>
      </c>
      <c r="M16" s="43"/>
      <c r="N16" s="44">
        <f t="shared" si="2"/>
        <v>0.51620033282566136</v>
      </c>
      <c r="O16" s="44"/>
      <c r="P16" s="58"/>
      <c r="Q16" s="88"/>
      <c r="R16" s="14"/>
    </row>
    <row r="17" spans="1:18" x14ac:dyDescent="0.25">
      <c r="B17" s="32" t="s">
        <v>91</v>
      </c>
      <c r="C17" s="38">
        <v>-683.60859651299995</v>
      </c>
      <c r="D17" s="38">
        <v>8.6119000000000001E-2</v>
      </c>
      <c r="E17" s="38">
        <f t="shared" si="3"/>
        <v>-683.5224775129999</v>
      </c>
      <c r="F17" s="33">
        <f t="shared" si="4"/>
        <v>-428916.8481029438</v>
      </c>
      <c r="G17" s="37">
        <f t="shared" si="5"/>
        <v>0.41257118113571778</v>
      </c>
      <c r="H17" s="34">
        <f t="shared" si="0"/>
        <v>0.49817414247396402</v>
      </c>
      <c r="I17" s="35">
        <f t="shared" si="6"/>
        <v>0.18334041064886727</v>
      </c>
      <c r="J17" s="22"/>
      <c r="K17" s="23"/>
      <c r="L17" s="33">
        <f t="shared" si="1"/>
        <v>0.39666544109924384</v>
      </c>
      <c r="M17" s="43"/>
      <c r="N17" s="44">
        <f t="shared" si="2"/>
        <v>0.51620033282566136</v>
      </c>
      <c r="O17" s="44"/>
      <c r="P17" s="58"/>
      <c r="Q17" s="26"/>
      <c r="R17" s="14"/>
    </row>
    <row r="18" spans="1:18" x14ac:dyDescent="0.25">
      <c r="B18" s="32" t="s">
        <v>92</v>
      </c>
      <c r="C18" s="38">
        <v>-683.60662164799999</v>
      </c>
      <c r="D18" s="38">
        <v>8.7496000000000004E-2</v>
      </c>
      <c r="E18" s="38">
        <f t="shared" si="3"/>
        <v>-683.519125648</v>
      </c>
      <c r="F18" s="33">
        <f t="shared" si="4"/>
        <v>-428914.74477581365</v>
      </c>
      <c r="G18" s="37">
        <f t="shared" si="5"/>
        <v>2.5158983112778515</v>
      </c>
      <c r="H18" s="34">
        <f t="shared" si="0"/>
        <v>1.427583956265902E-2</v>
      </c>
      <c r="I18" s="35">
        <f t="shared" si="6"/>
        <v>5.2538621831662814E-3</v>
      </c>
      <c r="J18" s="22"/>
      <c r="K18" s="23"/>
      <c r="L18" s="33">
        <f t="shared" si="1"/>
        <v>0.48787504138502058</v>
      </c>
      <c r="M18" s="43"/>
      <c r="N18" s="44">
        <f t="shared" si="2"/>
        <v>0.51620033282566069</v>
      </c>
      <c r="O18" s="44"/>
      <c r="P18" s="58"/>
      <c r="Q18" s="26"/>
    </row>
    <row r="19" spans="1:18" x14ac:dyDescent="0.25">
      <c r="B19" s="32" t="s">
        <v>93</v>
      </c>
      <c r="C19" s="38">
        <v>-683.606595631</v>
      </c>
      <c r="D19" s="38">
        <v>8.6906999999999998E-2</v>
      </c>
      <c r="E19" s="38">
        <f t="shared" si="3"/>
        <v>-683.51968863100001</v>
      </c>
      <c r="F19" s="33">
        <f t="shared" si="4"/>
        <v>-428915.09805299452</v>
      </c>
      <c r="G19" s="37">
        <f t="shared" si="5"/>
        <v>2.1626211304101162</v>
      </c>
      <c r="H19" s="34">
        <f t="shared" si="0"/>
        <v>2.5925589215819451E-2</v>
      </c>
      <c r="I19" s="35">
        <f t="shared" si="6"/>
        <v>9.541258302844571E-3</v>
      </c>
      <c r="J19" s="22"/>
      <c r="K19" s="23"/>
      <c r="L19" s="33">
        <f t="shared" si="1"/>
        <v>0.47255537475054243</v>
      </c>
      <c r="M19" s="43"/>
      <c r="N19" s="44">
        <f t="shared" si="2"/>
        <v>0.51620033282566136</v>
      </c>
      <c r="O19" s="44"/>
      <c r="P19" s="59"/>
      <c r="Q19" s="26"/>
    </row>
    <row r="20" spans="1:18" x14ac:dyDescent="0.25">
      <c r="B20" s="32" t="s">
        <v>94</v>
      </c>
      <c r="C20" s="38">
        <v>-683.60655566200001</v>
      </c>
      <c r="D20" s="38">
        <v>8.6285000000000001E-2</v>
      </c>
      <c r="E20" s="38">
        <f t="shared" si="3"/>
        <v>-683.52027066200003</v>
      </c>
      <c r="F20" s="33">
        <f t="shared" si="4"/>
        <v>-428915.4632829763</v>
      </c>
      <c r="G20" s="37">
        <f t="shared" si="5"/>
        <v>1.7973911486333236</v>
      </c>
      <c r="H20" s="34">
        <f t="shared" si="0"/>
        <v>4.804220474540763E-2</v>
      </c>
      <c r="I20" s="35">
        <f t="shared" si="6"/>
        <v>1.7680720044518025E-2</v>
      </c>
      <c r="J20" s="22"/>
      <c r="K20" s="23"/>
      <c r="L20" s="33">
        <f t="shared" si="1"/>
        <v>0.45671738161440434</v>
      </c>
      <c r="M20" s="43"/>
      <c r="N20" s="44">
        <f t="shared" si="2"/>
        <v>0.5162003328256608</v>
      </c>
      <c r="O20" s="44"/>
      <c r="P20" s="59"/>
      <c r="Q20" s="26"/>
    </row>
    <row r="21" spans="1:18" x14ac:dyDescent="0.25">
      <c r="B21" s="32" t="s">
        <v>95</v>
      </c>
      <c r="C21" s="28">
        <v>-683.60856698700002</v>
      </c>
      <c r="D21" s="28">
        <v>8.5431999999999994E-2</v>
      </c>
      <c r="E21" s="38">
        <f t="shared" si="3"/>
        <v>-683.52313498700005</v>
      </c>
      <c r="F21" s="33">
        <f t="shared" si="4"/>
        <v>-428917.26067412493</v>
      </c>
      <c r="G21" s="37">
        <f t="shared" si="5"/>
        <v>0</v>
      </c>
      <c r="H21" s="34">
        <f t="shared" si="0"/>
        <v>1</v>
      </c>
      <c r="I21" s="35">
        <f t="shared" si="6"/>
        <v>0.36802474279051761</v>
      </c>
      <c r="L21" s="33">
        <f t="shared" si="1"/>
        <v>0.37877452342811679</v>
      </c>
      <c r="M21" s="43"/>
      <c r="N21" s="44">
        <f t="shared" si="2"/>
        <v>0.51620033282566091</v>
      </c>
      <c r="O21" s="44"/>
      <c r="P21" s="45"/>
    </row>
    <row r="22" spans="1:18" x14ac:dyDescent="0.25">
      <c r="B22" s="32" t="s">
        <v>96</v>
      </c>
      <c r="C22" s="28">
        <v>-683.60857703299996</v>
      </c>
      <c r="D22" s="28">
        <v>8.5944000000000007E-2</v>
      </c>
      <c r="E22" s="38">
        <f t="shared" si="3"/>
        <v>-683.52263303299992</v>
      </c>
      <c r="F22" s="33">
        <f t="shared" si="4"/>
        <v>-428916.94569322129</v>
      </c>
      <c r="G22" s="37">
        <f t="shared" si="5"/>
        <v>0.31498090364038944</v>
      </c>
      <c r="H22" s="34">
        <f t="shared" si="0"/>
        <v>0.58743949719705735</v>
      </c>
      <c r="I22" s="35">
        <f t="shared" si="6"/>
        <v>0.21619226986093801</v>
      </c>
      <c r="J22" s="21"/>
      <c r="K22" s="21"/>
      <c r="L22" s="33">
        <f t="shared" si="1"/>
        <v>0.39243349349843193</v>
      </c>
      <c r="M22" s="43"/>
      <c r="N22" s="44">
        <f t="shared" si="2"/>
        <v>0.51620033282566113</v>
      </c>
      <c r="O22" s="44"/>
      <c r="P22" s="46"/>
    </row>
    <row r="23" spans="1:18" x14ac:dyDescent="0.25">
      <c r="B23" s="32"/>
      <c r="E23" s="3"/>
      <c r="F23" s="33"/>
      <c r="G23" s="37"/>
      <c r="H23" s="34"/>
      <c r="I23" s="35"/>
      <c r="L23" s="33">
        <f t="shared" ref="L23:L32" si="7">-($F$26-F13)/$H$9-$I$9</f>
        <v>0.38942171391787461</v>
      </c>
      <c r="M23" s="43"/>
      <c r="N23" s="44">
        <f t="shared" ref="N23:N32" si="8">L23-$D$9*$E$9/$H$9*LN(I$26/I13)</f>
        <v>0.51620033282566113</v>
      </c>
      <c r="O23" s="44"/>
      <c r="P23" s="46"/>
    </row>
    <row r="24" spans="1:18" x14ac:dyDescent="0.25">
      <c r="A24" s="128"/>
      <c r="B24" s="137"/>
      <c r="C24" s="137"/>
      <c r="D24" s="137"/>
      <c r="E24" s="137"/>
      <c r="F24" s="137"/>
      <c r="G24" s="144"/>
      <c r="H24" s="137"/>
      <c r="I24" s="137"/>
      <c r="L24" s="33">
        <f t="shared" si="7"/>
        <v>0.53495377129676402</v>
      </c>
      <c r="M24" s="43"/>
      <c r="N24" s="44">
        <f t="shared" si="8"/>
        <v>0.51620033282566091</v>
      </c>
      <c r="O24" s="44"/>
      <c r="P24" s="46"/>
    </row>
    <row r="25" spans="1:18" ht="15" customHeight="1" x14ac:dyDescent="0.25">
      <c r="A25" s="90" t="s">
        <v>151</v>
      </c>
      <c r="B25" s="32" t="s">
        <v>54</v>
      </c>
      <c r="C25" s="28">
        <v>-683.78249686699996</v>
      </c>
      <c r="D25" s="28">
        <v>8.6737999999999996E-2</v>
      </c>
      <c r="E25" s="28">
        <f>C25+D25</f>
        <v>-683.695758867</v>
      </c>
      <c r="F25" s="33">
        <f t="shared" ref="F25:F34" si="9">(C25+D25)*$C$9</f>
        <v>-429025.58379875176</v>
      </c>
      <c r="G25" s="37">
        <f>F25-F$34</f>
        <v>2.7133548429701477</v>
      </c>
      <c r="H25" s="34">
        <f t="shared" si="0"/>
        <v>1.0227472450337675E-2</v>
      </c>
      <c r="I25" s="35">
        <f>H25/SUM($H$25:$H$34)</f>
        <v>1.7432752205047226E-3</v>
      </c>
      <c r="L25" s="33">
        <f t="shared" si="7"/>
        <v>0.39717236594050931</v>
      </c>
      <c r="M25" s="43"/>
      <c r="N25" s="44">
        <f t="shared" si="8"/>
        <v>0.51620033282566102</v>
      </c>
      <c r="O25" s="44"/>
      <c r="P25" s="18"/>
    </row>
    <row r="26" spans="1:18" x14ac:dyDescent="0.25">
      <c r="B26" s="32" t="s">
        <v>55</v>
      </c>
      <c r="C26" s="28">
        <v>-683.78070387000002</v>
      </c>
      <c r="D26" s="28">
        <v>8.5846000000000006E-2</v>
      </c>
      <c r="E26" s="28">
        <f t="shared" ref="E26:E34" si="10">C26+D26</f>
        <v>-683.69485787000008</v>
      </c>
      <c r="F26" s="33">
        <f t="shared" si="9"/>
        <v>-429025.01841457479</v>
      </c>
      <c r="G26" s="37">
        <f t="shared" ref="G26:G34" si="11">F26-F$34</f>
        <v>3.2787390199373476</v>
      </c>
      <c r="H26" s="34">
        <f t="shared" si="0"/>
        <v>3.9360622800933848E-3</v>
      </c>
      <c r="I26" s="35">
        <f t="shared" ref="I26:I34" si="12">H26/SUM($H$25:$H$34)</f>
        <v>6.7090279368325944E-4</v>
      </c>
      <c r="L26" s="33">
        <f t="shared" si="7"/>
        <v>0.41330451644395794</v>
      </c>
      <c r="M26" s="43"/>
      <c r="N26" s="44">
        <f t="shared" si="8"/>
        <v>0.5162003328256608</v>
      </c>
      <c r="O26" s="44"/>
      <c r="P26" s="18"/>
    </row>
    <row r="27" spans="1:18" x14ac:dyDescent="0.25">
      <c r="B27" s="32" t="s">
        <v>56</v>
      </c>
      <c r="C27" s="28">
        <v>-683.78513444199996</v>
      </c>
      <c r="D27" s="28">
        <v>8.5069000000000006E-2</v>
      </c>
      <c r="E27" s="28">
        <f t="shared" si="10"/>
        <v>-683.70006544199998</v>
      </c>
      <c r="F27" s="33">
        <f t="shared" si="9"/>
        <v>-429028.28621547669</v>
      </c>
      <c r="G27" s="37">
        <f t="shared" si="11"/>
        <v>1.0938118037302047E-2</v>
      </c>
      <c r="H27" s="34">
        <f t="shared" si="0"/>
        <v>0.9816958323028101</v>
      </c>
      <c r="I27" s="35">
        <f t="shared" si="12"/>
        <v>0.16733029854993597</v>
      </c>
      <c r="L27" s="33">
        <f t="shared" si="7"/>
        <v>0.37214787364619717</v>
      </c>
      <c r="M27" s="43"/>
      <c r="N27" s="44">
        <f t="shared" si="8"/>
        <v>0.5162003328256608</v>
      </c>
      <c r="O27" s="44"/>
      <c r="P27" s="18"/>
    </row>
    <row r="28" spans="1:18" x14ac:dyDescent="0.25">
      <c r="B28" s="32" t="s">
        <v>57</v>
      </c>
      <c r="C28" s="28">
        <v>-683.78486264699995</v>
      </c>
      <c r="D28" s="28">
        <v>8.6445999999999995E-2</v>
      </c>
      <c r="E28" s="28">
        <f t="shared" si="10"/>
        <v>-683.69841664699993</v>
      </c>
      <c r="F28" s="33">
        <f t="shared" si="9"/>
        <v>-429027.25158095063</v>
      </c>
      <c r="G28" s="37">
        <f t="shared" si="11"/>
        <v>1.0455726440995932</v>
      </c>
      <c r="H28" s="34">
        <f t="shared" si="0"/>
        <v>0.17103220594144344</v>
      </c>
      <c r="I28" s="35">
        <f t="shared" si="12"/>
        <v>2.9152482001174679E-2</v>
      </c>
      <c r="L28" s="33">
        <f t="shared" si="7"/>
        <v>0.46335747393197479</v>
      </c>
      <c r="M28" s="43"/>
      <c r="N28" s="44">
        <f t="shared" si="8"/>
        <v>0.51620033282566091</v>
      </c>
      <c r="O28" s="44"/>
      <c r="P28" s="48"/>
    </row>
    <row r="29" spans="1:18" x14ac:dyDescent="0.25">
      <c r="B29" s="32" t="s">
        <v>58</v>
      </c>
      <c r="C29" s="28">
        <v>-683.78513432499994</v>
      </c>
      <c r="D29" s="28">
        <v>8.5521E-2</v>
      </c>
      <c r="E29" s="28">
        <f t="shared" si="10"/>
        <v>-683.69961332499997</v>
      </c>
      <c r="F29" s="33">
        <f t="shared" si="9"/>
        <v>-429028.00250776409</v>
      </c>
      <c r="G29" s="37">
        <f t="shared" si="11"/>
        <v>0.29464583063963801</v>
      </c>
      <c r="H29" s="34">
        <f t="shared" si="0"/>
        <v>0.60796533014491971</v>
      </c>
      <c r="I29" s="35">
        <f t="shared" si="12"/>
        <v>0.10362784159175309</v>
      </c>
      <c r="L29" s="33">
        <f t="shared" si="7"/>
        <v>0.44803780729749576</v>
      </c>
      <c r="M29" s="33"/>
      <c r="N29" s="44">
        <f t="shared" si="8"/>
        <v>0.51620033282566069</v>
      </c>
      <c r="O29" s="44"/>
      <c r="P29" s="48"/>
    </row>
    <row r="30" spans="1:18" x14ac:dyDescent="0.25">
      <c r="B30" s="32" t="s">
        <v>59</v>
      </c>
      <c r="C30" s="28">
        <v>-683.78651273399998</v>
      </c>
      <c r="D30" s="28">
        <v>8.7072999999999998E-2</v>
      </c>
      <c r="E30" s="28">
        <f t="shared" si="10"/>
        <v>-683.69943973399995</v>
      </c>
      <c r="F30" s="33">
        <f t="shared" si="9"/>
        <v>-429027.89357776247</v>
      </c>
      <c r="G30" s="37">
        <f t="shared" si="11"/>
        <v>0.4035758322570473</v>
      </c>
      <c r="H30" s="34">
        <f t="shared" si="0"/>
        <v>0.50580046419530544</v>
      </c>
      <c r="I30" s="35">
        <f t="shared" si="12"/>
        <v>8.621381480449257E-2</v>
      </c>
      <c r="L30" s="33">
        <f t="shared" si="7"/>
        <v>0.43219981416135855</v>
      </c>
      <c r="M30" s="33"/>
      <c r="N30" s="44">
        <f t="shared" si="8"/>
        <v>0.51620033282566102</v>
      </c>
      <c r="O30" s="44"/>
      <c r="P30" s="48"/>
    </row>
    <row r="31" spans="1:18" x14ac:dyDescent="0.25">
      <c r="B31" s="32" t="s">
        <v>60</v>
      </c>
      <c r="C31" s="28">
        <v>-683.78652315099998</v>
      </c>
      <c r="D31" s="28">
        <v>8.6932999999999996E-2</v>
      </c>
      <c r="E31" s="28">
        <f t="shared" si="10"/>
        <v>-683.69959015099994</v>
      </c>
      <c r="F31" s="33">
        <f t="shared" si="9"/>
        <v>-429027.98796585889</v>
      </c>
      <c r="G31" s="37">
        <f t="shared" si="11"/>
        <v>0.30918773583834991</v>
      </c>
      <c r="H31" s="34">
        <f t="shared" si="0"/>
        <v>0.59321537962554316</v>
      </c>
      <c r="I31" s="35">
        <f t="shared" si="12"/>
        <v>0.10111370886062547</v>
      </c>
      <c r="L31" s="33">
        <f t="shared" si="7"/>
        <v>0.35425695597507101</v>
      </c>
      <c r="M31" s="33"/>
      <c r="N31" s="44">
        <f t="shared" si="8"/>
        <v>0.51620033282566125</v>
      </c>
      <c r="O31" s="44"/>
      <c r="P31" s="60"/>
    </row>
    <row r="32" spans="1:18" x14ac:dyDescent="0.25">
      <c r="B32" s="32" t="s">
        <v>61</v>
      </c>
      <c r="C32" s="28">
        <v>-683.78651640299995</v>
      </c>
      <c r="D32" s="28">
        <v>8.6814000000000002E-2</v>
      </c>
      <c r="E32" s="28">
        <f t="shared" si="10"/>
        <v>-683.69970240299995</v>
      </c>
      <c r="F32" s="33">
        <f t="shared" si="9"/>
        <v>-429028.05840505532</v>
      </c>
      <c r="G32" s="37">
        <f t="shared" si="11"/>
        <v>0.23874853941379115</v>
      </c>
      <c r="H32" s="34">
        <f t="shared" si="0"/>
        <v>0.66815802144740477</v>
      </c>
      <c r="I32" s="35">
        <f t="shared" si="12"/>
        <v>0.11388770078107291</v>
      </c>
      <c r="L32" s="33">
        <f t="shared" si="7"/>
        <v>0.36791592604538614</v>
      </c>
      <c r="M32" s="33"/>
      <c r="N32" s="44">
        <f t="shared" si="8"/>
        <v>0.51620033282566136</v>
      </c>
      <c r="O32" s="44"/>
      <c r="P32" s="60"/>
    </row>
    <row r="33" spans="1:17" x14ac:dyDescent="0.25">
      <c r="B33" s="32" t="s">
        <v>62</v>
      </c>
      <c r="C33" s="28">
        <v>-683.785124247</v>
      </c>
      <c r="D33" s="28">
        <v>8.4776000000000004E-2</v>
      </c>
      <c r="E33" s="28">
        <f t="shared" si="10"/>
        <v>-683.70034824699997</v>
      </c>
      <c r="F33" s="33">
        <f t="shared" si="9"/>
        <v>-429028.46367830085</v>
      </c>
      <c r="G33" s="37">
        <f t="shared" si="11"/>
        <v>-0.16652470611734316</v>
      </c>
      <c r="H33" s="34">
        <f t="shared" si="0"/>
        <v>1.3247837942470431</v>
      </c>
      <c r="I33" s="35">
        <f t="shared" si="12"/>
        <v>0.22580972691457574</v>
      </c>
      <c r="L33" s="33">
        <f t="shared" ref="L33:L42" si="13">-($F$27-F13)/$H$9-$I$9</f>
        <v>0.531128065632962</v>
      </c>
      <c r="M33" s="33"/>
      <c r="N33" s="44">
        <f t="shared" ref="N33:N42" si="14">L33-$D$9*$E$9/$H$9*LN(I$27/I13)</f>
        <v>0.51620033282566125</v>
      </c>
      <c r="O33" s="44"/>
      <c r="P33" s="60"/>
    </row>
    <row r="34" spans="1:17" x14ac:dyDescent="0.25">
      <c r="B34" s="32" t="s">
        <v>63</v>
      </c>
      <c r="C34" s="28">
        <v>-683.78512187299998</v>
      </c>
      <c r="D34" s="28">
        <v>8.5039000000000003E-2</v>
      </c>
      <c r="E34" s="28">
        <f t="shared" si="10"/>
        <v>-683.70008287299993</v>
      </c>
      <c r="F34" s="33">
        <f t="shared" si="9"/>
        <v>-429028.29715359473</v>
      </c>
      <c r="G34" s="37">
        <f t="shared" si="11"/>
        <v>0</v>
      </c>
      <c r="H34" s="34">
        <f t="shared" si="0"/>
        <v>1</v>
      </c>
      <c r="I34" s="35">
        <f t="shared" si="12"/>
        <v>0.17045024848218152</v>
      </c>
      <c r="L34" s="33">
        <f t="shared" si="13"/>
        <v>0.67666012301185141</v>
      </c>
      <c r="M34" s="33"/>
      <c r="N34" s="44">
        <f t="shared" si="14"/>
        <v>0.51620033282566102</v>
      </c>
      <c r="O34" s="44"/>
      <c r="P34" s="49"/>
    </row>
    <row r="35" spans="1:17" x14ac:dyDescent="0.25">
      <c r="A35" s="128"/>
      <c r="B35" s="137"/>
      <c r="C35" s="137"/>
      <c r="D35" s="137"/>
      <c r="E35" s="137"/>
      <c r="F35" s="137"/>
      <c r="G35" s="137"/>
      <c r="H35" s="137"/>
      <c r="I35" s="137"/>
      <c r="L35" s="33">
        <f t="shared" si="13"/>
        <v>0.5388787176555967</v>
      </c>
      <c r="M35" s="33"/>
      <c r="N35" s="44">
        <f t="shared" si="14"/>
        <v>0.51620033282566113</v>
      </c>
      <c r="O35" s="44"/>
      <c r="P35" s="49"/>
    </row>
    <row r="36" spans="1:17" x14ac:dyDescent="0.25">
      <c r="B36" s="36"/>
      <c r="L36" s="33">
        <f t="shared" si="13"/>
        <v>0.55501086815904532</v>
      </c>
      <c r="M36" s="33"/>
      <c r="N36" s="44">
        <f t="shared" si="14"/>
        <v>0.51620033282566091</v>
      </c>
      <c r="O36" s="44"/>
      <c r="P36" s="49"/>
    </row>
    <row r="37" spans="1:17" x14ac:dyDescent="0.25">
      <c r="B37" s="32"/>
      <c r="D37" s="38"/>
      <c r="G37" s="37"/>
      <c r="H37" s="34"/>
      <c r="I37" s="35"/>
      <c r="L37" s="33">
        <f t="shared" si="13"/>
        <v>0.51385422536128456</v>
      </c>
      <c r="M37" s="33"/>
      <c r="N37" s="44">
        <f t="shared" si="14"/>
        <v>0.51620033282566091</v>
      </c>
      <c r="O37" s="44"/>
      <c r="P37" s="20"/>
      <c r="Q37" s="42"/>
    </row>
    <row r="38" spans="1:17" x14ac:dyDescent="0.25">
      <c r="B38" s="152"/>
      <c r="C38" s="159" t="s">
        <v>33</v>
      </c>
      <c r="D38" s="153"/>
      <c r="E38" s="153"/>
      <c r="F38" s="153"/>
      <c r="G38" s="153"/>
      <c r="H38" s="153"/>
      <c r="I38" s="153"/>
      <c r="L38" s="33">
        <f t="shared" si="13"/>
        <v>0.60506382564706218</v>
      </c>
      <c r="M38" s="33"/>
      <c r="N38" s="44">
        <f t="shared" si="14"/>
        <v>0.51620033282566113</v>
      </c>
      <c r="O38" s="44"/>
      <c r="P38" s="20"/>
      <c r="Q38" s="42"/>
    </row>
    <row r="39" spans="1:17" x14ac:dyDescent="0.25">
      <c r="B39" s="154"/>
      <c r="C39" s="156" t="s">
        <v>64</v>
      </c>
      <c r="D39" s="155" t="s">
        <v>65</v>
      </c>
      <c r="E39" s="156"/>
      <c r="F39" s="137" t="s">
        <v>229</v>
      </c>
      <c r="G39" s="156"/>
      <c r="H39" s="157" t="s">
        <v>19</v>
      </c>
      <c r="I39" s="158" t="s">
        <v>20</v>
      </c>
      <c r="L39" s="33">
        <f t="shared" si="13"/>
        <v>0.58974415901258315</v>
      </c>
      <c r="M39" s="33"/>
      <c r="N39" s="44">
        <f t="shared" si="14"/>
        <v>0.51620033282566091</v>
      </c>
      <c r="O39" s="44"/>
      <c r="P39" s="20"/>
      <c r="Q39" s="42"/>
    </row>
    <row r="40" spans="1:17" ht="15" customHeight="1" x14ac:dyDescent="0.25">
      <c r="B40" s="124" t="s">
        <v>155</v>
      </c>
      <c r="C40" s="38">
        <v>-682.87896999999998</v>
      </c>
      <c r="D40" s="38">
        <f t="shared" ref="D40:D41" si="15">C40*$C$9</f>
        <v>-428513.041025215</v>
      </c>
      <c r="F40" s="29" t="s">
        <v>166</v>
      </c>
      <c r="G40" s="124"/>
      <c r="H40" s="33">
        <f>-(D40-D41)/$H$9-$I$9</f>
        <v>0.28677537864543812</v>
      </c>
      <c r="I40" s="34"/>
      <c r="L40" s="33">
        <f t="shared" si="13"/>
        <v>0.57390616587644594</v>
      </c>
      <c r="M40" s="33"/>
      <c r="N40" s="44">
        <f t="shared" si="14"/>
        <v>0.51620033282566125</v>
      </c>
      <c r="O40" s="44"/>
      <c r="P40" s="61"/>
      <c r="Q40" s="42"/>
    </row>
    <row r="41" spans="1:17" ht="15" customHeight="1" x14ac:dyDescent="0.25">
      <c r="B41" s="73" t="s">
        <v>21</v>
      </c>
      <c r="C41" s="28">
        <v>-682.70972700000004</v>
      </c>
      <c r="D41" s="38">
        <f t="shared" si="15"/>
        <v>-428406.83943490655</v>
      </c>
      <c r="F41" s="29"/>
      <c r="H41" s="33"/>
      <c r="L41" s="33">
        <f t="shared" si="13"/>
        <v>0.49596330769015839</v>
      </c>
      <c r="M41" s="33"/>
      <c r="N41" s="44">
        <f t="shared" si="14"/>
        <v>0.51620033282566136</v>
      </c>
      <c r="O41" s="44"/>
      <c r="P41" s="61"/>
      <c r="Q41" s="42"/>
    </row>
    <row r="42" spans="1:17" ht="15" customHeight="1" x14ac:dyDescent="0.35">
      <c r="B42" s="183"/>
      <c r="C42" s="156" t="s">
        <v>156</v>
      </c>
      <c r="D42" s="156"/>
      <c r="E42" s="156"/>
      <c r="F42" s="156" t="s">
        <v>229</v>
      </c>
      <c r="G42" s="156"/>
      <c r="H42" s="157" t="s">
        <v>19</v>
      </c>
      <c r="I42" s="157" t="s">
        <v>232</v>
      </c>
      <c r="L42" s="33">
        <f t="shared" si="13"/>
        <v>0.50962227776047264</v>
      </c>
      <c r="M42" s="33"/>
      <c r="N42" s="44">
        <f t="shared" si="14"/>
        <v>0.51620033282566069</v>
      </c>
      <c r="O42" s="44"/>
      <c r="P42" s="61"/>
      <c r="Q42" s="42"/>
    </row>
    <row r="43" spans="1:17" ht="15" customHeight="1" x14ac:dyDescent="0.35">
      <c r="B43" s="117" t="s">
        <v>153</v>
      </c>
      <c r="C43" s="78">
        <v>-835.59641199999999</v>
      </c>
      <c r="D43" s="149">
        <f t="shared" ref="D43:D45" si="16">C43*$C$9</f>
        <v>-524344.68669591402</v>
      </c>
      <c r="F43" s="29" t="s">
        <v>166</v>
      </c>
      <c r="G43" s="37"/>
      <c r="H43" s="33">
        <f>-(D$43-D44)/$H$9-$I$9</f>
        <v>0.32786489043862499</v>
      </c>
      <c r="I43" s="53"/>
      <c r="L43" s="33">
        <f t="shared" ref="L43:L52" si="17">-($F$28-F13)/$H$9-$I$9</f>
        <v>0.48626172020735492</v>
      </c>
      <c r="M43" s="33"/>
      <c r="N43" s="44">
        <f t="shared" ref="N43:N52" si="18">L43-$D$9*$E$9/$H$9*LN(I$28/I13)</f>
        <v>0.51620033282566058</v>
      </c>
      <c r="O43" s="44"/>
      <c r="P43" s="46"/>
      <c r="Q43" s="42"/>
    </row>
    <row r="44" spans="1:17" ht="15" customHeight="1" x14ac:dyDescent="0.35">
      <c r="B44" s="94" t="s">
        <v>167</v>
      </c>
      <c r="C44" s="78">
        <v>-835.425659</v>
      </c>
      <c r="D44" s="150">
        <f t="shared" si="16"/>
        <v>-524237.53756626049</v>
      </c>
      <c r="F44" s="29" t="s">
        <v>173</v>
      </c>
      <c r="G44" s="37"/>
      <c r="H44" s="33">
        <f t="shared" ref="H44:H46" si="19">-(D$43-D45)/$H$9-$I$9</f>
        <v>-3.8403208036807968E-2</v>
      </c>
      <c r="I44" s="53"/>
      <c r="J44" s="3"/>
      <c r="L44" s="33">
        <f t="shared" si="17"/>
        <v>0.63179377758624522</v>
      </c>
      <c r="M44" s="33"/>
      <c r="N44" s="44">
        <f t="shared" si="18"/>
        <v>0.51620033282566125</v>
      </c>
      <c r="O44" s="44"/>
      <c r="P44" s="47"/>
      <c r="Q44" s="21"/>
    </row>
    <row r="45" spans="1:17" ht="15" customHeight="1" x14ac:dyDescent="0.35">
      <c r="B45" s="94" t="s">
        <v>171</v>
      </c>
      <c r="C45" s="78">
        <v>-835.43911900000001</v>
      </c>
      <c r="D45" s="150">
        <f t="shared" si="16"/>
        <v>-524245.98384413053</v>
      </c>
      <c r="F45" s="29" t="s">
        <v>174</v>
      </c>
      <c r="G45" s="37"/>
      <c r="H45" s="33">
        <f t="shared" si="19"/>
        <v>-0.36807170825882585</v>
      </c>
      <c r="I45" s="53"/>
      <c r="J45" s="3"/>
      <c r="L45" s="33">
        <f t="shared" si="17"/>
        <v>0.4940123722299905</v>
      </c>
      <c r="N45" s="44">
        <f t="shared" si="18"/>
        <v>0.51620033282566136</v>
      </c>
      <c r="O45" s="44"/>
      <c r="P45" s="47"/>
      <c r="Q45" s="21"/>
    </row>
    <row r="46" spans="1:17" ht="15" customHeight="1" x14ac:dyDescent="0.35">
      <c r="B46" s="94" t="s">
        <v>172</v>
      </c>
      <c r="C46" s="78">
        <v>-835.451234</v>
      </c>
      <c r="D46" s="151">
        <f>C46*$C$9</f>
        <v>-524253.586121723</v>
      </c>
      <c r="E46" s="3"/>
      <c r="F46" s="29" t="s">
        <v>175</v>
      </c>
      <c r="G46" s="3"/>
      <c r="H46" s="33">
        <f t="shared" si="19"/>
        <v>-0.14164400785718012</v>
      </c>
      <c r="I46" s="52"/>
      <c r="L46" s="33">
        <f t="shared" si="17"/>
        <v>0.51014452273343913</v>
      </c>
      <c r="N46" s="44">
        <f t="shared" si="18"/>
        <v>0.51620033282566113</v>
      </c>
      <c r="O46" s="44"/>
      <c r="P46" s="47"/>
      <c r="Q46" s="21"/>
    </row>
    <row r="47" spans="1:17" ht="15" customHeight="1" x14ac:dyDescent="0.35">
      <c r="B47" s="94" t="s">
        <v>170</v>
      </c>
      <c r="C47" s="78">
        <v>-835.44291299999998</v>
      </c>
      <c r="D47" s="151">
        <f>C47*$C$9</f>
        <v>-524248.36461517349</v>
      </c>
      <c r="L47" s="33">
        <f t="shared" si="17"/>
        <v>0.46898787993567836</v>
      </c>
      <c r="N47" s="44">
        <f t="shared" si="18"/>
        <v>0.51620033282566113</v>
      </c>
      <c r="O47" s="44"/>
      <c r="P47" s="47"/>
      <c r="Q47" s="21"/>
    </row>
    <row r="48" spans="1:17" x14ac:dyDescent="0.25">
      <c r="B48" s="154" t="s">
        <v>230</v>
      </c>
      <c r="C48" s="156"/>
      <c r="D48" s="155"/>
      <c r="E48" s="156"/>
      <c r="F48" s="156" t="s">
        <v>229</v>
      </c>
      <c r="G48" s="155"/>
      <c r="H48" s="184" t="s">
        <v>84</v>
      </c>
      <c r="I48" s="185"/>
      <c r="L48" s="33">
        <f t="shared" si="17"/>
        <v>0.56019748022145599</v>
      </c>
      <c r="N48" s="44">
        <f t="shared" si="18"/>
        <v>0.51620033282566136</v>
      </c>
      <c r="O48" s="44"/>
      <c r="P48" s="47"/>
      <c r="Q48" s="21"/>
    </row>
    <row r="49" spans="2:17" ht="16.5" x14ac:dyDescent="0.25">
      <c r="B49" s="117" t="s">
        <v>176</v>
      </c>
      <c r="C49" s="162">
        <v>-420.29161599999998</v>
      </c>
      <c r="D49" s="3">
        <f>C49*$C$9</f>
        <v>-263736.98181035201</v>
      </c>
      <c r="F49" s="29" t="s">
        <v>177</v>
      </c>
      <c r="G49" s="3"/>
      <c r="H49" s="16">
        <f>-(D49-D50)/$H$9-$I$9</f>
        <v>-5.557372587556042E-2</v>
      </c>
      <c r="I49" s="54"/>
      <c r="J49" s="3"/>
      <c r="L49" s="33">
        <f t="shared" si="17"/>
        <v>0.54487781358697696</v>
      </c>
      <c r="N49" s="44">
        <f t="shared" si="18"/>
        <v>0.51620033282566113</v>
      </c>
      <c r="O49" s="44"/>
      <c r="P49" s="47"/>
      <c r="Q49" s="21"/>
    </row>
    <row r="50" spans="2:17" x14ac:dyDescent="0.25">
      <c r="B50" s="117" t="s">
        <v>83</v>
      </c>
      <c r="C50" s="162">
        <v>-420.13495399999999</v>
      </c>
      <c r="D50" s="3">
        <f>C50*$C$9</f>
        <v>-263638.67491706298</v>
      </c>
      <c r="G50" s="3"/>
      <c r="H50" s="4"/>
      <c r="I50" s="54"/>
      <c r="J50" s="3"/>
      <c r="L50" s="33">
        <f t="shared" si="17"/>
        <v>0.52903982045083886</v>
      </c>
      <c r="N50" s="44">
        <f t="shared" si="18"/>
        <v>0.51620033282566058</v>
      </c>
      <c r="O50" s="44"/>
      <c r="P50" s="47"/>
      <c r="Q50" s="21"/>
    </row>
    <row r="51" spans="2:17" x14ac:dyDescent="0.25">
      <c r="L51" s="33">
        <f t="shared" si="17"/>
        <v>0.45109696226455132</v>
      </c>
      <c r="N51" s="44">
        <f t="shared" si="18"/>
        <v>0.51620033282566069</v>
      </c>
      <c r="O51" s="44"/>
      <c r="P51" s="47"/>
      <c r="Q51" s="21"/>
    </row>
    <row r="52" spans="2:17" x14ac:dyDescent="0.25">
      <c r="B52" s="5"/>
      <c r="C52" s="29"/>
      <c r="D52" s="5"/>
      <c r="E52" s="5"/>
      <c r="F52" s="5"/>
      <c r="G52" s="5"/>
      <c r="H52" s="5"/>
      <c r="I52" s="5"/>
      <c r="J52" s="5"/>
      <c r="K52" s="5"/>
      <c r="L52" s="33">
        <f t="shared" si="17"/>
        <v>0.46475593233486645</v>
      </c>
      <c r="N52" s="44">
        <f t="shared" si="18"/>
        <v>0.51620033282566091</v>
      </c>
      <c r="O52" s="44"/>
      <c r="P52" s="48"/>
      <c r="Q52" s="40"/>
    </row>
    <row r="53" spans="2:17" x14ac:dyDescent="0.25">
      <c r="B53" s="5"/>
      <c r="C53" s="29"/>
      <c r="D53" s="5"/>
      <c r="E53" s="5"/>
      <c r="F53" s="3"/>
      <c r="G53" s="5"/>
      <c r="H53" s="5"/>
      <c r="I53" s="15"/>
      <c r="J53" s="5"/>
      <c r="K53" s="5"/>
      <c r="L53" s="33"/>
      <c r="N53" s="44"/>
      <c r="O53" s="44"/>
      <c r="P53" s="48"/>
      <c r="Q53" s="40"/>
    </row>
    <row r="54" spans="2:17" s="3" customFormat="1" x14ac:dyDescent="0.25">
      <c r="B54" s="5"/>
      <c r="C54" s="29"/>
      <c r="D54" s="5"/>
      <c r="E54" s="5"/>
      <c r="G54" s="5"/>
      <c r="H54" s="5"/>
      <c r="I54" s="15"/>
      <c r="J54" s="5"/>
      <c r="K54" s="5"/>
      <c r="L54" s="33"/>
      <c r="M54" s="28"/>
      <c r="N54" s="44"/>
      <c r="O54" s="44"/>
      <c r="P54" s="48"/>
      <c r="Q54" s="40"/>
    </row>
    <row r="55" spans="2:17" x14ac:dyDescent="0.25">
      <c r="B55" s="7"/>
      <c r="C55" s="38"/>
      <c r="D55" s="11"/>
      <c r="E55" s="11"/>
      <c r="F55" s="3"/>
      <c r="G55" s="4"/>
      <c r="J55" s="28"/>
      <c r="K55" s="27"/>
      <c r="L55" s="38"/>
      <c r="N55" s="44"/>
      <c r="O55" s="44"/>
      <c r="P55" s="48"/>
      <c r="Q55" s="40"/>
    </row>
    <row r="56" spans="2:17" x14ac:dyDescent="0.25">
      <c r="B56" s="32"/>
      <c r="D56" s="3"/>
      <c r="E56" s="38"/>
      <c r="F56" s="74"/>
      <c r="G56" s="4"/>
      <c r="I56" s="33"/>
      <c r="J56" s="28"/>
      <c r="K56" s="27"/>
      <c r="L56" s="162"/>
      <c r="N56" s="44"/>
      <c r="O56" s="44"/>
      <c r="P56" s="48"/>
      <c r="Q56" s="40"/>
    </row>
    <row r="57" spans="2:17" x14ac:dyDescent="0.25">
      <c r="B57" s="7"/>
      <c r="D57" s="11"/>
      <c r="E57" s="38"/>
      <c r="F57" s="74"/>
      <c r="G57" s="4"/>
      <c r="I57" s="33"/>
      <c r="J57" s="28"/>
      <c r="K57" s="27"/>
      <c r="L57" s="162"/>
      <c r="N57" s="44"/>
      <c r="O57" s="44"/>
      <c r="P57" s="48"/>
      <c r="Q57" s="40"/>
    </row>
    <row r="58" spans="2:17" s="3" customFormat="1" x14ac:dyDescent="0.25">
      <c r="B58" s="32"/>
      <c r="C58" s="28"/>
      <c r="D58" s="27"/>
      <c r="E58" s="57"/>
      <c r="F58" s="74"/>
      <c r="G58" s="4"/>
      <c r="H58" s="28"/>
      <c r="I58" s="33"/>
      <c r="J58" s="28"/>
      <c r="K58" s="27"/>
      <c r="L58" s="162"/>
      <c r="M58" s="28"/>
      <c r="N58" s="44"/>
      <c r="O58" s="44"/>
      <c r="P58" s="48"/>
      <c r="Q58" s="40"/>
    </row>
    <row r="59" spans="2:17" x14ac:dyDescent="0.25">
      <c r="B59" s="32"/>
      <c r="E59" s="57"/>
      <c r="F59" s="74"/>
      <c r="G59" s="4"/>
      <c r="I59" s="33"/>
      <c r="J59" s="28"/>
      <c r="K59" s="27"/>
      <c r="L59" s="162"/>
      <c r="N59" s="44"/>
      <c r="O59" s="44"/>
      <c r="P59" s="48"/>
      <c r="Q59" s="40"/>
    </row>
    <row r="60" spans="2:17" x14ac:dyDescent="0.25">
      <c r="B60" s="32"/>
      <c r="D60" s="75"/>
      <c r="E60" s="57"/>
      <c r="F60" s="74"/>
      <c r="G60" s="4"/>
      <c r="H60" s="3"/>
      <c r="I60" s="33"/>
      <c r="J60" s="37"/>
      <c r="K60" s="27"/>
      <c r="N60" s="44"/>
      <c r="O60" s="44"/>
      <c r="P60" s="48"/>
      <c r="Q60" s="40"/>
    </row>
    <row r="61" spans="2:17" s="3" customFormat="1" x14ac:dyDescent="0.25">
      <c r="B61" s="32"/>
      <c r="C61" s="28"/>
      <c r="D61" s="75"/>
      <c r="E61" s="57"/>
      <c r="F61" s="74"/>
      <c r="G61" s="28"/>
      <c r="H61" s="28"/>
      <c r="I61" s="33"/>
      <c r="J61" s="28"/>
      <c r="K61" s="27"/>
      <c r="L61" s="28"/>
      <c r="M61" s="28"/>
      <c r="N61" s="44"/>
      <c r="O61" s="44"/>
      <c r="P61" s="48"/>
      <c r="Q61" s="40"/>
    </row>
    <row r="62" spans="2:17" x14ac:dyDescent="0.25">
      <c r="B62" s="32"/>
      <c r="D62" s="3"/>
      <c r="E62" s="3"/>
      <c r="I62" s="33"/>
      <c r="J62" s="28"/>
      <c r="K62" s="27"/>
      <c r="L62" s="33"/>
      <c r="N62" s="44"/>
      <c r="O62" s="44"/>
      <c r="P62" s="48"/>
      <c r="Q62" s="40"/>
    </row>
    <row r="63" spans="2:17" x14ac:dyDescent="0.25">
      <c r="B63" s="32"/>
      <c r="D63" s="3"/>
      <c r="E63" s="3"/>
      <c r="F63" s="74"/>
      <c r="I63" s="33"/>
      <c r="J63" s="28"/>
      <c r="K63" s="27"/>
      <c r="L63" s="33"/>
      <c r="N63" s="44"/>
      <c r="O63" s="44"/>
      <c r="P63" s="49"/>
      <c r="Q63" s="41"/>
    </row>
    <row r="64" spans="2:17" x14ac:dyDescent="0.25">
      <c r="B64" s="32"/>
      <c r="D64" s="3"/>
      <c r="E64" s="3"/>
      <c r="F64" s="74"/>
      <c r="I64" s="33"/>
      <c r="J64" s="28"/>
      <c r="N64" s="44"/>
      <c r="O64" s="44"/>
      <c r="P64" s="49"/>
      <c r="Q64" s="41"/>
    </row>
    <row r="65" spans="2:17" x14ac:dyDescent="0.25">
      <c r="B65" s="32"/>
      <c r="E65" s="3"/>
      <c r="F65" s="74"/>
      <c r="I65" s="33"/>
      <c r="J65" s="28"/>
      <c r="N65" s="44"/>
      <c r="O65" s="44"/>
      <c r="P65" s="49"/>
      <c r="Q65" s="41"/>
    </row>
    <row r="66" spans="2:17" x14ac:dyDescent="0.25">
      <c r="B66" s="32"/>
      <c r="E66" s="3"/>
      <c r="J66" s="33"/>
      <c r="K66" s="27"/>
      <c r="N66" s="44"/>
      <c r="O66" s="44"/>
      <c r="P66" s="49"/>
      <c r="Q66" s="41"/>
    </row>
    <row r="67" spans="2:17" x14ac:dyDescent="0.25">
      <c r="B67" s="32"/>
      <c r="E67" s="3"/>
      <c r="F67" s="74"/>
      <c r="I67" s="37"/>
      <c r="J67" s="37"/>
      <c r="N67" s="44"/>
      <c r="O67" s="44"/>
      <c r="P67" s="49"/>
      <c r="Q67" s="41"/>
    </row>
    <row r="68" spans="2:17" x14ac:dyDescent="0.25">
      <c r="B68" s="32"/>
      <c r="E68" s="3"/>
      <c r="F68" s="74"/>
      <c r="I68" s="37"/>
      <c r="J68" s="37"/>
      <c r="K68" s="28"/>
      <c r="N68" s="44"/>
      <c r="O68" s="44"/>
      <c r="P68" s="49"/>
      <c r="Q68" s="41"/>
    </row>
    <row r="69" spans="2:17" x14ac:dyDescent="0.25">
      <c r="B69" s="32"/>
      <c r="E69" s="3"/>
      <c r="F69" s="74"/>
      <c r="I69" s="37"/>
      <c r="J69" s="37"/>
      <c r="N69" s="44"/>
      <c r="O69" s="44"/>
      <c r="P69" s="49"/>
      <c r="Q69" s="41"/>
    </row>
    <row r="70" spans="2:17" x14ac:dyDescent="0.25">
      <c r="B70" s="32"/>
      <c r="E70" s="3"/>
      <c r="F70" s="74"/>
      <c r="G70" s="1"/>
      <c r="H70" s="1"/>
      <c r="I70" s="37"/>
      <c r="J70" s="76"/>
      <c r="K70" s="3"/>
      <c r="N70" s="44"/>
      <c r="O70" s="44"/>
      <c r="P70" s="49"/>
      <c r="Q70" s="41"/>
    </row>
    <row r="71" spans="2:17" x14ac:dyDescent="0.25">
      <c r="B71" s="79"/>
      <c r="D71" s="80"/>
      <c r="E71" s="27"/>
      <c r="F71" s="74"/>
      <c r="G71" s="33"/>
      <c r="H71" s="33"/>
      <c r="I71" s="37"/>
      <c r="J71" s="35"/>
      <c r="K71" s="3"/>
      <c r="N71" s="44"/>
      <c r="O71" s="44"/>
      <c r="P71" s="19"/>
      <c r="Q71" s="39"/>
    </row>
    <row r="72" spans="2:17" x14ac:dyDescent="0.25">
      <c r="B72" s="79"/>
      <c r="D72" s="81"/>
      <c r="F72" s="33"/>
      <c r="G72" s="33"/>
      <c r="H72" s="34"/>
      <c r="I72" s="35"/>
      <c r="J72" s="3"/>
      <c r="L72" s="33"/>
      <c r="N72" s="44"/>
      <c r="O72" s="44"/>
      <c r="P72" s="19"/>
      <c r="Q72" s="39"/>
    </row>
    <row r="73" spans="2:17" x14ac:dyDescent="0.25">
      <c r="B73" s="27"/>
      <c r="C73" s="162"/>
      <c r="D73" s="78"/>
      <c r="F73" s="33"/>
      <c r="G73" s="33"/>
      <c r="H73" s="34"/>
      <c r="I73" s="35"/>
      <c r="J73" s="3"/>
      <c r="L73" s="33"/>
      <c r="N73" s="44"/>
      <c r="O73" s="44"/>
      <c r="P73" s="19"/>
      <c r="Q73" s="39"/>
    </row>
    <row r="74" spans="2:17" x14ac:dyDescent="0.25">
      <c r="B74" s="27"/>
      <c r="C74" s="162"/>
      <c r="D74" s="78"/>
      <c r="F74" s="33"/>
      <c r="G74" s="33"/>
      <c r="H74" s="34"/>
      <c r="I74" s="77"/>
      <c r="J74" s="3"/>
      <c r="L74" s="33"/>
      <c r="N74" s="44"/>
      <c r="O74" s="44"/>
      <c r="P74" s="19"/>
      <c r="Q74" s="39"/>
    </row>
    <row r="75" spans="2:17" x14ac:dyDescent="0.25">
      <c r="B75" s="27"/>
      <c r="C75" s="162"/>
      <c r="D75" s="78"/>
      <c r="F75" s="33"/>
      <c r="G75" s="33"/>
      <c r="H75" s="34"/>
      <c r="I75" s="77"/>
      <c r="L75" s="33"/>
      <c r="N75" s="44"/>
      <c r="O75" s="44"/>
      <c r="P75" s="19"/>
      <c r="Q75" s="39"/>
    </row>
    <row r="76" spans="2:17" x14ac:dyDescent="0.25">
      <c r="B76" s="27"/>
      <c r="C76" s="162"/>
      <c r="D76" s="78"/>
      <c r="F76" s="33"/>
      <c r="G76" s="33"/>
      <c r="H76" s="34"/>
      <c r="I76" s="35"/>
      <c r="J76" s="3"/>
      <c r="L76" s="33"/>
      <c r="N76" s="44"/>
      <c r="O76" s="44"/>
      <c r="P76" s="19"/>
      <c r="Q76" s="39"/>
    </row>
    <row r="77" spans="2:17" x14ac:dyDescent="0.25">
      <c r="B77" s="32"/>
      <c r="F77" s="33"/>
      <c r="G77" s="33"/>
      <c r="H77" s="34"/>
      <c r="I77" s="35"/>
      <c r="L77" s="33"/>
      <c r="N77" s="44"/>
      <c r="O77" s="44"/>
      <c r="P77" s="19"/>
      <c r="Q77" s="39"/>
    </row>
    <row r="78" spans="2:17" x14ac:dyDescent="0.25">
      <c r="L78" s="33"/>
      <c r="N78" s="44"/>
      <c r="P78" s="19"/>
      <c r="Q78" s="39"/>
    </row>
    <row r="79" spans="2:17" x14ac:dyDescent="0.25">
      <c r="L79" s="33"/>
    </row>
    <row r="84" spans="2:16" x14ac:dyDescent="0.25">
      <c r="B84" s="36"/>
      <c r="E84" s="3"/>
    </row>
    <row r="86" spans="2:16" x14ac:dyDescent="0.25">
      <c r="B86" s="32"/>
      <c r="G86" s="37"/>
      <c r="H86" s="34"/>
      <c r="I86" s="35"/>
    </row>
    <row r="87" spans="2:16" x14ac:dyDescent="0.25">
      <c r="B87" s="32"/>
      <c r="G87" s="37"/>
      <c r="H87" s="34"/>
      <c r="I87" s="35"/>
    </row>
    <row r="89" spans="2:16" x14ac:dyDescent="0.25">
      <c r="B89" s="2"/>
      <c r="D89" s="11"/>
      <c r="E89" s="3"/>
      <c r="F89" s="3"/>
    </row>
    <row r="90" spans="2:16" x14ac:dyDescent="0.25">
      <c r="B90" s="32"/>
      <c r="G90" s="37"/>
      <c r="H90" s="34"/>
      <c r="I90" s="35"/>
      <c r="N90" s="28"/>
      <c r="O90" s="28"/>
      <c r="P90"/>
    </row>
    <row r="91" spans="2:16" x14ac:dyDescent="0.25">
      <c r="B91" s="32"/>
      <c r="G91" s="37"/>
      <c r="H91" s="34"/>
      <c r="I91" s="35"/>
      <c r="N91" s="28"/>
      <c r="O91" s="28"/>
      <c r="P91"/>
    </row>
    <row r="92" spans="2:16" x14ac:dyDescent="0.25">
      <c r="B92" s="32"/>
      <c r="G92" s="37"/>
      <c r="H92" s="34"/>
      <c r="I92" s="35"/>
      <c r="N92" s="28"/>
      <c r="O92" s="28"/>
      <c r="P92"/>
    </row>
    <row r="93" spans="2:16" x14ac:dyDescent="0.25">
      <c r="B93" s="32"/>
      <c r="G93" s="37"/>
      <c r="H93" s="34"/>
      <c r="I93" s="35"/>
      <c r="N93" s="28"/>
      <c r="O93" s="28"/>
      <c r="P93"/>
    </row>
    <row r="94" spans="2:16" x14ac:dyDescent="0.25">
      <c r="B94" s="32"/>
      <c r="G94" s="37"/>
      <c r="H94" s="34"/>
      <c r="I94" s="35"/>
      <c r="N94" s="28"/>
      <c r="O94" s="28"/>
      <c r="P94"/>
    </row>
    <row r="95" spans="2:16" x14ac:dyDescent="0.25">
      <c r="B95" s="32"/>
      <c r="G95" s="37"/>
      <c r="H95" s="34"/>
      <c r="I95" s="35"/>
      <c r="N95" s="28"/>
      <c r="O95" s="28"/>
      <c r="P95"/>
    </row>
    <row r="96" spans="2:16" x14ac:dyDescent="0.25">
      <c r="B96" s="32"/>
      <c r="G96" s="37"/>
      <c r="H96" s="34"/>
      <c r="I96" s="35"/>
      <c r="N96" s="28"/>
      <c r="O96" s="28"/>
      <c r="P96"/>
    </row>
    <row r="97" spans="2:16" x14ac:dyDescent="0.25">
      <c r="B97" s="32"/>
      <c r="G97" s="37"/>
      <c r="H97" s="34"/>
      <c r="I97" s="35"/>
      <c r="N97" s="28"/>
      <c r="O97" s="28"/>
      <c r="P97"/>
    </row>
    <row r="99" spans="2:16" x14ac:dyDescent="0.25">
      <c r="B99" s="2"/>
      <c r="D99" s="3"/>
      <c r="E99" s="3"/>
      <c r="F99" s="3"/>
      <c r="G99" s="3"/>
      <c r="H99" s="8"/>
      <c r="I99" s="9"/>
      <c r="N99" s="28"/>
      <c r="O99" s="28"/>
      <c r="P99"/>
    </row>
    <row r="100" spans="2:16" x14ac:dyDescent="0.25">
      <c r="B100" s="7"/>
      <c r="D100" s="11"/>
      <c r="E100" s="3"/>
      <c r="F100" s="3"/>
      <c r="G100" s="4"/>
      <c r="H100" s="8"/>
      <c r="I100" s="9"/>
      <c r="N100" s="28"/>
      <c r="O100" s="28"/>
      <c r="P100"/>
    </row>
    <row r="101" spans="2:16" x14ac:dyDescent="0.25">
      <c r="B101" s="7"/>
      <c r="D101" s="11"/>
      <c r="E101" s="3"/>
      <c r="F101" s="3"/>
      <c r="G101" s="4"/>
      <c r="H101" s="8"/>
      <c r="I101" s="9"/>
      <c r="N101" s="28"/>
      <c r="O101" s="28"/>
      <c r="P101"/>
    </row>
    <row r="102" spans="2:16" x14ac:dyDescent="0.25">
      <c r="B102" s="7"/>
      <c r="D102" s="11"/>
      <c r="E102" s="3"/>
      <c r="F102" s="3"/>
      <c r="G102" s="4"/>
      <c r="H102" s="8"/>
      <c r="I102" s="9"/>
      <c r="N102" s="28"/>
      <c r="O102" s="28"/>
      <c r="P102"/>
    </row>
    <row r="103" spans="2:16" x14ac:dyDescent="0.25">
      <c r="B103" s="7"/>
      <c r="D103" s="11"/>
      <c r="E103" s="3"/>
      <c r="F103" s="3"/>
      <c r="G103" s="4"/>
      <c r="H103" s="8"/>
      <c r="I103" s="9"/>
      <c r="N103" s="28"/>
      <c r="O103" s="28"/>
      <c r="P103"/>
    </row>
    <row r="104" spans="2:16" x14ac:dyDescent="0.25">
      <c r="B104" s="7"/>
      <c r="D104" s="11"/>
      <c r="E104" s="3"/>
      <c r="F104" s="3"/>
      <c r="G104" s="4"/>
      <c r="H104" s="8"/>
      <c r="I104" s="9"/>
      <c r="N104" s="28"/>
      <c r="O104" s="28"/>
      <c r="P104"/>
    </row>
    <row r="105" spans="2:16" x14ac:dyDescent="0.25">
      <c r="B105" s="7"/>
      <c r="D105" s="11"/>
      <c r="E105" s="3"/>
      <c r="F105" s="3"/>
      <c r="G105" s="4"/>
      <c r="H105" s="8"/>
      <c r="I105" s="9"/>
      <c r="N105" s="28"/>
      <c r="O105" s="28"/>
      <c r="P105"/>
    </row>
    <row r="106" spans="2:16" x14ac:dyDescent="0.25">
      <c r="B106" s="7"/>
      <c r="D106" s="11"/>
      <c r="E106" s="3"/>
      <c r="F106" s="3"/>
      <c r="G106" s="4"/>
      <c r="H106" s="8"/>
      <c r="I106" s="9"/>
      <c r="N106" s="28"/>
      <c r="O106" s="28"/>
      <c r="P106"/>
    </row>
    <row r="107" spans="2:16" x14ac:dyDescent="0.25">
      <c r="B107" s="7"/>
      <c r="D107" s="11"/>
      <c r="E107" s="3"/>
      <c r="F107" s="3"/>
      <c r="G107" s="4"/>
      <c r="H107" s="8"/>
      <c r="I107" s="9"/>
      <c r="N107" s="28"/>
      <c r="O107" s="28"/>
      <c r="P107"/>
    </row>
  </sheetData>
  <mergeCells count="5">
    <mergeCell ref="B2:I2"/>
    <mergeCell ref="B4:I4"/>
    <mergeCell ref="B5:I5"/>
    <mergeCell ref="B6:I6"/>
    <mergeCell ref="C11:I11"/>
  </mergeCells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zoomScale="90" zoomScaleNormal="90" workbookViewId="0">
      <pane ySplit="4" topLeftCell="A5" activePane="bottomLeft" state="frozen"/>
      <selection pane="bottomLeft" activeCell="B24" sqref="B24"/>
    </sheetView>
  </sheetViews>
  <sheetFormatPr defaultRowHeight="15" x14ac:dyDescent="0.25"/>
  <cols>
    <col min="1" max="1" width="2.7109375" style="3" customWidth="1"/>
    <col min="2" max="16" width="12.7109375" style="3" customWidth="1"/>
    <col min="17" max="16384" width="9.140625" style="3"/>
  </cols>
  <sheetData>
    <row r="1" spans="1:15" ht="15.75" x14ac:dyDescent="0.25">
      <c r="B1" s="186" t="s">
        <v>231</v>
      </c>
    </row>
    <row r="3" spans="1:15" x14ac:dyDescent="0.25">
      <c r="B3" s="13" t="s">
        <v>1</v>
      </c>
      <c r="C3" s="13" t="s">
        <v>2</v>
      </c>
      <c r="D3" s="13" t="s">
        <v>3</v>
      </c>
      <c r="E3" s="13" t="s">
        <v>4</v>
      </c>
      <c r="F3" s="13" t="s">
        <v>10</v>
      </c>
      <c r="G3" s="5" t="s">
        <v>6</v>
      </c>
      <c r="H3" s="5" t="s">
        <v>5</v>
      </c>
      <c r="I3" s="5" t="s">
        <v>11</v>
      </c>
      <c r="J3" s="5" t="s">
        <v>12</v>
      </c>
      <c r="K3" s="5" t="s">
        <v>13</v>
      </c>
    </row>
    <row r="4" spans="1:15" x14ac:dyDescent="0.25">
      <c r="B4" s="13"/>
      <c r="C4" s="13">
        <v>627.5095</v>
      </c>
      <c r="D4" s="13">
        <v>1.9858775000000002E-3</v>
      </c>
      <c r="E4" s="13">
        <v>298.14999999999998</v>
      </c>
      <c r="F4" s="11">
        <f>LN(10)*D4*E4</f>
        <v>1.3633361723368622</v>
      </c>
      <c r="G4" s="5">
        <f>-6.287-265.9+1.89</f>
        <v>-270.29699999999997</v>
      </c>
      <c r="H4" s="5">
        <v>23.060369999999999</v>
      </c>
      <c r="I4" s="15">
        <f>J4-K4/H4</f>
        <v>4.3185969683053651</v>
      </c>
      <c r="J4" s="5">
        <v>4.2809999999999997</v>
      </c>
      <c r="K4" s="5">
        <v>-0.86699999999999999</v>
      </c>
    </row>
    <row r="5" spans="1:15" x14ac:dyDescent="0.25">
      <c r="A5" s="13"/>
      <c r="B5" s="13"/>
      <c r="C5" s="13"/>
      <c r="D5" s="13"/>
      <c r="E5" s="11"/>
      <c r="F5" s="5"/>
      <c r="G5" s="5"/>
      <c r="H5" s="15"/>
      <c r="I5" s="5"/>
      <c r="J5" s="5"/>
      <c r="K5" s="5"/>
    </row>
    <row r="6" spans="1:15" x14ac:dyDescent="0.25">
      <c r="A6" s="2"/>
      <c r="B6" s="142"/>
      <c r="C6" s="159" t="s">
        <v>212</v>
      </c>
      <c r="D6" s="142"/>
      <c r="E6" s="142"/>
      <c r="F6" s="142"/>
      <c r="G6" s="142"/>
      <c r="H6" s="142"/>
      <c r="I6" s="133"/>
      <c r="J6" s="133"/>
      <c r="K6" s="133"/>
      <c r="L6" s="133"/>
      <c r="M6" s="133"/>
      <c r="N6" s="133"/>
      <c r="O6" s="133"/>
    </row>
    <row r="7" spans="1:15" ht="18" x14ac:dyDescent="0.35">
      <c r="A7" s="28"/>
      <c r="B7" s="156" t="s">
        <v>217</v>
      </c>
      <c r="C7" s="156" t="s">
        <v>86</v>
      </c>
      <c r="D7" s="156" t="s">
        <v>64</v>
      </c>
      <c r="E7" s="156" t="s">
        <v>223</v>
      </c>
      <c r="F7" s="156" t="s">
        <v>224</v>
      </c>
      <c r="G7" s="155"/>
      <c r="H7" s="113" t="s">
        <v>222</v>
      </c>
      <c r="I7" s="187" t="s">
        <v>64</v>
      </c>
      <c r="J7" s="113" t="s">
        <v>178</v>
      </c>
      <c r="K7" s="156"/>
      <c r="L7" s="156" t="s">
        <v>227</v>
      </c>
      <c r="M7" s="156" t="s">
        <v>224</v>
      </c>
      <c r="N7" s="156"/>
      <c r="O7" s="191" t="s">
        <v>241</v>
      </c>
    </row>
    <row r="8" spans="1:15" ht="15" customHeight="1" x14ac:dyDescent="0.35">
      <c r="B8" s="94" t="s">
        <v>213</v>
      </c>
      <c r="C8" s="164">
        <v>-836.32270600000004</v>
      </c>
      <c r="D8" s="164">
        <v>-836.38908700000002</v>
      </c>
      <c r="E8" s="33">
        <f>(C8-$C$8)*627.5095</f>
        <v>0</v>
      </c>
      <c r="F8" s="33">
        <f>(D8-$D$8)*627.5095</f>
        <v>0</v>
      </c>
      <c r="G8" s="128"/>
      <c r="H8" s="28"/>
      <c r="I8" s="28"/>
      <c r="J8" s="5"/>
      <c r="K8" s="179"/>
      <c r="L8" s="28"/>
      <c r="M8" s="28"/>
      <c r="N8" s="137"/>
    </row>
    <row r="9" spans="1:15" ht="15" customHeight="1" x14ac:dyDescent="0.35">
      <c r="B9" s="94" t="s">
        <v>216</v>
      </c>
      <c r="C9" s="164">
        <v>-836.32298000000003</v>
      </c>
      <c r="D9" s="28">
        <v>-836.38842399999999</v>
      </c>
      <c r="E9" s="33">
        <f>(C9-C8)*627.5095</f>
        <v>-0.17193760299393671</v>
      </c>
      <c r="F9" s="33">
        <f>(D9-$D$8)*627.5095</f>
        <v>0.41603879851969655</v>
      </c>
      <c r="G9" s="128"/>
      <c r="H9" s="28"/>
      <c r="I9" s="28"/>
      <c r="J9" s="5"/>
      <c r="K9" s="179"/>
      <c r="L9" s="28"/>
      <c r="M9" s="28"/>
      <c r="N9" s="137"/>
    </row>
    <row r="10" spans="1:15" ht="15" customHeight="1" x14ac:dyDescent="0.35">
      <c r="B10" s="94" t="s">
        <v>168</v>
      </c>
      <c r="C10" s="164">
        <v>-836.33748200000002</v>
      </c>
      <c r="D10" s="164">
        <v>-836.39823799999999</v>
      </c>
      <c r="E10" s="33">
        <f t="shared" ref="E10:E14" si="0">(C10-$C$8)*627.5095</f>
        <v>-9.2720803719896274</v>
      </c>
      <c r="F10" s="33">
        <f t="shared" ref="F10:F14" si="1">(D10-$D$8)*627.5095</f>
        <v>-5.7423394344839194</v>
      </c>
      <c r="G10" s="128"/>
      <c r="H10" s="94" t="s">
        <v>220</v>
      </c>
      <c r="I10" s="28">
        <v>-835.951596</v>
      </c>
      <c r="J10" s="37">
        <f>(I10*$C$4+$G$4-D10*$C$4)/$F$4</f>
        <v>7.316682635860376</v>
      </c>
      <c r="K10" s="137"/>
      <c r="L10" s="28" t="s">
        <v>225</v>
      </c>
      <c r="M10" s="37">
        <f>(D12-D10)*627.5095</f>
        <v>-2.9693749539937038</v>
      </c>
      <c r="N10" s="137"/>
      <c r="O10" s="25">
        <f>P21-M10</f>
        <v>-2.5154012935171508</v>
      </c>
    </row>
    <row r="11" spans="1:15" ht="15" customHeight="1" x14ac:dyDescent="0.35">
      <c r="B11" s="94" t="s">
        <v>215</v>
      </c>
      <c r="C11" s="164">
        <v>-836.32856100000004</v>
      </c>
      <c r="D11" s="28">
        <v>-836.38997600000005</v>
      </c>
      <c r="E11" s="33">
        <f>(C11-C$9)*627.5095</f>
        <v>-3.5021305195040773</v>
      </c>
      <c r="F11" s="33">
        <f>(D11-D$9)*627.5095</f>
        <v>-0.97389474403803711</v>
      </c>
      <c r="G11" s="128"/>
      <c r="H11" s="94" t="s">
        <v>219</v>
      </c>
      <c r="I11" s="28">
        <v>-835.93716199999994</v>
      </c>
      <c r="J11" s="37">
        <f>(I11*$C$4+$G$4-D11*$C$4)/$F$4</f>
        <v>10.157499679103427</v>
      </c>
      <c r="K11" s="137"/>
      <c r="L11" s="28" t="s">
        <v>226</v>
      </c>
      <c r="M11" s="37">
        <f>(I12-I10)*C4</f>
        <v>-1.9364943170332523</v>
      </c>
      <c r="N11" s="144"/>
      <c r="O11" s="25">
        <f>P22-M11</f>
        <v>-2.2449446989152526</v>
      </c>
    </row>
    <row r="12" spans="1:15" ht="15" customHeight="1" x14ac:dyDescent="0.35">
      <c r="B12" s="94" t="s">
        <v>169</v>
      </c>
      <c r="C12" s="164">
        <v>-836.34460999999999</v>
      </c>
      <c r="D12" s="3">
        <v>-836.40296999999998</v>
      </c>
      <c r="E12" s="33">
        <f t="shared" si="0"/>
        <v>-13.744968087968322</v>
      </c>
      <c r="F12" s="33">
        <f t="shared" si="1"/>
        <v>-8.711714388477624</v>
      </c>
      <c r="G12" s="128"/>
      <c r="H12" s="94" t="s">
        <v>218</v>
      </c>
      <c r="I12" s="164">
        <v>-835.95468200000005</v>
      </c>
      <c r="J12" s="37">
        <f>(I12*$C$4+$G$4-D12*$C$4)/$F$4</f>
        <v>8.0742952173628453</v>
      </c>
      <c r="K12" s="128"/>
      <c r="N12" s="128"/>
    </row>
    <row r="13" spans="1:15" ht="15" customHeight="1" x14ac:dyDescent="0.35">
      <c r="B13" s="94" t="s">
        <v>214</v>
      </c>
      <c r="C13" s="164">
        <v>-836.33501100000001</v>
      </c>
      <c r="D13" s="3">
        <v>-836.39797799999997</v>
      </c>
      <c r="E13" s="33">
        <f t="shared" si="0"/>
        <v>-7.7215043974807784</v>
      </c>
      <c r="F13" s="33">
        <f t="shared" si="1"/>
        <v>-5.5791869644678025</v>
      </c>
      <c r="G13" s="128"/>
      <c r="I13" s="28"/>
      <c r="J13" s="37"/>
      <c r="K13" s="128"/>
      <c r="N13" s="128"/>
    </row>
    <row r="14" spans="1:15" ht="16.5" x14ac:dyDescent="0.25">
      <c r="B14" s="28" t="s">
        <v>179</v>
      </c>
      <c r="C14" s="164">
        <v>-836.33446100000003</v>
      </c>
      <c r="D14" s="164">
        <v>-836.38973899999996</v>
      </c>
      <c r="E14" s="33">
        <f t="shared" si="0"/>
        <v>-7.3763741724960736</v>
      </c>
      <c r="F14" s="33">
        <f t="shared" si="1"/>
        <v>-0.40913619396578438</v>
      </c>
      <c r="G14" s="128"/>
      <c r="H14" s="94" t="s">
        <v>221</v>
      </c>
      <c r="I14" s="37">
        <v>-835.94056899999998</v>
      </c>
      <c r="J14" s="37">
        <f>(I14*$C$4+$G$4-D14*$C$4)/$F$4</f>
        <v>8.4802577306943068</v>
      </c>
      <c r="K14" s="128"/>
      <c r="N14" s="128"/>
    </row>
    <row r="15" spans="1:15" x14ac:dyDescent="0.25">
      <c r="A15" s="13"/>
      <c r="B15" s="133"/>
      <c r="C15" s="133"/>
      <c r="D15" s="180"/>
      <c r="E15" s="132"/>
      <c r="F15" s="181"/>
      <c r="G15" s="182"/>
      <c r="H15" s="181"/>
      <c r="I15" s="128"/>
      <c r="J15" s="128"/>
      <c r="K15" s="128"/>
      <c r="L15" s="128"/>
      <c r="M15" s="128"/>
      <c r="N15" s="128"/>
      <c r="O15" s="128"/>
    </row>
    <row r="16" spans="1:15" x14ac:dyDescent="0.25">
      <c r="A16" s="13"/>
      <c r="B16" s="13"/>
      <c r="C16" s="13"/>
      <c r="D16" s="165"/>
      <c r="E16" s="166"/>
      <c r="F16" s="15"/>
      <c r="G16" s="167"/>
      <c r="H16" s="15"/>
      <c r="I16" s="5"/>
      <c r="J16" s="5"/>
      <c r="K16" s="5"/>
    </row>
    <row r="17" spans="1:16" ht="15" customHeight="1" x14ac:dyDescent="0.25">
      <c r="B17" s="129" t="s">
        <v>228</v>
      </c>
      <c r="C17" s="142"/>
      <c r="D17" s="142"/>
      <c r="E17" s="142"/>
      <c r="F17" s="142"/>
      <c r="G17" s="142"/>
      <c r="H17" s="133"/>
      <c r="I17" s="133"/>
      <c r="J17" s="142"/>
      <c r="K17" s="142"/>
      <c r="L17" s="142"/>
      <c r="M17" s="142"/>
      <c r="N17" s="133"/>
      <c r="O17" s="128"/>
      <c r="P17" s="128"/>
    </row>
    <row r="18" spans="1:16" ht="15" customHeight="1" x14ac:dyDescent="0.35">
      <c r="B18" s="156" t="s">
        <v>217</v>
      </c>
      <c r="C18" s="156" t="s">
        <v>86</v>
      </c>
      <c r="D18" s="156" t="s">
        <v>64</v>
      </c>
      <c r="E18" s="156" t="s">
        <v>223</v>
      </c>
      <c r="F18" s="156" t="s">
        <v>224</v>
      </c>
      <c r="G18" s="191" t="s">
        <v>234</v>
      </c>
      <c r="H18" s="192" t="s">
        <v>235</v>
      </c>
      <c r="I18" s="155"/>
      <c r="J18" s="113" t="s">
        <v>222</v>
      </c>
      <c r="K18" s="187" t="s">
        <v>64</v>
      </c>
      <c r="L18" s="113" t="s">
        <v>178</v>
      </c>
      <c r="M18" s="156"/>
      <c r="N18" s="156" t="s">
        <v>233</v>
      </c>
      <c r="O18" s="156" t="s">
        <v>224</v>
      </c>
      <c r="P18" s="193" t="s">
        <v>234</v>
      </c>
    </row>
    <row r="19" spans="1:16" ht="15" customHeight="1" x14ac:dyDescent="0.35">
      <c r="A19" s="28"/>
      <c r="B19" s="94" t="s">
        <v>213</v>
      </c>
      <c r="C19" s="164">
        <v>-835.35526600000003</v>
      </c>
      <c r="D19" s="164">
        <v>-835.425659</v>
      </c>
      <c r="E19" s="37">
        <f>(C19-$C$19)*627.5095</f>
        <v>0</v>
      </c>
      <c r="F19" s="37">
        <f>(D19-$D$19)*627.5095</f>
        <v>0</v>
      </c>
      <c r="G19" s="27"/>
      <c r="H19" s="27"/>
      <c r="I19" s="128"/>
      <c r="J19" s="31"/>
      <c r="L19" s="28"/>
      <c r="M19" s="128"/>
      <c r="N19" s="28"/>
      <c r="P19" s="27"/>
    </row>
    <row r="20" spans="1:16" ht="15" customHeight="1" x14ac:dyDescent="0.35">
      <c r="A20" s="28"/>
      <c r="B20" s="94" t="s">
        <v>216</v>
      </c>
      <c r="C20" s="28">
        <v>-835.36096299999997</v>
      </c>
      <c r="D20" s="28">
        <v>-835.42497400000002</v>
      </c>
      <c r="E20" s="37">
        <f>(C20-C$19)*627.5095</f>
        <v>-3.5749216214629764</v>
      </c>
      <c r="F20" s="37">
        <f>(D20-D$19)*627.5095</f>
        <v>0.42984400748484175</v>
      </c>
      <c r="G20" s="27"/>
      <c r="H20" s="27"/>
      <c r="I20" s="128"/>
      <c r="J20" s="31"/>
      <c r="L20" s="28"/>
      <c r="M20" s="128"/>
      <c r="N20" s="28"/>
      <c r="P20" s="27"/>
    </row>
    <row r="21" spans="1:16" ht="15" customHeight="1" x14ac:dyDescent="0.35">
      <c r="A21" s="28"/>
      <c r="B21" s="94" t="s">
        <v>168</v>
      </c>
      <c r="C21" s="164">
        <v>-835.37838299999999</v>
      </c>
      <c r="D21" s="164">
        <v>-835.43911900000001</v>
      </c>
      <c r="E21" s="37">
        <f>(C21-$C$19)*627.5095</f>
        <v>-14.506137111472725</v>
      </c>
      <c r="F21" s="37">
        <f>(D21-$D$19)*627.5095</f>
        <v>-8.4462778700057299</v>
      </c>
      <c r="G21" s="6">
        <f>F21-$F$31</f>
        <v>-6.328776525020146</v>
      </c>
      <c r="H21" s="25">
        <f>0.328+G21/$H$4</f>
        <v>5.35561586817494E-2</v>
      </c>
      <c r="I21" s="128"/>
      <c r="J21" s="94" t="s">
        <v>220</v>
      </c>
      <c r="K21" s="78">
        <v>-834.99120000000005</v>
      </c>
      <c r="L21" s="66">
        <f>(K21*$C$4+$G$4-D21*$C$4)/$F$4</f>
        <v>7.9044537577116065</v>
      </c>
      <c r="M21" s="128"/>
      <c r="N21" s="28" t="s">
        <v>225</v>
      </c>
      <c r="O21" s="16">
        <f>(D23-D21)*627.5095</f>
        <v>-7.6022775924964385</v>
      </c>
      <c r="P21" s="25">
        <f>O21-$F$31</f>
        <v>-5.4847762475108546</v>
      </c>
    </row>
    <row r="22" spans="1:16" ht="15" customHeight="1" x14ac:dyDescent="0.35">
      <c r="A22" s="28"/>
      <c r="B22" s="94" t="s">
        <v>215</v>
      </c>
      <c r="C22" s="164">
        <v>-835.36889499999995</v>
      </c>
      <c r="D22" s="28">
        <v>-835.42940099999998</v>
      </c>
      <c r="E22" s="37">
        <f>(C22-C$20)*627.5095</f>
        <v>-4.977405353989024</v>
      </c>
      <c r="F22" s="37">
        <f>(D22-D$20)*627.5095</f>
        <v>-2.7779845564775414</v>
      </c>
      <c r="G22" s="6">
        <f>F22-$F$31</f>
        <v>-0.66048321149195743</v>
      </c>
      <c r="H22" s="25">
        <f>0.328+G22/$H$4</f>
        <v>0.29935851629908988</v>
      </c>
      <c r="I22" s="128"/>
      <c r="J22" s="94" t="s">
        <v>219</v>
      </c>
      <c r="K22" s="78">
        <v>-834.98004400000002</v>
      </c>
      <c r="L22" s="66">
        <f>(K22*$C$4+$G$4-D22*$C$4)/$F$4</f>
        <v>8.5663291478815733</v>
      </c>
      <c r="M22" s="128"/>
      <c r="N22" s="28" t="s">
        <v>226</v>
      </c>
      <c r="O22" s="16">
        <f>(K23-K21)*627.5095</f>
        <v>-6.2989403609340888</v>
      </c>
      <c r="P22" s="25">
        <f>O22-$F$31</f>
        <v>-4.1814390159485049</v>
      </c>
    </row>
    <row r="23" spans="1:16" ht="15" customHeight="1" x14ac:dyDescent="0.35">
      <c r="A23" s="28"/>
      <c r="B23" s="94" t="s">
        <v>169</v>
      </c>
      <c r="C23" s="164">
        <v>-835.39385200000004</v>
      </c>
      <c r="D23" s="3">
        <v>-835.451234</v>
      </c>
      <c r="E23" s="37">
        <f>(C23-$C$19)*627.5095</f>
        <v>-24.213081567005858</v>
      </c>
      <c r="F23" s="37">
        <f>(D23-$D$19)*627.5095</f>
        <v>-16.048555462502168</v>
      </c>
      <c r="G23" s="6">
        <f>F23-2*$F$31</f>
        <v>-11.813552772531001</v>
      </c>
      <c r="H23" s="25">
        <f>0.328+G23/$H$4</f>
        <v>-0.18428808438594008</v>
      </c>
      <c r="I23" s="128"/>
      <c r="J23" s="94" t="s">
        <v>218</v>
      </c>
      <c r="K23" s="78">
        <v>-835.00123799999994</v>
      </c>
      <c r="L23" s="66">
        <f>(K23*$C$4+$G$4-D23*$C$4)/$F$4</f>
        <v>8.8604448463478303</v>
      </c>
      <c r="M23" s="128"/>
    </row>
    <row r="24" spans="1:16" ht="15" customHeight="1" x14ac:dyDescent="0.35">
      <c r="A24" s="28"/>
      <c r="B24" s="94" t="s">
        <v>214</v>
      </c>
      <c r="C24" s="164">
        <v>-835.37948500000005</v>
      </c>
      <c r="D24" s="3">
        <v>-835.44291299999998</v>
      </c>
      <c r="E24" s="37">
        <f>(C24-$C$19)*627.5095</f>
        <v>-15.197652580510304</v>
      </c>
      <c r="F24" s="37">
        <f>(D24-$D$19)*627.5095</f>
        <v>-10.827048912987385</v>
      </c>
      <c r="G24" s="6">
        <f>F24-$F$31</f>
        <v>-8.7095475680018009</v>
      </c>
      <c r="H24" s="25">
        <f>0.328+G24/$H$4</f>
        <v>-4.9684641139834285E-2</v>
      </c>
      <c r="I24" s="128"/>
      <c r="K24" s="78"/>
      <c r="L24" s="66"/>
      <c r="M24" s="128"/>
    </row>
    <row r="25" spans="1:16" ht="15" customHeight="1" x14ac:dyDescent="0.25">
      <c r="A25" s="28"/>
      <c r="B25" s="28" t="s">
        <v>179</v>
      </c>
      <c r="C25" s="164">
        <v>-835.38683400000002</v>
      </c>
      <c r="D25" s="164">
        <v>-835.442408</v>
      </c>
      <c r="E25" s="37">
        <f>(C25-$C$19)*627.5095</f>
        <v>-19.809219895995568</v>
      </c>
      <c r="F25" s="37">
        <f>(D25-$D$19)*627.5095</f>
        <v>-10.510156615502726</v>
      </c>
      <c r="G25" s="6">
        <f>F25-2*$F$31</f>
        <v>-6.2751539255315585</v>
      </c>
      <c r="H25" s="25">
        <f>0.328+G25/$H$4</f>
        <v>5.5881472607267002E-2</v>
      </c>
      <c r="I25" s="128"/>
      <c r="J25" s="94" t="s">
        <v>221</v>
      </c>
      <c r="K25" s="78">
        <v>-834.99055099999998</v>
      </c>
      <c r="L25" s="66">
        <f>(K25*$C$4+$G$4-D25*$C$4)/$F$4</f>
        <v>9.7170165438978824</v>
      </c>
      <c r="M25" s="128"/>
    </row>
    <row r="26" spans="1:16" x14ac:dyDescent="0.25">
      <c r="A26" s="28"/>
      <c r="B26" s="137"/>
      <c r="C26" s="179"/>
      <c r="D26" s="188"/>
      <c r="E26" s="188"/>
      <c r="F26" s="188"/>
      <c r="G26" s="182"/>
      <c r="H26" s="161"/>
      <c r="I26" s="189"/>
      <c r="J26" s="160"/>
      <c r="K26" s="137"/>
      <c r="L26" s="190"/>
      <c r="M26" s="137"/>
      <c r="N26" s="128"/>
      <c r="O26" s="128"/>
      <c r="P26" s="128"/>
    </row>
    <row r="27" spans="1:16" x14ac:dyDescent="0.25">
      <c r="A27" s="28"/>
      <c r="B27" s="28"/>
      <c r="C27" s="170"/>
      <c r="D27" s="6"/>
      <c r="E27" s="33"/>
      <c r="F27" s="43"/>
      <c r="G27" s="6"/>
      <c r="H27" s="171"/>
      <c r="I27" s="4"/>
      <c r="J27" s="16"/>
      <c r="K27" s="28"/>
      <c r="L27" s="169"/>
      <c r="M27" s="28"/>
    </row>
    <row r="28" spans="1:16" ht="15" customHeight="1" x14ac:dyDescent="0.25">
      <c r="A28" s="38"/>
      <c r="B28" s="130" t="s">
        <v>228</v>
      </c>
      <c r="C28" s="128"/>
      <c r="D28" s="128"/>
      <c r="E28" s="128"/>
      <c r="F28" s="128"/>
      <c r="G28" s="28"/>
      <c r="H28" s="28"/>
      <c r="I28" s="28"/>
      <c r="J28" s="28"/>
      <c r="K28" s="28"/>
      <c r="L28" s="169"/>
      <c r="M28" s="28"/>
    </row>
    <row r="29" spans="1:16" ht="15" customHeight="1" x14ac:dyDescent="0.35">
      <c r="A29" s="38"/>
      <c r="B29" s="128"/>
      <c r="C29" s="128"/>
      <c r="D29" s="137" t="s">
        <v>64</v>
      </c>
      <c r="E29" s="137" t="s">
        <v>224</v>
      </c>
      <c r="F29" s="193" t="s">
        <v>234</v>
      </c>
      <c r="G29" s="37"/>
      <c r="H29" s="37"/>
      <c r="I29" s="37"/>
      <c r="J29" s="37"/>
      <c r="K29" s="28"/>
      <c r="L29" s="169"/>
      <c r="M29" s="28"/>
    </row>
    <row r="30" spans="1:16" ht="15" customHeight="1" x14ac:dyDescent="0.25">
      <c r="A30" s="38"/>
      <c r="B30" s="56" t="s">
        <v>180</v>
      </c>
      <c r="D30" s="3">
        <v>-345.56715600000001</v>
      </c>
      <c r="G30" s="37"/>
      <c r="H30" s="37"/>
      <c r="I30" s="37"/>
      <c r="J30" s="37"/>
      <c r="K30" s="28"/>
      <c r="L30" s="169"/>
      <c r="M30" s="28"/>
    </row>
    <row r="31" spans="1:16" ht="15" customHeight="1" x14ac:dyDescent="0.25">
      <c r="A31" s="38"/>
      <c r="B31" s="3" t="s">
        <v>181</v>
      </c>
      <c r="D31" s="3">
        <v>-345.56466599999999</v>
      </c>
      <c r="E31" s="173">
        <f>(D31-D30)*627.5095</f>
        <v>1.5624986550144162</v>
      </c>
      <c r="F31" s="170">
        <f>(E31-3.68)</f>
        <v>-2.117501344985584</v>
      </c>
      <c r="G31" s="37"/>
      <c r="H31" s="37"/>
      <c r="I31" s="37"/>
      <c r="J31" s="37"/>
      <c r="K31" s="28"/>
      <c r="L31" s="169"/>
      <c r="M31" s="28"/>
    </row>
    <row r="32" spans="1:16" ht="15" customHeight="1" x14ac:dyDescent="0.35">
      <c r="A32" s="38"/>
      <c r="B32" s="194" t="s">
        <v>236</v>
      </c>
      <c r="C32" s="28"/>
      <c r="D32" s="28"/>
      <c r="E32" s="28"/>
      <c r="F32" s="28"/>
      <c r="G32" s="37"/>
      <c r="H32" s="37"/>
      <c r="L32" s="169"/>
    </row>
    <row r="33" spans="1:12" x14ac:dyDescent="0.25">
      <c r="A33" s="38"/>
      <c r="G33" s="37"/>
      <c r="H33" s="37"/>
      <c r="L33" s="169"/>
    </row>
    <row r="34" spans="1:12" x14ac:dyDescent="0.25">
      <c r="A34" s="38"/>
      <c r="G34" s="37"/>
      <c r="H34" s="37"/>
      <c r="L34" s="169"/>
    </row>
    <row r="35" spans="1:12" x14ac:dyDescent="0.25">
      <c r="L35" s="169"/>
    </row>
    <row r="36" spans="1:12" x14ac:dyDescent="0.25">
      <c r="L36" s="169"/>
    </row>
    <row r="37" spans="1:12" x14ac:dyDescent="0.25">
      <c r="A37" s="28"/>
      <c r="D37" s="16"/>
      <c r="L37" s="169"/>
    </row>
    <row r="38" spans="1:12" x14ac:dyDescent="0.25">
      <c r="A38" s="28"/>
      <c r="D38" s="16"/>
      <c r="E38" s="174"/>
      <c r="L38" s="169"/>
    </row>
    <row r="39" spans="1:12" x14ac:dyDescent="0.25">
      <c r="A39" s="28"/>
      <c r="D39" s="16"/>
      <c r="L39" s="169"/>
    </row>
    <row r="40" spans="1:12" x14ac:dyDescent="0.25">
      <c r="A40" s="28"/>
      <c r="D40" s="16"/>
      <c r="L40" s="169"/>
    </row>
    <row r="41" spans="1:12" x14ac:dyDescent="0.25">
      <c r="A41" s="28"/>
      <c r="D41" s="16"/>
      <c r="L41" s="169"/>
    </row>
    <row r="42" spans="1:12" x14ac:dyDescent="0.25">
      <c r="L42" s="169"/>
    </row>
    <row r="43" spans="1:12" x14ac:dyDescent="0.25">
      <c r="L43" s="169"/>
    </row>
    <row r="44" spans="1:12" x14ac:dyDescent="0.25">
      <c r="L44" s="169"/>
    </row>
    <row r="45" spans="1:12" x14ac:dyDescent="0.25">
      <c r="L45" s="169"/>
    </row>
    <row r="46" spans="1:12" x14ac:dyDescent="0.25">
      <c r="L46" s="16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9"/>
  <sheetViews>
    <sheetView zoomScale="70" zoomScaleNormal="70" workbookViewId="0">
      <pane ySplit="4" topLeftCell="A5" activePane="bottomLeft" state="frozen"/>
      <selection pane="bottomLeft" activeCell="K22" sqref="K22"/>
    </sheetView>
  </sheetViews>
  <sheetFormatPr defaultRowHeight="15" x14ac:dyDescent="0.25"/>
  <cols>
    <col min="1" max="1" width="2.7109375" style="3" customWidth="1"/>
    <col min="2" max="2" width="9.140625" style="3"/>
    <col min="3" max="21" width="12.7109375" style="3" customWidth="1"/>
    <col min="22" max="27" width="9.140625" style="3"/>
    <col min="28" max="28" width="13.42578125" style="3" bestFit="1" customWidth="1"/>
    <col min="29" max="16384" width="9.140625" style="3"/>
  </cols>
  <sheetData>
    <row r="1" spans="1:29" x14ac:dyDescent="0.25">
      <c r="B1" s="2" t="s">
        <v>257</v>
      </c>
    </row>
    <row r="2" spans="1:29" x14ac:dyDescent="0.25">
      <c r="B2" s="2"/>
    </row>
    <row r="3" spans="1:29" x14ac:dyDescent="0.25">
      <c r="C3" s="56" t="s">
        <v>258</v>
      </c>
      <c r="D3" s="56" t="s">
        <v>2</v>
      </c>
      <c r="E3" s="56" t="s">
        <v>3</v>
      </c>
      <c r="F3" s="56" t="s">
        <v>4</v>
      </c>
      <c r="G3" s="56" t="s">
        <v>10</v>
      </c>
      <c r="H3" s="56" t="s">
        <v>6</v>
      </c>
      <c r="I3" s="56" t="s">
        <v>5</v>
      </c>
      <c r="K3" s="38"/>
      <c r="L3" s="56"/>
      <c r="M3" s="175"/>
    </row>
    <row r="4" spans="1:29" x14ac:dyDescent="0.25">
      <c r="C4" s="56"/>
      <c r="D4" s="56">
        <v>627.5095</v>
      </c>
      <c r="E4" s="56">
        <v>1.9858775000000002E-3</v>
      </c>
      <c r="F4" s="56">
        <v>298.14999999999998</v>
      </c>
      <c r="G4" s="56">
        <f>LN(10)*E4*F4</f>
        <v>1.3633361723368622</v>
      </c>
      <c r="H4" s="176">
        <f>-6.287-265.9+1.89</f>
        <v>-270.29699999999997</v>
      </c>
      <c r="I4" s="29">
        <v>23.060369999999999</v>
      </c>
      <c r="K4" s="38"/>
      <c r="L4" s="38"/>
      <c r="M4" s="175"/>
    </row>
    <row r="5" spans="1:29" ht="15.75" customHeight="1" x14ac:dyDescent="0.25">
      <c r="C5" s="56"/>
      <c r="D5" s="56"/>
      <c r="E5" s="56"/>
      <c r="F5" s="56"/>
      <c r="G5" s="56"/>
      <c r="H5" s="56"/>
      <c r="I5" s="176"/>
      <c r="J5" s="29"/>
      <c r="K5" s="38"/>
      <c r="L5" s="38"/>
      <c r="M5" s="175"/>
    </row>
    <row r="6" spans="1:29" ht="15.75" customHeight="1" x14ac:dyDescent="0.25">
      <c r="A6" s="128"/>
      <c r="B6" s="133"/>
      <c r="C6" s="153" t="s">
        <v>0</v>
      </c>
      <c r="D6" s="153"/>
      <c r="E6" s="133"/>
      <c r="F6" s="153"/>
      <c r="G6" s="153"/>
      <c r="H6" s="153"/>
      <c r="I6" s="153"/>
      <c r="J6" s="153"/>
      <c r="K6" s="153"/>
      <c r="L6" s="153"/>
      <c r="M6" s="71"/>
      <c r="N6" s="129" t="s">
        <v>273</v>
      </c>
      <c r="O6" s="128"/>
      <c r="P6" s="133"/>
      <c r="Q6" s="133"/>
      <c r="R6" s="133"/>
      <c r="S6" s="133"/>
      <c r="T6" s="201"/>
      <c r="U6" s="133"/>
      <c r="V6" s="201"/>
    </row>
    <row r="7" spans="1:29" ht="15.75" customHeight="1" x14ac:dyDescent="0.35">
      <c r="A7" s="128"/>
      <c r="B7" s="155" t="s">
        <v>239</v>
      </c>
      <c r="C7" s="200" t="s">
        <v>238</v>
      </c>
      <c r="D7" s="156"/>
      <c r="E7" s="200" t="s">
        <v>113</v>
      </c>
      <c r="F7" s="200" t="s">
        <v>64</v>
      </c>
      <c r="G7" s="200"/>
      <c r="H7" s="200" t="s">
        <v>227</v>
      </c>
      <c r="I7" s="155"/>
      <c r="J7" s="156" t="s">
        <v>224</v>
      </c>
      <c r="K7" s="191" t="s">
        <v>234</v>
      </c>
      <c r="L7" s="128"/>
      <c r="N7" s="155"/>
      <c r="O7" s="155"/>
      <c r="P7" s="156" t="s">
        <v>224</v>
      </c>
      <c r="Q7" s="155"/>
      <c r="R7" s="156" t="s">
        <v>224</v>
      </c>
      <c r="S7" s="155"/>
      <c r="T7" s="156" t="s">
        <v>224</v>
      </c>
      <c r="U7" s="155"/>
      <c r="V7" s="156" t="s">
        <v>224</v>
      </c>
    </row>
    <row r="8" spans="1:29" ht="15.75" customHeight="1" x14ac:dyDescent="0.35">
      <c r="A8" s="128"/>
      <c r="B8" s="198"/>
      <c r="C8" s="117" t="s">
        <v>153</v>
      </c>
      <c r="F8" s="3">
        <v>-836.569524</v>
      </c>
      <c r="G8" s="128"/>
      <c r="H8" s="117" t="s">
        <v>243</v>
      </c>
      <c r="J8" s="4">
        <f>(F8+F10)*$D$4</f>
        <v>-953983.62095376651</v>
      </c>
      <c r="L8" s="128"/>
      <c r="N8" s="3">
        <v>1</v>
      </c>
      <c r="O8" s="117" t="s">
        <v>243</v>
      </c>
      <c r="P8" s="4">
        <f>J8-J8</f>
        <v>0</v>
      </c>
      <c r="Q8" s="3" t="s">
        <v>183</v>
      </c>
      <c r="R8" s="4">
        <f>J8-J8</f>
        <v>0</v>
      </c>
      <c r="S8" s="117" t="s">
        <v>243</v>
      </c>
      <c r="T8" s="4">
        <f>J8-J8</f>
        <v>0</v>
      </c>
      <c r="U8" s="117" t="s">
        <v>243</v>
      </c>
      <c r="V8" s="4">
        <f>J8-J8</f>
        <v>0</v>
      </c>
      <c r="Z8" s="4"/>
      <c r="AC8" s="4"/>
    </row>
    <row r="9" spans="1:29" ht="15.75" customHeight="1" x14ac:dyDescent="0.35">
      <c r="A9" s="128"/>
      <c r="B9" s="198"/>
      <c r="C9" s="117" t="s">
        <v>242</v>
      </c>
      <c r="F9" s="3">
        <v>-760.13567799999998</v>
      </c>
      <c r="G9" s="128"/>
      <c r="J9" s="4"/>
      <c r="L9" s="128"/>
      <c r="N9" s="3">
        <v>2</v>
      </c>
      <c r="P9" s="4">
        <f>J8-J8</f>
        <v>0</v>
      </c>
      <c r="R9" s="4">
        <f>J8-J8</f>
        <v>0</v>
      </c>
      <c r="T9" s="4">
        <f>J8-J8</f>
        <v>0</v>
      </c>
      <c r="V9" s="4">
        <f>J8-J8</f>
        <v>0</v>
      </c>
      <c r="Z9" s="4"/>
      <c r="AC9" s="4"/>
    </row>
    <row r="10" spans="1:29" x14ac:dyDescent="0.25">
      <c r="A10" s="128"/>
      <c r="B10" s="198"/>
      <c r="C10" s="3" t="s">
        <v>184</v>
      </c>
      <c r="F10" s="3">
        <v>-683.70008299999995</v>
      </c>
      <c r="G10" s="128"/>
      <c r="J10" s="4"/>
      <c r="L10" s="128"/>
      <c r="N10" s="3">
        <v>3</v>
      </c>
      <c r="O10" s="3" t="s">
        <v>185</v>
      </c>
      <c r="P10" s="4">
        <f>(F24+F27-F25-F25)*$D$4</f>
        <v>7.7522523629744864</v>
      </c>
      <c r="Q10" s="198">
        <v>1</v>
      </c>
      <c r="R10" s="4">
        <f>(F11-F8-F10)*$D$4-18.864</f>
        <v>-1.2843213575825487</v>
      </c>
      <c r="S10" s="198">
        <v>1</v>
      </c>
      <c r="T10" s="4">
        <f>(F11-F8-F10)*$D$4-18.864</f>
        <v>-1.2843213575825487</v>
      </c>
      <c r="U10" s="198">
        <v>1</v>
      </c>
      <c r="V10" s="4">
        <f>(F11-F8-F10)*$D$4-18.864</f>
        <v>-1.2843213575825487</v>
      </c>
    </row>
    <row r="11" spans="1:29" x14ac:dyDescent="0.25">
      <c r="A11" s="128"/>
      <c r="B11" s="198">
        <v>1</v>
      </c>
      <c r="C11" s="3" t="s">
        <v>186</v>
      </c>
      <c r="E11" s="3">
        <v>-1520.4791025899999</v>
      </c>
      <c r="F11" s="3">
        <v>-1520.2415920000001</v>
      </c>
      <c r="G11" s="128"/>
      <c r="H11" s="3" t="s">
        <v>187</v>
      </c>
      <c r="J11" s="4">
        <f>(F11-F10-F8)*D4</f>
        <v>17.579678642417452</v>
      </c>
      <c r="K11" s="89"/>
      <c r="L11" s="128"/>
      <c r="N11" s="3">
        <v>4</v>
      </c>
      <c r="P11" s="4">
        <f>(F24+F27-F25-F25)*$D$4</f>
        <v>7.7522523629744864</v>
      </c>
      <c r="R11" s="4">
        <f>(F11-F8-F10)*$D$4-18.864</f>
        <v>-1.2843213575825487</v>
      </c>
      <c r="S11" s="198"/>
      <c r="T11" s="4">
        <f>(F11-F8-F10)*$D$4-18.864</f>
        <v>-1.2843213575825487</v>
      </c>
      <c r="U11" s="198"/>
      <c r="V11" s="4">
        <f>(F11-F8-F10)*$D$4-18.864</f>
        <v>-1.2843213575825487</v>
      </c>
    </row>
    <row r="12" spans="1:29" x14ac:dyDescent="0.25">
      <c r="A12" s="128"/>
      <c r="B12" s="198" t="s">
        <v>253</v>
      </c>
      <c r="C12" s="195" t="s">
        <v>190</v>
      </c>
      <c r="D12" s="195"/>
      <c r="E12" s="195">
        <v>-1520.9432236499999</v>
      </c>
      <c r="F12" s="195">
        <v>-1520.6908550000001</v>
      </c>
      <c r="G12" s="128"/>
      <c r="H12" s="3" t="s">
        <v>198</v>
      </c>
      <c r="J12" s="16">
        <f>(F17-F11)*627.5095</f>
        <v>-0.84086273001721279</v>
      </c>
      <c r="K12" s="6">
        <f>J12-2.245</f>
        <v>-3.085862730017213</v>
      </c>
      <c r="L12" s="128"/>
      <c r="N12" s="3">
        <v>5</v>
      </c>
      <c r="Q12" s="3" t="s">
        <v>188</v>
      </c>
      <c r="R12" s="4">
        <f>(F27+F22-F25-F25)*$D$4-H4+7*G4</f>
        <v>2.973749163822534</v>
      </c>
      <c r="S12" s="220">
        <v>2</v>
      </c>
      <c r="T12" s="4">
        <f>(F17-F8-F10)*$D$4-18.864-2.245</f>
        <v>-4.3701840875997631</v>
      </c>
      <c r="U12" s="220" t="s">
        <v>253</v>
      </c>
      <c r="V12" s="4">
        <f>(F12-F8-F10)*$D$4-$H$4-18.864+7*G4</f>
        <v>-3.3607686497079445</v>
      </c>
      <c r="W12" s="4"/>
      <c r="X12" s="56"/>
      <c r="Z12" s="4"/>
      <c r="AA12" s="56"/>
      <c r="AC12" s="4"/>
    </row>
    <row r="13" spans="1:29" x14ac:dyDescent="0.25">
      <c r="A13" s="128"/>
      <c r="B13" s="198" t="s">
        <v>254</v>
      </c>
      <c r="C13" s="21" t="s">
        <v>192</v>
      </c>
      <c r="D13" s="21"/>
      <c r="E13" s="21">
        <v>-1520.93496153</v>
      </c>
      <c r="F13" s="21">
        <v>-1520.682642</v>
      </c>
      <c r="G13" s="128"/>
      <c r="H13" s="195" t="s">
        <v>196</v>
      </c>
      <c r="I13" s="195"/>
      <c r="J13" s="199">
        <f>(F16-$F$12)*627.5095</f>
        <v>-2.7252737583966042</v>
      </c>
      <c r="K13" s="27"/>
      <c r="L13" s="128"/>
      <c r="N13" s="3">
        <v>6</v>
      </c>
      <c r="R13" s="4">
        <f>(F27+F22-F25-F25)*$D$4-H4+7*G4</f>
        <v>2.973749163822534</v>
      </c>
      <c r="T13" s="4">
        <f>(F17-F8-F10)*$D$4-18.864-2.245</f>
        <v>-4.3701840875997631</v>
      </c>
      <c r="U13" s="198"/>
      <c r="V13" s="4">
        <f>(F12-F8-F10)*$D$4-$H$4-18.864+7*G4</f>
        <v>-3.3607686497079445</v>
      </c>
      <c r="Z13" s="4"/>
      <c r="AC13" s="4"/>
    </row>
    <row r="14" spans="1:29" x14ac:dyDescent="0.25">
      <c r="A14" s="128"/>
      <c r="B14" s="198" t="s">
        <v>294</v>
      </c>
      <c r="C14" s="21" t="s">
        <v>237</v>
      </c>
      <c r="D14" s="21"/>
      <c r="E14" s="21">
        <v>-1520.9191717900001</v>
      </c>
      <c r="F14" s="21">
        <v>-1520.665915</v>
      </c>
      <c r="G14" s="128"/>
      <c r="H14" s="21" t="s">
        <v>244</v>
      </c>
      <c r="I14" s="21"/>
      <c r="J14" s="51">
        <f>(F15-$F$13)*627.5095</f>
        <v>-5.7825000425252027</v>
      </c>
      <c r="K14" s="6">
        <f>J14-2.515</f>
        <v>-8.2975000425252023</v>
      </c>
      <c r="L14" s="128"/>
      <c r="N14" s="3">
        <v>7</v>
      </c>
      <c r="Q14" s="4" t="s">
        <v>191</v>
      </c>
      <c r="R14" s="4">
        <f>(F28+F22-F25-F25)*$D$4-H4+7*G4+2.1175</f>
        <v>-5.7357997490935073</v>
      </c>
      <c r="S14" s="4" t="s">
        <v>191</v>
      </c>
      <c r="T14" s="4">
        <f>(F28+F22-F25-F25)*$D$4-H4+7*G4+2.1175</f>
        <v>-5.7357997490935073</v>
      </c>
      <c r="U14" s="221" t="s">
        <v>254</v>
      </c>
      <c r="V14" s="4">
        <f>(F13-F8-F10)*$D$4-$H$4-18.864+7*G4</f>
        <v>1.7929668738352742</v>
      </c>
      <c r="Z14" s="4"/>
      <c r="AC14" s="4"/>
    </row>
    <row r="15" spans="1:29" x14ac:dyDescent="0.25">
      <c r="A15" s="128"/>
      <c r="B15" s="198" t="s">
        <v>255</v>
      </c>
      <c r="C15" s="21" t="s">
        <v>193</v>
      </c>
      <c r="D15" s="21"/>
      <c r="E15" s="21">
        <v>-1520.94830948</v>
      </c>
      <c r="F15" s="21">
        <v>-1520.691857</v>
      </c>
      <c r="G15" s="128"/>
      <c r="L15" s="128"/>
      <c r="N15" s="3">
        <v>8</v>
      </c>
      <c r="R15" s="4">
        <f>(F28+F22-F25-F25)*$D$4-H4+7*G4+2.1175</f>
        <v>-5.7357997490935073</v>
      </c>
      <c r="T15" s="4">
        <f>(F28+F22-F25-F25)*$D$4-H4+7*G4+2.1175</f>
        <v>-5.7357997490935073</v>
      </c>
      <c r="U15" s="4"/>
      <c r="V15" s="4">
        <f>(F13-F8-F10)*$D$4-$H$4-18.864+7*G4</f>
        <v>1.7929668738352742</v>
      </c>
      <c r="Z15" s="4"/>
      <c r="AC15" s="4"/>
    </row>
    <row r="16" spans="1:29" x14ac:dyDescent="0.25">
      <c r="A16" s="128"/>
      <c r="B16" s="198" t="s">
        <v>256</v>
      </c>
      <c r="C16" s="195" t="s">
        <v>194</v>
      </c>
      <c r="D16" s="195"/>
      <c r="E16" s="195">
        <v>-1520.9544820199999</v>
      </c>
      <c r="F16" s="195">
        <v>-1520.6951979999999</v>
      </c>
      <c r="G16" s="128"/>
      <c r="H16" s="3" t="s">
        <v>195</v>
      </c>
      <c r="J16" s="4">
        <f>(F11*$D$4+$H$4-F12*$D$4)/$G$4</f>
        <v>8.5230633018113409</v>
      </c>
      <c r="L16" s="128"/>
      <c r="N16" s="3">
        <v>9</v>
      </c>
      <c r="P16" s="164"/>
      <c r="Q16" s="164"/>
      <c r="R16" s="4"/>
      <c r="T16" s="4"/>
      <c r="U16" s="198" t="s">
        <v>294</v>
      </c>
      <c r="V16" s="4">
        <f>(F14-F8-F10)*$D$4-$H$4-18.864+7*G4</f>
        <v>12.289318280301506</v>
      </c>
      <c r="Z16" s="4"/>
      <c r="AB16" s="164"/>
      <c r="AC16" s="4"/>
    </row>
    <row r="17" spans="1:30" x14ac:dyDescent="0.25">
      <c r="A17" s="128"/>
      <c r="B17" s="198">
        <v>2</v>
      </c>
      <c r="C17" s="3" t="s">
        <v>189</v>
      </c>
      <c r="E17" s="3">
        <v>-1520.4889853</v>
      </c>
      <c r="F17" s="3">
        <v>-1520.2429320000001</v>
      </c>
      <c r="G17" s="128"/>
      <c r="H17" s="3" t="s">
        <v>197</v>
      </c>
      <c r="J17" s="16">
        <f>(F17*$D$4+$H$4-F16*$D$4)/$G$4</f>
        <v>9.9052690017624201</v>
      </c>
      <c r="L17" s="128"/>
      <c r="N17" s="3">
        <v>10</v>
      </c>
      <c r="R17" s="4"/>
      <c r="T17" s="4"/>
      <c r="U17" s="198"/>
      <c r="V17" s="4">
        <f>(F14-F8-F10)*$D$4-$H$4-18.864+7*G4</f>
        <v>12.289318280301506</v>
      </c>
      <c r="Z17" s="4"/>
      <c r="AC17" s="4"/>
    </row>
    <row r="18" spans="1:30" x14ac:dyDescent="0.25">
      <c r="A18" s="128"/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60"/>
      <c r="N18" s="3">
        <v>11</v>
      </c>
      <c r="P18" s="28"/>
      <c r="Q18" s="28"/>
      <c r="R18" s="4"/>
      <c r="S18" s="4"/>
      <c r="T18" s="4"/>
      <c r="U18" s="24" t="s">
        <v>255</v>
      </c>
      <c r="V18" s="4">
        <f>(F15-F8-F10)*$D$4-$H$4-18.864-2.515+7*G4</f>
        <v>-6.5045331686899406</v>
      </c>
      <c r="Z18" s="4"/>
      <c r="AB18" s="28"/>
      <c r="AC18" s="4"/>
    </row>
    <row r="19" spans="1:30" x14ac:dyDescent="0.25">
      <c r="L19" s="4"/>
      <c r="N19" s="3">
        <v>12</v>
      </c>
      <c r="R19" s="4"/>
      <c r="S19" s="4"/>
      <c r="T19" s="4"/>
      <c r="U19" s="24"/>
      <c r="V19" s="4">
        <f>(F15-F8-F10)*$D$4-$H$4-18.864-2.515+7*G4</f>
        <v>-6.5045331686899406</v>
      </c>
      <c r="Z19" s="4"/>
      <c r="AC19" s="4"/>
    </row>
    <row r="20" spans="1:30" ht="15" customHeight="1" x14ac:dyDescent="0.25">
      <c r="A20" s="128"/>
      <c r="B20" s="133"/>
      <c r="C20" s="129" t="s">
        <v>33</v>
      </c>
      <c r="D20" s="133"/>
      <c r="E20" s="133"/>
      <c r="F20" s="133"/>
      <c r="G20" s="128"/>
      <c r="L20" s="4"/>
      <c r="N20" s="3">
        <v>13</v>
      </c>
      <c r="P20" s="28"/>
      <c r="Q20" s="28"/>
      <c r="R20" s="4"/>
      <c r="T20" s="4"/>
      <c r="U20" s="24" t="s">
        <v>256</v>
      </c>
      <c r="V20" s="4">
        <f>(F16-F8-F10)*$D$4-$H$4-18.864-2.515+7*G4</f>
        <v>-8.601042408104556</v>
      </c>
      <c r="W20" s="4"/>
      <c r="Z20" s="4"/>
      <c r="AB20" s="28"/>
      <c r="AC20" s="4"/>
      <c r="AD20" s="4"/>
    </row>
    <row r="21" spans="1:30" ht="15" customHeight="1" x14ac:dyDescent="0.25">
      <c r="A21" s="128"/>
      <c r="B21" s="155"/>
      <c r="C21" s="155" t="s">
        <v>245</v>
      </c>
      <c r="D21" s="155"/>
      <c r="E21" s="200"/>
      <c r="F21" s="200" t="s">
        <v>64</v>
      </c>
      <c r="G21" s="128"/>
      <c r="L21" s="4"/>
      <c r="N21" s="3">
        <v>14</v>
      </c>
      <c r="R21" s="4"/>
      <c r="T21" s="4"/>
      <c r="U21" s="4"/>
      <c r="V21" s="4">
        <f>(F16-F8-F10)*$D$4-$H$4-18.864-2.515+7*G4</f>
        <v>-8.601042408104556</v>
      </c>
      <c r="W21" s="4"/>
      <c r="Z21" s="4"/>
      <c r="AC21" s="4"/>
    </row>
    <row r="22" spans="1:30" ht="15" customHeight="1" x14ac:dyDescent="0.35">
      <c r="A22" s="128"/>
      <c r="C22" s="94" t="s">
        <v>163</v>
      </c>
      <c r="F22" s="67">
        <v>-836.20838000000003</v>
      </c>
      <c r="G22" s="128"/>
      <c r="L22" s="4"/>
      <c r="M22" s="4"/>
      <c r="N22" s="3">
        <v>15</v>
      </c>
      <c r="P22" s="28"/>
      <c r="Q22" s="28"/>
      <c r="R22" s="4"/>
      <c r="S22" s="4"/>
      <c r="T22" s="4"/>
      <c r="U22" s="4" t="s">
        <v>191</v>
      </c>
      <c r="V22" s="4">
        <f>(F28+F22-F25-F25)*$D$4-H4+7*G4+2.1175</f>
        <v>-5.7357997490935073</v>
      </c>
      <c r="W22" s="4"/>
      <c r="Z22" s="4"/>
      <c r="AB22" s="28"/>
      <c r="AC22" s="4"/>
    </row>
    <row r="23" spans="1:30" ht="15" customHeight="1" x14ac:dyDescent="0.25">
      <c r="A23" s="128"/>
      <c r="C23" s="94" t="s">
        <v>252</v>
      </c>
      <c r="D23" s="27"/>
      <c r="E23" s="27"/>
      <c r="F23" s="28">
        <v>-683.48985000000005</v>
      </c>
      <c r="G23" s="128"/>
      <c r="L23" s="4"/>
      <c r="N23" s="3">
        <v>16</v>
      </c>
      <c r="R23" s="4"/>
      <c r="T23" s="4"/>
      <c r="U23" s="4"/>
      <c r="V23" s="4">
        <f>(F28+F22-F25-F25)*$D$4-H4+7*G4+2.1175</f>
        <v>-5.7357997490935073</v>
      </c>
      <c r="W23" s="4"/>
      <c r="Z23" s="4"/>
      <c r="AC23" s="4"/>
    </row>
    <row r="24" spans="1:30" ht="15" customHeight="1" x14ac:dyDescent="0.35">
      <c r="A24" s="128"/>
      <c r="C24" s="94" t="s">
        <v>165</v>
      </c>
      <c r="F24" s="78">
        <v>-835.75481100000002</v>
      </c>
      <c r="G24" s="128"/>
      <c r="M24" s="16"/>
      <c r="R24" s="4"/>
      <c r="S24" s="4"/>
      <c r="T24" s="4"/>
      <c r="U24" s="4"/>
      <c r="V24" s="4"/>
      <c r="Z24" s="4"/>
      <c r="AC24" s="4"/>
    </row>
    <row r="25" spans="1:30" ht="15" customHeight="1" x14ac:dyDescent="0.35">
      <c r="A25" s="128"/>
      <c r="C25" s="117" t="s">
        <v>153</v>
      </c>
      <c r="D25" s="27"/>
      <c r="E25" s="27"/>
      <c r="F25" s="28">
        <v>-835.59641199999999</v>
      </c>
      <c r="G25" s="128"/>
      <c r="L25" s="16"/>
      <c r="R25" s="4"/>
      <c r="S25" s="4"/>
      <c r="T25" s="4"/>
      <c r="U25" s="4"/>
      <c r="V25" s="4"/>
      <c r="Z25" s="4"/>
      <c r="AC25" s="4"/>
    </row>
    <row r="26" spans="1:30" ht="15" customHeight="1" x14ac:dyDescent="0.25">
      <c r="A26" s="128"/>
      <c r="C26" s="117" t="s">
        <v>155</v>
      </c>
      <c r="D26" s="27"/>
      <c r="E26" s="27"/>
      <c r="F26" s="28">
        <v>-682.87896999999998</v>
      </c>
      <c r="G26" s="128"/>
      <c r="L26" s="4"/>
      <c r="M26" s="174"/>
      <c r="R26" s="4"/>
      <c r="S26" s="4"/>
      <c r="T26" s="4"/>
      <c r="U26" s="4"/>
      <c r="V26" s="4"/>
      <c r="Z26" s="4"/>
      <c r="AC26" s="4"/>
      <c r="AD26" s="4"/>
    </row>
    <row r="27" spans="1:30" ht="15" customHeight="1" x14ac:dyDescent="0.35">
      <c r="A27" s="128"/>
      <c r="C27" s="94" t="s">
        <v>213</v>
      </c>
      <c r="F27" s="164">
        <v>-835.425659</v>
      </c>
      <c r="G27" s="128"/>
      <c r="L27" s="4"/>
      <c r="N27" s="64"/>
      <c r="R27" s="10"/>
      <c r="S27" s="10"/>
      <c r="T27" s="10"/>
      <c r="U27" s="4"/>
      <c r="V27" s="4"/>
      <c r="Z27" s="4"/>
      <c r="AC27" s="4"/>
    </row>
    <row r="28" spans="1:30" ht="18" x14ac:dyDescent="0.35">
      <c r="A28" s="128"/>
      <c r="C28" s="94" t="s">
        <v>214</v>
      </c>
      <c r="D28" s="27"/>
      <c r="E28" s="27"/>
      <c r="F28" s="28">
        <v>-835.44291299999998</v>
      </c>
      <c r="G28" s="128"/>
      <c r="I28" s="1"/>
      <c r="J28" s="1"/>
      <c r="K28" s="76"/>
      <c r="L28" s="76"/>
      <c r="R28" s="10"/>
      <c r="S28" s="10"/>
      <c r="T28" s="10"/>
      <c r="U28" s="4"/>
      <c r="V28" s="4"/>
      <c r="Z28" s="4"/>
      <c r="AC28" s="4"/>
    </row>
    <row r="29" spans="1:30" x14ac:dyDescent="0.25">
      <c r="A29" s="128"/>
      <c r="C29" s="127" t="s">
        <v>250</v>
      </c>
      <c r="F29" s="164">
        <v>-835.41546700000004</v>
      </c>
      <c r="G29" s="128"/>
      <c r="I29" s="1"/>
      <c r="J29" s="1"/>
      <c r="K29" s="76"/>
      <c r="L29" s="76"/>
      <c r="O29" s="64"/>
      <c r="P29" s="64"/>
      <c r="Q29" s="64"/>
      <c r="R29" s="10"/>
      <c r="S29" s="10"/>
      <c r="T29" s="10"/>
      <c r="U29" s="10"/>
      <c r="V29" s="4"/>
      <c r="W29" s="64"/>
      <c r="X29" s="64"/>
      <c r="Z29" s="4"/>
      <c r="AA29" s="64"/>
      <c r="AB29" s="64"/>
      <c r="AC29" s="4"/>
      <c r="AD29" s="4"/>
    </row>
    <row r="30" spans="1:30" ht="15.75" customHeight="1" x14ac:dyDescent="0.35">
      <c r="A30" s="128"/>
      <c r="C30" s="94" t="s">
        <v>169</v>
      </c>
      <c r="D30" s="27"/>
      <c r="E30" s="27"/>
      <c r="F30" s="28">
        <v>-835.451234</v>
      </c>
      <c r="G30" s="128"/>
      <c r="I30" s="1"/>
      <c r="J30" s="1"/>
      <c r="K30" s="1"/>
      <c r="L30" s="76"/>
      <c r="U30" s="10"/>
      <c r="V30" s="4"/>
    </row>
    <row r="31" spans="1:30" ht="15.75" customHeight="1" x14ac:dyDescent="0.35">
      <c r="A31" s="128"/>
      <c r="C31" s="94" t="s">
        <v>249</v>
      </c>
      <c r="F31" s="164">
        <v>-835.42809</v>
      </c>
      <c r="G31" s="128"/>
      <c r="L31" s="4"/>
      <c r="U31" s="10"/>
      <c r="V31" s="4"/>
    </row>
    <row r="32" spans="1:30" ht="15.75" customHeight="1" x14ac:dyDescent="0.25">
      <c r="A32" s="128"/>
      <c r="C32" s="127" t="s">
        <v>251</v>
      </c>
      <c r="F32" s="164">
        <v>-835.41047600000002</v>
      </c>
      <c r="G32" s="128"/>
    </row>
    <row r="33" spans="1:13" ht="15.75" customHeight="1" x14ac:dyDescent="0.35">
      <c r="A33" s="128"/>
      <c r="C33" s="94" t="s">
        <v>248</v>
      </c>
      <c r="F33" s="164">
        <v>-835.44130900000005</v>
      </c>
      <c r="G33" s="128"/>
    </row>
    <row r="34" spans="1:13" x14ac:dyDescent="0.25">
      <c r="A34" s="128"/>
      <c r="B34" s="128"/>
      <c r="C34" s="128"/>
      <c r="D34" s="128"/>
      <c r="E34" s="128"/>
      <c r="F34" s="128"/>
      <c r="G34" s="128"/>
    </row>
    <row r="37" spans="1:13" x14ac:dyDescent="0.25">
      <c r="A37" s="128"/>
      <c r="B37" s="205" t="s">
        <v>240</v>
      </c>
      <c r="C37" s="133"/>
      <c r="D37" s="133"/>
      <c r="E37" s="133"/>
      <c r="F37" s="133"/>
      <c r="G37" s="133"/>
      <c r="H37" s="133"/>
      <c r="I37" s="133"/>
      <c r="J37" s="201"/>
      <c r="K37" s="201"/>
      <c r="L37" s="128"/>
    </row>
    <row r="38" spans="1:13" x14ac:dyDescent="0.25">
      <c r="A38" s="128"/>
      <c r="B38" s="159" t="s">
        <v>247</v>
      </c>
      <c r="C38" s="133"/>
      <c r="D38" s="133"/>
      <c r="E38" s="133"/>
      <c r="F38" s="133"/>
      <c r="G38" s="133"/>
      <c r="H38" s="133"/>
      <c r="I38" s="133"/>
      <c r="J38" s="133"/>
      <c r="K38" s="133"/>
      <c r="L38" s="128"/>
    </row>
    <row r="39" spans="1:13" ht="14.25" customHeight="1" x14ac:dyDescent="0.35">
      <c r="A39" s="128"/>
      <c r="B39" s="155"/>
      <c r="C39" s="155" t="s">
        <v>238</v>
      </c>
      <c r="D39" s="155"/>
      <c r="E39" s="155"/>
      <c r="F39" s="200" t="s">
        <v>64</v>
      </c>
      <c r="G39" s="155"/>
      <c r="H39" s="155" t="s">
        <v>227</v>
      </c>
      <c r="I39" s="155"/>
      <c r="J39" s="156" t="s">
        <v>224</v>
      </c>
      <c r="K39" s="191" t="s">
        <v>241</v>
      </c>
      <c r="L39" s="128"/>
    </row>
    <row r="40" spans="1:13" ht="14.25" customHeight="1" x14ac:dyDescent="0.35">
      <c r="A40" s="128"/>
      <c r="C40" s="117" t="s">
        <v>246</v>
      </c>
      <c r="E40" s="164">
        <v>-531.14818522099995</v>
      </c>
      <c r="F40" s="164">
        <v>-531.103069</v>
      </c>
      <c r="G40" s="128"/>
      <c r="L40" s="128"/>
    </row>
    <row r="41" spans="1:13" ht="14.25" customHeight="1" x14ac:dyDescent="0.35">
      <c r="A41" s="128"/>
      <c r="C41" s="28" t="s">
        <v>260</v>
      </c>
      <c r="E41" s="3">
        <v>-1062.29457174</v>
      </c>
      <c r="F41" s="28">
        <v>-1062.174622</v>
      </c>
      <c r="G41" s="128"/>
      <c r="H41" s="28" t="s">
        <v>259</v>
      </c>
      <c r="I41" s="28"/>
      <c r="J41" s="37">
        <f>(F41-2*F40)*$D$4</f>
        <v>19.776589402006611</v>
      </c>
      <c r="K41" s="25">
        <f>J44-J41</f>
        <v>-18.86419058888465</v>
      </c>
      <c r="L41" s="128"/>
    </row>
    <row r="42" spans="1:13" ht="14.25" customHeight="1" x14ac:dyDescent="0.25">
      <c r="A42" s="128"/>
      <c r="G42" s="128"/>
      <c r="L42" s="128"/>
    </row>
    <row r="43" spans="1:13" ht="14.25" customHeight="1" x14ac:dyDescent="0.25">
      <c r="A43" s="128"/>
      <c r="B43" s="128"/>
      <c r="C43" s="204" t="s">
        <v>33</v>
      </c>
      <c r="D43" s="203"/>
      <c r="E43" s="203"/>
      <c r="F43" s="203" t="s">
        <v>64</v>
      </c>
      <c r="G43" s="128"/>
      <c r="H43" s="208"/>
      <c r="I43" s="208"/>
      <c r="J43" s="209"/>
      <c r="K43" s="209"/>
      <c r="L43" s="128"/>
    </row>
    <row r="44" spans="1:13" ht="14.25" customHeight="1" x14ac:dyDescent="0.35">
      <c r="A44" s="128"/>
      <c r="C44" s="117" t="s">
        <v>246</v>
      </c>
      <c r="D44" s="197"/>
      <c r="E44" s="172"/>
      <c r="F44" s="164">
        <v>-530.47179400000005</v>
      </c>
      <c r="G44" s="128"/>
      <c r="H44" s="28" t="s">
        <v>259</v>
      </c>
      <c r="I44" s="168"/>
      <c r="J44" s="37">
        <f>(F45-2*F44)*$D$4</f>
        <v>0.91239881312195981</v>
      </c>
      <c r="K44" s="177"/>
      <c r="L44" s="128"/>
    </row>
    <row r="45" spans="1:13" ht="14.25" customHeight="1" x14ac:dyDescent="0.35">
      <c r="A45" s="128"/>
      <c r="C45" s="28" t="s">
        <v>260</v>
      </c>
      <c r="D45" s="195"/>
      <c r="E45" s="164"/>
      <c r="F45" s="28">
        <v>-1060.9421339999999</v>
      </c>
      <c r="G45" s="128"/>
      <c r="H45" s="195"/>
      <c r="I45" s="195"/>
      <c r="J45" s="196"/>
      <c r="K45" s="196"/>
      <c r="L45" s="128"/>
    </row>
    <row r="46" spans="1:13" x14ac:dyDescent="0.25">
      <c r="A46" s="128"/>
      <c r="B46" s="128"/>
      <c r="C46" s="202"/>
      <c r="D46" s="128"/>
      <c r="E46" s="128"/>
      <c r="F46" s="137"/>
      <c r="G46" s="128"/>
      <c r="H46" s="128"/>
      <c r="I46" s="128"/>
      <c r="J46" s="160"/>
      <c r="K46" s="160"/>
      <c r="L46" s="128"/>
      <c r="M46" s="14"/>
    </row>
    <row r="47" spans="1:13" x14ac:dyDescent="0.25">
      <c r="G47" s="11"/>
      <c r="J47" s="16"/>
      <c r="M47" s="14"/>
    </row>
    <row r="48" spans="1:13" x14ac:dyDescent="0.25">
      <c r="G48" s="197"/>
      <c r="J48" s="16"/>
      <c r="M48" s="14"/>
    </row>
    <row r="49" spans="2:13" x14ac:dyDescent="0.25">
      <c r="G49" s="195"/>
      <c r="I49" s="195"/>
      <c r="J49" s="16"/>
      <c r="M49" s="14"/>
    </row>
    <row r="50" spans="2:13" x14ac:dyDescent="0.25">
      <c r="B50" s="124"/>
      <c r="C50" s="195"/>
      <c r="D50" s="195"/>
      <c r="G50" s="195"/>
      <c r="M50" s="16"/>
    </row>
    <row r="51" spans="2:13" x14ac:dyDescent="0.25">
      <c r="G51" s="195"/>
      <c r="I51" s="168"/>
      <c r="J51" s="177"/>
      <c r="K51" s="177"/>
      <c r="M51" s="14"/>
    </row>
    <row r="52" spans="2:13" x14ac:dyDescent="0.25">
      <c r="B52" s="124"/>
      <c r="G52" s="195"/>
      <c r="H52" s="168"/>
      <c r="I52" s="168"/>
      <c r="J52" s="177"/>
      <c r="K52" s="177"/>
      <c r="M52" s="14"/>
    </row>
    <row r="53" spans="2:13" x14ac:dyDescent="0.25">
      <c r="B53" s="124"/>
      <c r="G53" s="195"/>
      <c r="H53" s="168"/>
      <c r="I53" s="168"/>
      <c r="J53" s="177"/>
      <c r="K53" s="177"/>
      <c r="M53" s="14"/>
    </row>
    <row r="54" spans="2:13" x14ac:dyDescent="0.25">
      <c r="B54" s="206"/>
      <c r="C54" s="13"/>
      <c r="D54" s="13"/>
      <c r="E54" s="13"/>
      <c r="F54" s="13"/>
      <c r="G54" s="13"/>
      <c r="H54" s="13"/>
      <c r="I54" s="13"/>
      <c r="J54" s="172"/>
      <c r="K54" s="172"/>
    </row>
    <row r="55" spans="2:13" x14ac:dyDescent="0.25">
      <c r="B55" s="36"/>
      <c r="C55" s="13"/>
      <c r="D55" s="13"/>
      <c r="E55" s="13"/>
      <c r="F55" s="13"/>
      <c r="G55" s="13"/>
      <c r="H55" s="13"/>
      <c r="I55" s="13"/>
      <c r="J55" s="13"/>
      <c r="K55" s="13"/>
    </row>
    <row r="56" spans="2:13" x14ac:dyDescent="0.25">
      <c r="B56" s="206"/>
      <c r="C56" s="13"/>
      <c r="D56" s="13"/>
      <c r="E56" s="13"/>
      <c r="F56" s="13"/>
      <c r="G56" s="13"/>
      <c r="H56" s="56"/>
      <c r="I56" s="56"/>
      <c r="J56" s="176"/>
      <c r="K56" s="176"/>
    </row>
    <row r="57" spans="2:13" x14ac:dyDescent="0.25">
      <c r="B57" s="206"/>
      <c r="C57" s="13"/>
      <c r="D57" s="13"/>
      <c r="E57" s="13"/>
      <c r="F57" s="13"/>
      <c r="G57" s="13"/>
      <c r="H57" s="56"/>
      <c r="I57" s="56"/>
      <c r="J57" s="176"/>
      <c r="K57" s="176"/>
    </row>
    <row r="58" spans="2:13" x14ac:dyDescent="0.25">
      <c r="B58" s="206"/>
      <c r="C58" s="13"/>
      <c r="D58" s="13"/>
      <c r="E58" s="13"/>
      <c r="F58" s="13"/>
      <c r="G58" s="13"/>
      <c r="H58" s="56"/>
      <c r="I58" s="56"/>
      <c r="J58" s="176"/>
      <c r="K58" s="176"/>
    </row>
    <row r="59" spans="2:13" x14ac:dyDescent="0.25">
      <c r="B59" s="206"/>
      <c r="C59" s="13"/>
      <c r="D59" s="13"/>
      <c r="E59" s="13"/>
      <c r="F59" s="13"/>
      <c r="G59" s="13"/>
      <c r="H59" s="56"/>
      <c r="I59" s="56"/>
      <c r="J59" s="176"/>
      <c r="K59" s="176"/>
    </row>
    <row r="60" spans="2:13" x14ac:dyDescent="0.25">
      <c r="B60" s="206"/>
      <c r="C60" s="13"/>
      <c r="D60" s="13"/>
      <c r="E60" s="13"/>
      <c r="F60" s="13"/>
      <c r="G60" s="13"/>
      <c r="H60" s="56"/>
      <c r="I60" s="56"/>
      <c r="J60" s="176"/>
      <c r="K60" s="176"/>
    </row>
    <row r="61" spans="2:13" x14ac:dyDescent="0.25">
      <c r="B61" s="206"/>
      <c r="C61" s="13"/>
      <c r="D61" s="13"/>
      <c r="E61" s="13"/>
      <c r="F61" s="13"/>
      <c r="G61" s="13"/>
      <c r="H61" s="56"/>
      <c r="I61" s="56"/>
      <c r="J61" s="176"/>
      <c r="K61" s="176"/>
    </row>
    <row r="62" spans="2:13" x14ac:dyDescent="0.25">
      <c r="B62" s="206"/>
      <c r="C62" s="13"/>
      <c r="D62" s="13"/>
      <c r="E62" s="13"/>
      <c r="F62" s="13"/>
      <c r="G62" s="13"/>
      <c r="H62" s="56"/>
      <c r="I62" s="56"/>
      <c r="J62" s="176"/>
      <c r="K62" s="176"/>
    </row>
    <row r="63" spans="2:13" x14ac:dyDescent="0.25">
      <c r="B63" s="36"/>
      <c r="C63" s="13"/>
      <c r="D63" s="13"/>
      <c r="E63" s="13"/>
      <c r="F63" s="13"/>
      <c r="G63" s="13"/>
      <c r="H63" s="56"/>
      <c r="I63" s="56"/>
      <c r="J63" s="176"/>
      <c r="K63" s="176"/>
    </row>
    <row r="64" spans="2:13" x14ac:dyDescent="0.25">
      <c r="B64" s="206"/>
      <c r="C64" s="13"/>
      <c r="D64" s="13"/>
      <c r="E64" s="13"/>
      <c r="F64" s="13"/>
      <c r="G64" s="13"/>
      <c r="H64" s="56"/>
      <c r="I64" s="56"/>
      <c r="J64" s="176"/>
      <c r="K64" s="176"/>
    </row>
    <row r="65" spans="2:11" x14ac:dyDescent="0.25">
      <c r="B65" s="206"/>
      <c r="C65" s="13"/>
      <c r="D65" s="13"/>
      <c r="E65" s="13"/>
      <c r="F65" s="13"/>
      <c r="G65" s="13"/>
      <c r="H65" s="56"/>
      <c r="I65" s="56"/>
      <c r="J65" s="176"/>
      <c r="K65" s="176"/>
    </row>
    <row r="66" spans="2:11" x14ac:dyDescent="0.25">
      <c r="B66" s="206"/>
      <c r="C66" s="13"/>
      <c r="D66" s="13"/>
      <c r="E66" s="13"/>
      <c r="F66" s="13"/>
      <c r="G66" s="13"/>
      <c r="H66" s="56"/>
      <c r="I66" s="56"/>
      <c r="J66" s="176"/>
      <c r="K66" s="176"/>
    </row>
    <row r="67" spans="2:11" x14ac:dyDescent="0.25">
      <c r="B67" s="206"/>
      <c r="C67" s="13"/>
      <c r="D67" s="13"/>
      <c r="E67" s="13"/>
      <c r="F67" s="13"/>
      <c r="G67" s="13"/>
      <c r="H67" s="56"/>
      <c r="I67" s="56"/>
      <c r="J67" s="176"/>
      <c r="K67" s="176"/>
    </row>
    <row r="68" spans="2:11" x14ac:dyDescent="0.25">
      <c r="B68" s="206"/>
      <c r="C68" s="13"/>
      <c r="D68" s="13"/>
      <c r="E68" s="13"/>
      <c r="F68" s="13"/>
      <c r="G68" s="13"/>
      <c r="H68" s="13"/>
      <c r="I68" s="207"/>
      <c r="J68" s="13"/>
      <c r="K68" s="13"/>
    </row>
    <row r="69" spans="2:11" x14ac:dyDescent="0.25">
      <c r="B69" s="206"/>
      <c r="C69" s="13"/>
      <c r="D69" s="13"/>
      <c r="E69" s="13"/>
      <c r="F69" s="13"/>
      <c r="G69" s="13"/>
      <c r="H69" s="13"/>
      <c r="I69" s="13"/>
      <c r="J69" s="13"/>
      <c r="K69" s="1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8"/>
  <sheetViews>
    <sheetView tabSelected="1" zoomScale="70" zoomScaleNormal="70" workbookViewId="0">
      <pane ySplit="4" topLeftCell="A5" activePane="bottomLeft" state="frozen"/>
      <selection pane="bottomLeft" activeCell="X17" sqref="X17"/>
    </sheetView>
  </sheetViews>
  <sheetFormatPr defaultRowHeight="15" x14ac:dyDescent="0.25"/>
  <cols>
    <col min="1" max="1" width="2.7109375" style="3" customWidth="1"/>
    <col min="2" max="2" width="9.140625" style="3"/>
    <col min="3" max="14" width="12.7109375" style="3" customWidth="1"/>
    <col min="15" max="15" width="9.140625" style="3" customWidth="1"/>
    <col min="16" max="16" width="12.7109375" style="3" customWidth="1"/>
    <col min="17" max="17" width="5.7109375" style="3" customWidth="1"/>
    <col min="18" max="16384" width="9.140625" style="3"/>
  </cols>
  <sheetData>
    <row r="1" spans="1:22" ht="15.75" x14ac:dyDescent="0.25">
      <c r="B1" s="212" t="s">
        <v>275</v>
      </c>
    </row>
    <row r="3" spans="1:22" x14ac:dyDescent="0.25">
      <c r="C3" s="56" t="s">
        <v>258</v>
      </c>
      <c r="D3" s="56" t="s">
        <v>2</v>
      </c>
      <c r="E3" s="56" t="s">
        <v>3</v>
      </c>
      <c r="F3" s="56" t="s">
        <v>4</v>
      </c>
      <c r="G3" s="56" t="s">
        <v>10</v>
      </c>
      <c r="H3" s="56" t="s">
        <v>6</v>
      </c>
      <c r="I3" s="56"/>
      <c r="J3" s="38"/>
      <c r="K3" s="38"/>
      <c r="L3" s="56"/>
      <c r="M3" s="56"/>
    </row>
    <row r="4" spans="1:22" x14ac:dyDescent="0.25">
      <c r="C4" s="56"/>
      <c r="D4" s="56">
        <v>627.5095</v>
      </c>
      <c r="E4" s="56">
        <v>1.9858775000000002E-3</v>
      </c>
      <c r="F4" s="56">
        <v>298.14999999999998</v>
      </c>
      <c r="G4" s="56">
        <f>LN(10)*E4*F4</f>
        <v>1.3633361723368622</v>
      </c>
      <c r="H4" s="176">
        <f>-6.287-265.9+1.89</f>
        <v>-270.29699999999997</v>
      </c>
      <c r="I4" s="56"/>
      <c r="J4" s="38"/>
      <c r="K4" s="38"/>
      <c r="L4" s="38"/>
      <c r="M4" s="56"/>
    </row>
    <row r="5" spans="1:22" x14ac:dyDescent="0.25">
      <c r="C5" s="56"/>
      <c r="D5" s="56"/>
      <c r="E5" s="56"/>
      <c r="F5" s="56"/>
      <c r="G5" s="56"/>
      <c r="H5" s="176"/>
      <c r="I5" s="56"/>
      <c r="J5" s="38"/>
      <c r="K5" s="38"/>
      <c r="L5" s="38"/>
      <c r="M5" s="56"/>
    </row>
    <row r="6" spans="1:22" x14ac:dyDescent="0.25">
      <c r="A6" s="133"/>
      <c r="B6" s="133"/>
      <c r="C6" s="153" t="s">
        <v>33</v>
      </c>
      <c r="D6" s="153"/>
      <c r="E6" s="153"/>
      <c r="F6" s="153"/>
      <c r="G6" s="153"/>
      <c r="H6" s="153"/>
      <c r="I6" s="153"/>
      <c r="J6" s="153"/>
      <c r="K6" s="153"/>
      <c r="L6" s="56"/>
      <c r="M6" s="129" t="s">
        <v>273</v>
      </c>
      <c r="N6" s="133"/>
      <c r="O6" s="133"/>
      <c r="P6" s="133"/>
      <c r="Q6" s="133"/>
      <c r="R6" s="133"/>
      <c r="S6" s="133"/>
      <c r="T6" s="133"/>
    </row>
    <row r="7" spans="1:22" x14ac:dyDescent="0.25">
      <c r="A7" s="133"/>
      <c r="B7" s="155" t="s">
        <v>239</v>
      </c>
      <c r="C7" s="200" t="s">
        <v>238</v>
      </c>
      <c r="D7" s="200"/>
      <c r="E7" s="200" t="s">
        <v>64</v>
      </c>
      <c r="F7" s="155"/>
      <c r="G7" s="200" t="s">
        <v>227</v>
      </c>
      <c r="H7" s="155"/>
      <c r="I7" s="156" t="s">
        <v>65</v>
      </c>
      <c r="J7" s="200" t="s">
        <v>224</v>
      </c>
      <c r="K7" s="203"/>
      <c r="M7" s="155"/>
      <c r="N7" s="155"/>
      <c r="O7" s="155"/>
      <c r="P7" s="156" t="s">
        <v>224</v>
      </c>
      <c r="Q7" s="156"/>
      <c r="R7" s="155"/>
      <c r="S7" s="155"/>
      <c r="T7" s="156" t="s">
        <v>224</v>
      </c>
    </row>
    <row r="8" spans="1:22" x14ac:dyDescent="0.25">
      <c r="A8" s="133"/>
      <c r="B8" s="198"/>
      <c r="C8" s="3" t="s">
        <v>182</v>
      </c>
      <c r="E8" s="3">
        <v>-835.59641199999999</v>
      </c>
      <c r="F8" s="128"/>
      <c r="G8" s="3" t="s">
        <v>199</v>
      </c>
      <c r="I8" s="4">
        <f>(E8+E9)*$D$4</f>
        <v>-618677.73174897907</v>
      </c>
      <c r="J8" s="4">
        <f>I8-$I$8</f>
        <v>0</v>
      </c>
      <c r="K8" s="160"/>
      <c r="M8" s="3">
        <v>1</v>
      </c>
      <c r="N8" s="3" t="s">
        <v>199</v>
      </c>
      <c r="P8" s="4">
        <f>I8-I8</f>
        <v>0</v>
      </c>
      <c r="Q8" s="4"/>
      <c r="R8" s="3" t="s">
        <v>199</v>
      </c>
      <c r="T8" s="4">
        <f>P8-P8</f>
        <v>0</v>
      </c>
      <c r="U8" s="4"/>
    </row>
    <row r="9" spans="1:22" x14ac:dyDescent="0.25">
      <c r="A9" s="133"/>
      <c r="B9" s="198"/>
      <c r="C9" s="56" t="s">
        <v>200</v>
      </c>
      <c r="D9" s="28"/>
      <c r="E9" s="28">
        <v>-150.32927000000001</v>
      </c>
      <c r="F9" s="128"/>
      <c r="G9" s="3" t="s">
        <v>205</v>
      </c>
      <c r="J9" s="4">
        <f>(E14-E9-E8)*$D$4</f>
        <v>-5.3959541905737227</v>
      </c>
      <c r="K9" s="160"/>
      <c r="M9" s="3">
        <v>2</v>
      </c>
      <c r="P9" s="4">
        <f>I8-I8</f>
        <v>0</v>
      </c>
      <c r="Q9" s="4"/>
      <c r="T9" s="4">
        <f>P8-P8</f>
        <v>0</v>
      </c>
      <c r="U9" s="4"/>
    </row>
    <row r="10" spans="1:22" x14ac:dyDescent="0.25">
      <c r="A10" s="133"/>
      <c r="B10" s="198"/>
      <c r="C10" s="56" t="s">
        <v>201</v>
      </c>
      <c r="D10" s="28"/>
      <c r="E10" s="28">
        <v>-151.41531800000001</v>
      </c>
      <c r="F10" s="128"/>
      <c r="G10" s="56"/>
      <c r="J10" s="4"/>
      <c r="K10" s="160"/>
      <c r="M10" s="3">
        <v>3</v>
      </c>
      <c r="N10" s="220">
        <v>5</v>
      </c>
      <c r="O10" s="56"/>
      <c r="P10" s="4">
        <f>(E14-E8-E9)*$D$4</f>
        <v>-5.3959541905380535</v>
      </c>
      <c r="Q10" s="4"/>
      <c r="R10" s="220">
        <v>5</v>
      </c>
      <c r="S10" s="56"/>
      <c r="T10" s="4">
        <f>(E14-E8-E9)*$D$4</f>
        <v>-5.3959541905380535</v>
      </c>
      <c r="U10" s="4"/>
    </row>
    <row r="11" spans="1:22" ht="15" customHeight="1" x14ac:dyDescent="0.25">
      <c r="A11" s="214"/>
      <c r="B11" s="215" t="s">
        <v>277</v>
      </c>
      <c r="C11" s="216" t="s">
        <v>202</v>
      </c>
      <c r="D11" s="217"/>
      <c r="E11" s="217">
        <v>-986.84868800000004</v>
      </c>
      <c r="F11" s="218"/>
      <c r="G11" s="217" t="s">
        <v>284</v>
      </c>
      <c r="H11" s="217"/>
      <c r="I11" s="217"/>
      <c r="J11" s="219">
        <f>(E12-E11)*D4</f>
        <v>18.096746470538772</v>
      </c>
      <c r="K11" s="160"/>
      <c r="M11" s="3">
        <v>4</v>
      </c>
      <c r="N11" s="198"/>
      <c r="P11" s="4">
        <f>(E14-E8-E9)*$D$4</f>
        <v>-5.3959541905380535</v>
      </c>
      <c r="Q11" s="4"/>
      <c r="R11" s="198"/>
      <c r="T11" s="4">
        <f>(E14-E8-E9)*$D$4</f>
        <v>-5.3959541905380535</v>
      </c>
      <c r="U11" s="4"/>
    </row>
    <row r="12" spans="1:22" ht="15" customHeight="1" x14ac:dyDescent="0.25">
      <c r="A12" s="214"/>
      <c r="B12" s="215"/>
      <c r="C12" s="217" t="s">
        <v>283</v>
      </c>
      <c r="D12" s="217"/>
      <c r="E12" s="217">
        <v>-986.81984899999998</v>
      </c>
      <c r="F12" s="218"/>
      <c r="G12" s="217" t="s">
        <v>285</v>
      </c>
      <c r="H12" s="217"/>
      <c r="I12" s="217"/>
      <c r="J12" s="219">
        <f>(E17-E16)*$D$4</f>
        <v>7.6662835614775187</v>
      </c>
      <c r="K12" s="160"/>
      <c r="M12" s="3">
        <v>5</v>
      </c>
      <c r="N12" s="198">
        <v>7</v>
      </c>
      <c r="P12" s="4">
        <f>(E15-E8-E9)*$D$4-H4</f>
        <v>-28.268255043004785</v>
      </c>
      <c r="Q12" s="4"/>
      <c r="R12" s="198">
        <v>7</v>
      </c>
      <c r="T12" s="4">
        <f>(E15-E8-E9)*$D$4-H4</f>
        <v>-28.268255043004785</v>
      </c>
      <c r="U12" s="4"/>
      <c r="V12" s="4"/>
    </row>
    <row r="13" spans="1:22" x14ac:dyDescent="0.25">
      <c r="A13" s="133"/>
      <c r="B13" s="198"/>
      <c r="C13" s="56" t="s">
        <v>204</v>
      </c>
      <c r="E13" s="164">
        <v>-986.83111399999996</v>
      </c>
      <c r="F13" s="128"/>
      <c r="G13" s="3" t="s">
        <v>286</v>
      </c>
      <c r="J13" s="4">
        <f>(E20-E19)*$D$4</f>
        <v>19.127117069505562</v>
      </c>
      <c r="K13" s="160"/>
      <c r="M13" s="3">
        <v>6</v>
      </c>
      <c r="N13" s="198"/>
      <c r="P13" s="4">
        <f>(E15-E8-E9)*$D$4-H4</f>
        <v>-28.268255043004785</v>
      </c>
      <c r="Q13" s="4"/>
      <c r="R13" s="198"/>
      <c r="T13" s="4">
        <f>(E15-E8-E9)*$D$4-H4</f>
        <v>-28.268255043004785</v>
      </c>
      <c r="U13" s="4"/>
    </row>
    <row r="14" spans="1:22" x14ac:dyDescent="0.25">
      <c r="A14" s="133"/>
      <c r="B14" s="198">
        <v>5</v>
      </c>
      <c r="C14" s="56" t="s">
        <v>276</v>
      </c>
      <c r="E14" s="3">
        <v>-985.93428100000006</v>
      </c>
      <c r="F14" s="128"/>
      <c r="K14" s="160"/>
      <c r="M14" s="3">
        <v>7</v>
      </c>
      <c r="N14" s="198" t="s">
        <v>277</v>
      </c>
      <c r="P14" s="37">
        <f>(E11-E8-E9)*$D$4-2*H4</f>
        <v>-38.601033557027336</v>
      </c>
      <c r="Q14" s="37"/>
      <c r="R14" s="198" t="s">
        <v>277</v>
      </c>
      <c r="T14" s="37">
        <f>(E11-E8-E9)*$D$4-2*H4</f>
        <v>-38.601033557027336</v>
      </c>
      <c r="U14" s="4"/>
      <c r="V14" s="4"/>
    </row>
    <row r="15" spans="1:22" x14ac:dyDescent="0.25">
      <c r="A15" s="133"/>
      <c r="B15" s="198">
        <v>7</v>
      </c>
      <c r="C15" s="56" t="s">
        <v>203</v>
      </c>
      <c r="E15" s="3">
        <v>-986.401476</v>
      </c>
      <c r="F15" s="128"/>
      <c r="J15" s="4"/>
      <c r="K15" s="160"/>
      <c r="M15" s="3">
        <v>8</v>
      </c>
      <c r="N15" s="198"/>
      <c r="P15" s="4">
        <f>(E11-E8-E9)*$D$4-2*H4</f>
        <v>-38.601033557027336</v>
      </c>
      <c r="Q15" s="4"/>
      <c r="R15" s="198"/>
      <c r="T15" s="4">
        <f>(E11-E8-E9)*$D$4-2*H4</f>
        <v>-38.601033557027336</v>
      </c>
      <c r="U15" s="4"/>
    </row>
    <row r="16" spans="1:22" ht="18" x14ac:dyDescent="0.35">
      <c r="A16" s="133"/>
      <c r="B16" s="198" t="s">
        <v>278</v>
      </c>
      <c r="C16" s="56" t="s">
        <v>206</v>
      </c>
      <c r="E16" s="3">
        <v>-986.846767</v>
      </c>
      <c r="F16" s="137"/>
      <c r="G16" s="153" t="s">
        <v>291</v>
      </c>
      <c r="H16" s="153"/>
      <c r="I16" s="153"/>
      <c r="J16" s="203" t="s">
        <v>224</v>
      </c>
      <c r="K16" s="144"/>
      <c r="M16" s="3">
        <v>9</v>
      </c>
      <c r="N16" s="3" t="s">
        <v>283</v>
      </c>
      <c r="P16" s="4">
        <f>(E12-E8-E9)*$D$4-2*$H$4</f>
        <v>-20.504287086488603</v>
      </c>
      <c r="Q16" s="4"/>
      <c r="R16" s="2" t="s">
        <v>278</v>
      </c>
      <c r="T16" s="4">
        <f>(E16-E8-E9)*$D$4-2*H4</f>
        <v>-37.395587807503262</v>
      </c>
      <c r="U16" s="4"/>
    </row>
    <row r="17" spans="1:23" x14ac:dyDescent="0.25">
      <c r="A17" s="133"/>
      <c r="B17" s="198"/>
      <c r="C17" s="3" t="s">
        <v>280</v>
      </c>
      <c r="E17" s="3">
        <v>-986.83455000000004</v>
      </c>
      <c r="F17" s="128"/>
      <c r="G17" s="3" t="s">
        <v>287</v>
      </c>
      <c r="J17" s="4"/>
      <c r="K17" s="160"/>
      <c r="M17" s="3">
        <v>10</v>
      </c>
      <c r="P17" s="4">
        <f>(E12-E8-E9)*$D$4-2*$H$4</f>
        <v>-20.504287086488603</v>
      </c>
      <c r="Q17" s="4"/>
      <c r="R17" s="2"/>
      <c r="T17" s="4">
        <f>(E16-E8-E9)*$D$4-2*H4</f>
        <v>-37.395587807503262</v>
      </c>
      <c r="U17" s="4"/>
    </row>
    <row r="18" spans="1:23" x14ac:dyDescent="0.25">
      <c r="A18" s="133"/>
      <c r="B18" s="198" t="s">
        <v>279</v>
      </c>
      <c r="C18" s="3" t="s">
        <v>208</v>
      </c>
      <c r="E18" s="3">
        <v>-986.86550899999997</v>
      </c>
      <c r="F18" s="128"/>
      <c r="G18" s="3" t="s">
        <v>288</v>
      </c>
      <c r="J18" s="4"/>
      <c r="K18" s="160"/>
      <c r="M18" s="3">
        <v>11</v>
      </c>
      <c r="N18" s="3" t="s">
        <v>207</v>
      </c>
      <c r="P18" s="37">
        <f>(E22+E10-E8-E9)*$D$4-2*$H$4</f>
        <v>-33.76230780254491</v>
      </c>
      <c r="Q18" s="37"/>
      <c r="R18" s="2" t="s">
        <v>295</v>
      </c>
      <c r="T18" s="4">
        <f>(E17-E8-E9)*$D$4-2*H4</f>
        <v>-29.729304246025663</v>
      </c>
      <c r="U18" s="4"/>
      <c r="V18" s="4"/>
    </row>
    <row r="19" spans="1:23" x14ac:dyDescent="0.25">
      <c r="A19" s="133"/>
      <c r="B19" s="198" t="s">
        <v>281</v>
      </c>
      <c r="C19" s="56" t="s">
        <v>209</v>
      </c>
      <c r="E19" s="3">
        <v>-986.85913500000004</v>
      </c>
      <c r="F19" s="128"/>
      <c r="G19" s="3" t="s">
        <v>289</v>
      </c>
      <c r="J19" s="4"/>
      <c r="K19" s="160"/>
      <c r="M19" s="3">
        <v>12</v>
      </c>
      <c r="P19" s="4">
        <f>(E22+E10-E8-E9)*$D$4-2*$H$4</f>
        <v>-33.76230780254491</v>
      </c>
      <c r="Q19" s="4"/>
      <c r="R19" s="2"/>
      <c r="T19" s="4">
        <f>(E17-E8-E9)*$D$4-2*H4</f>
        <v>-29.729304246025663</v>
      </c>
      <c r="U19" s="4"/>
    </row>
    <row r="20" spans="1:23" ht="18" x14ac:dyDescent="0.35">
      <c r="A20" s="133"/>
      <c r="B20" s="198"/>
      <c r="C20" s="3" t="s">
        <v>282</v>
      </c>
      <c r="E20" s="3">
        <v>-986.82865400000003</v>
      </c>
      <c r="F20" s="128"/>
      <c r="G20" s="3" t="s">
        <v>290</v>
      </c>
      <c r="J20" s="4"/>
      <c r="K20" s="160"/>
      <c r="M20" s="3">
        <v>13</v>
      </c>
      <c r="N20" s="3" t="s">
        <v>210</v>
      </c>
      <c r="P20" s="37">
        <f>(E23+E10-E8-E9)*$D$4-2*$H$4</f>
        <v>-35.287783396974419</v>
      </c>
      <c r="Q20" s="37"/>
      <c r="R20" s="2" t="s">
        <v>279</v>
      </c>
      <c r="T20" s="37">
        <f>(E18-E8-E9)*$D$4-2*H4</f>
        <v>-49.156370856487342</v>
      </c>
      <c r="U20" s="4"/>
      <c r="W20" s="4"/>
    </row>
    <row r="21" spans="1:23" ht="18" x14ac:dyDescent="0.35">
      <c r="A21" s="133"/>
      <c r="C21" s="94" t="s">
        <v>214</v>
      </c>
      <c r="E21" s="3">
        <v>-835.44291299999998</v>
      </c>
      <c r="F21" s="128"/>
      <c r="J21" s="4"/>
      <c r="K21" s="160"/>
      <c r="M21" s="3">
        <v>14</v>
      </c>
      <c r="P21" s="4">
        <f>(E23+E10-E8-E9)*$D$4-2*$H$4</f>
        <v>-35.287783396974419</v>
      </c>
      <c r="Q21" s="4"/>
      <c r="R21" s="2"/>
      <c r="T21" s="4">
        <f>(E18-E8-E9)*$D$4-2*H4</f>
        <v>-49.156370856487342</v>
      </c>
      <c r="U21" s="4"/>
    </row>
    <row r="22" spans="1:23" ht="18" x14ac:dyDescent="0.35">
      <c r="A22" s="133"/>
      <c r="C22" s="94" t="s">
        <v>213</v>
      </c>
      <c r="D22" s="64"/>
      <c r="E22" s="164">
        <v>-835.425659</v>
      </c>
      <c r="F22" s="128"/>
      <c r="J22" s="4"/>
      <c r="K22" s="160"/>
      <c r="M22" s="3">
        <v>15</v>
      </c>
      <c r="N22" s="28" t="s">
        <v>274</v>
      </c>
      <c r="P22" s="4">
        <f>(E24+E10-E8-E9)*$D$4-2*$H$4</f>
        <v>-24.234831064058085</v>
      </c>
      <c r="Q22" s="4"/>
      <c r="R22" s="2" t="s">
        <v>281</v>
      </c>
      <c r="T22" s="4">
        <f>(E19-E8-E9)*$D$4-2*H4</f>
        <v>-45.15662530352688</v>
      </c>
      <c r="U22" s="4"/>
    </row>
    <row r="23" spans="1:23" ht="18" x14ac:dyDescent="0.35">
      <c r="A23" s="133"/>
      <c r="B23" s="64"/>
      <c r="C23" s="94" t="s">
        <v>249</v>
      </c>
      <c r="D23" s="64"/>
      <c r="E23" s="28">
        <v>-835.42809</v>
      </c>
      <c r="F23" s="128"/>
      <c r="J23" s="4"/>
      <c r="K23" s="160"/>
      <c r="M23" s="3">
        <v>16</v>
      </c>
      <c r="P23" s="4">
        <f>(E24+E10-E8-E9)*$D$4-2*$H$4</f>
        <v>-24.234831064058085</v>
      </c>
      <c r="Q23" s="4"/>
      <c r="T23" s="4">
        <f>(E19-E8-E9)*$D$4-2*H4</f>
        <v>-45.15662530352688</v>
      </c>
      <c r="U23" s="4"/>
    </row>
    <row r="24" spans="1:23" s="64" customFormat="1" ht="18" x14ac:dyDescent="0.35">
      <c r="A24" s="211"/>
      <c r="C24" s="28" t="s">
        <v>274</v>
      </c>
      <c r="E24" s="28">
        <v>-835.41047600000002</v>
      </c>
      <c r="F24" s="137"/>
      <c r="G24" s="137" t="s">
        <v>292</v>
      </c>
      <c r="H24" s="137"/>
      <c r="I24" s="137"/>
      <c r="J24" s="161" t="s">
        <v>178</v>
      </c>
      <c r="K24" s="213"/>
      <c r="M24" s="28">
        <v>17</v>
      </c>
      <c r="N24" s="28" t="s">
        <v>211</v>
      </c>
      <c r="O24" s="28"/>
      <c r="P24" s="37">
        <f>(E21+E10-E8-E9)*$D$4-2*$H$4+2.1175</f>
        <v>-42.471856715461008</v>
      </c>
      <c r="Q24" s="37"/>
      <c r="R24" s="3" t="s">
        <v>282</v>
      </c>
      <c r="S24" s="28"/>
      <c r="T24" s="37">
        <f>(E20-E8-E9)*$D$4-2*H4</f>
        <v>-26.029508234021364</v>
      </c>
      <c r="U24" s="10"/>
    </row>
    <row r="25" spans="1:23" s="64" customFormat="1" x14ac:dyDescent="0.25">
      <c r="A25" s="153"/>
      <c r="B25" s="198" t="s">
        <v>277</v>
      </c>
      <c r="C25" s="56" t="s">
        <v>202</v>
      </c>
      <c r="D25" s="28"/>
      <c r="E25" s="28">
        <v>-986.84868800000004</v>
      </c>
      <c r="F25" s="137"/>
      <c r="G25" s="28" t="s">
        <v>271</v>
      </c>
      <c r="H25" s="28"/>
      <c r="I25" s="28"/>
      <c r="J25" s="37">
        <f>(E26*$D$4+$H$4-E25*$D$4)/$G$4</f>
        <v>11.632680920710518</v>
      </c>
      <c r="K25" s="210"/>
      <c r="M25" s="28">
        <v>18</v>
      </c>
      <c r="N25" s="28"/>
      <c r="O25" s="28"/>
      <c r="P25" s="37">
        <f>(E21+E10-E8-E9)*$D$4-2*$H$4+2.1175</f>
        <v>-42.471856715461008</v>
      </c>
      <c r="Q25" s="37"/>
      <c r="R25" s="28"/>
      <c r="S25" s="28"/>
      <c r="T25" s="37">
        <f>(E20-E8-E9)*$D$4-2*H4</f>
        <v>-26.029508234021364</v>
      </c>
      <c r="U25" s="10"/>
    </row>
    <row r="26" spans="1:23" s="64" customFormat="1" x14ac:dyDescent="0.25">
      <c r="A26" s="210"/>
      <c r="B26" s="198">
        <v>11</v>
      </c>
      <c r="C26" s="56" t="s">
        <v>272</v>
      </c>
      <c r="D26" s="28"/>
      <c r="E26" s="28">
        <v>-986.39266899999996</v>
      </c>
      <c r="F26" s="137"/>
      <c r="G26" s="28" t="s">
        <v>270</v>
      </c>
      <c r="H26" s="28"/>
      <c r="I26" s="28"/>
      <c r="J26" s="37">
        <f>(E27*$D$4+$H$4-E25*$D$4)/$G$4</f>
        <v>7.5790393620863439</v>
      </c>
      <c r="K26" s="210"/>
      <c r="M26" s="28">
        <v>19</v>
      </c>
      <c r="N26" s="28"/>
      <c r="O26" s="28"/>
      <c r="P26" s="37"/>
      <c r="Q26" s="37"/>
      <c r="R26" s="37" t="s">
        <v>211</v>
      </c>
      <c r="S26" s="28"/>
      <c r="T26" s="37">
        <f>(E21+E10-E8-E9)*$D$4-2*$H$4+2.1175</f>
        <v>-42.471856715461008</v>
      </c>
      <c r="U26" s="10"/>
    </row>
    <row r="27" spans="1:23" s="64" customFormat="1" x14ac:dyDescent="0.25">
      <c r="A27" s="210"/>
      <c r="B27" s="198">
        <v>7</v>
      </c>
      <c r="C27" s="56" t="s">
        <v>203</v>
      </c>
      <c r="D27" s="28"/>
      <c r="E27" s="28">
        <v>-986.401476</v>
      </c>
      <c r="F27" s="137"/>
      <c r="G27" s="28" t="s">
        <v>269</v>
      </c>
      <c r="H27" s="28"/>
      <c r="I27" s="28"/>
      <c r="J27" s="37">
        <f>(E28*$D$4+$H$4-E27*$D$4)/$G$4</f>
        <v>16.776713855713588</v>
      </c>
      <c r="K27" s="144"/>
      <c r="M27" s="28">
        <v>20</v>
      </c>
      <c r="N27" s="28"/>
      <c r="O27" s="28"/>
      <c r="P27" s="37"/>
      <c r="Q27" s="37"/>
      <c r="R27" s="28"/>
      <c r="S27" s="28"/>
      <c r="T27" s="37">
        <f>(E21+E10-E8-E9)*$D$4-2*$H$4+2.1175</f>
        <v>-42.471856715461008</v>
      </c>
      <c r="U27" s="10"/>
    </row>
    <row r="28" spans="1:23" s="64" customFormat="1" x14ac:dyDescent="0.25">
      <c r="A28" s="128"/>
      <c r="B28" s="198">
        <v>5</v>
      </c>
      <c r="C28" s="56" t="s">
        <v>293</v>
      </c>
      <c r="D28" s="28"/>
      <c r="E28" s="28">
        <v>-985.93428100000006</v>
      </c>
      <c r="F28" s="137"/>
      <c r="G28" s="28" t="s">
        <v>268</v>
      </c>
      <c r="H28" s="28"/>
      <c r="I28" s="28"/>
      <c r="J28" s="37">
        <f>(E28*$D$4+$H$4-E26*$D$4)/$G$4</f>
        <v>12.723072297089415</v>
      </c>
      <c r="K28" s="144"/>
      <c r="M28" s="28"/>
      <c r="N28" s="28"/>
      <c r="O28" s="28"/>
      <c r="P28" s="28"/>
      <c r="Q28" s="28"/>
      <c r="R28" s="28"/>
      <c r="S28" s="28"/>
      <c r="T28" s="28"/>
    </row>
    <row r="29" spans="1:23" s="64" customFormat="1" x14ac:dyDescent="0.25">
      <c r="A29" s="128"/>
      <c r="B29" s="198"/>
      <c r="C29" s="28"/>
      <c r="D29" s="28"/>
      <c r="E29" s="28"/>
      <c r="F29" s="137"/>
      <c r="G29" s="28"/>
      <c r="H29" s="28"/>
      <c r="I29" s="28"/>
      <c r="J29" s="28"/>
      <c r="K29" s="144"/>
      <c r="P29" s="10"/>
      <c r="Q29" s="10"/>
    </row>
    <row r="30" spans="1:23" x14ac:dyDescent="0.25">
      <c r="A30" s="128"/>
      <c r="B30" s="198" t="s">
        <v>281</v>
      </c>
      <c r="C30" s="56" t="s">
        <v>209</v>
      </c>
      <c r="D30" s="28"/>
      <c r="E30" s="28">
        <v>-986.85913500000004</v>
      </c>
      <c r="F30" s="137"/>
      <c r="G30" s="28" t="s">
        <v>266</v>
      </c>
      <c r="H30" s="28"/>
      <c r="I30" s="28"/>
      <c r="J30" s="37">
        <f>(E31*$D$4+$H$4-E30*$D$4)/$G$4</f>
        <v>11.339485772236047</v>
      </c>
      <c r="K30" s="144"/>
      <c r="L30" s="10"/>
    </row>
    <row r="31" spans="1:23" x14ac:dyDescent="0.25">
      <c r="A31" s="128"/>
      <c r="B31" s="198">
        <v>12</v>
      </c>
      <c r="C31" s="56" t="s">
        <v>267</v>
      </c>
      <c r="D31" s="28"/>
      <c r="E31" s="28">
        <v>-986.40375300000005</v>
      </c>
      <c r="F31" s="137"/>
      <c r="G31" s="28" t="s">
        <v>264</v>
      </c>
      <c r="H31" s="28"/>
      <c r="I31" s="28"/>
      <c r="J31" s="37">
        <f>(E32*$D$4+$H$4-E30*$D$4)/$G$4</f>
        <v>7.9412757543943755</v>
      </c>
      <c r="K31" s="137"/>
      <c r="L31" s="10"/>
    </row>
    <row r="32" spans="1:23" x14ac:dyDescent="0.25">
      <c r="A32" s="128"/>
      <c r="B32" s="198">
        <v>8</v>
      </c>
      <c r="C32" s="56" t="s">
        <v>265</v>
      </c>
      <c r="D32" s="28"/>
      <c r="E32" s="28">
        <v>-986.41113600000006</v>
      </c>
      <c r="F32" s="137"/>
      <c r="G32" s="28" t="s">
        <v>262</v>
      </c>
      <c r="H32" s="28"/>
      <c r="I32" s="28"/>
      <c r="J32" s="37">
        <f>(E33*$D$4+$H$4-E32*$D$4)/$G$4</f>
        <v>13.728773081311418</v>
      </c>
      <c r="K32" s="137"/>
    </row>
    <row r="33" spans="1:12" x14ac:dyDescent="0.25">
      <c r="A33" s="128"/>
      <c r="B33" s="198">
        <v>6</v>
      </c>
      <c r="C33" s="56" t="s">
        <v>263</v>
      </c>
      <c r="D33" s="28"/>
      <c r="E33" s="28">
        <v>-985.95056299999999</v>
      </c>
      <c r="F33" s="137"/>
      <c r="G33" s="28" t="s">
        <v>261</v>
      </c>
      <c r="H33" s="28"/>
      <c r="I33" s="28"/>
      <c r="J33" s="37">
        <f>(E33*$D$4+$H$4-E31*$D$4)/$G$4</f>
        <v>10.330563063469745</v>
      </c>
      <c r="K33" s="144"/>
    </row>
    <row r="34" spans="1:12" x14ac:dyDescent="0.25">
      <c r="A34" s="128"/>
      <c r="B34" s="128"/>
      <c r="C34" s="128"/>
      <c r="D34" s="128"/>
      <c r="E34" s="128"/>
      <c r="F34" s="128"/>
      <c r="G34" s="128"/>
      <c r="H34" s="128"/>
      <c r="I34" s="128"/>
      <c r="J34" s="128"/>
      <c r="K34" s="128"/>
    </row>
    <row r="35" spans="1:12" x14ac:dyDescent="0.25">
      <c r="A35" s="5"/>
    </row>
    <row r="38" spans="1:12" x14ac:dyDescent="0.25">
      <c r="K38" s="37"/>
    </row>
    <row r="39" spans="1:12" x14ac:dyDescent="0.25">
      <c r="K39" s="37"/>
    </row>
    <row r="42" spans="1:12" x14ac:dyDescent="0.25">
      <c r="C42" s="56"/>
      <c r="J42" s="4"/>
      <c r="K42" s="4"/>
    </row>
    <row r="43" spans="1:12" x14ac:dyDescent="0.25">
      <c r="C43" s="178"/>
      <c r="D43" s="64"/>
      <c r="E43" s="64"/>
      <c r="F43" s="64"/>
      <c r="H43" s="64"/>
      <c r="I43" s="64"/>
      <c r="J43" s="64"/>
      <c r="K43" s="64"/>
      <c r="L43" s="10"/>
    </row>
    <row r="52" spans="3:12" x14ac:dyDescent="0.25">
      <c r="C52" s="178"/>
      <c r="D52" s="64"/>
      <c r="E52" s="64"/>
      <c r="F52" s="64"/>
      <c r="L52" s="4"/>
    </row>
    <row r="54" spans="3:12" x14ac:dyDescent="0.25">
      <c r="C54" s="56"/>
      <c r="H54" s="64"/>
      <c r="L54" s="4"/>
    </row>
    <row r="55" spans="3:12" x14ac:dyDescent="0.25">
      <c r="C55" s="178"/>
      <c r="D55" s="64"/>
      <c r="E55" s="64"/>
      <c r="F55" s="64"/>
      <c r="L55" s="4"/>
    </row>
    <row r="56" spans="3:12" x14ac:dyDescent="0.25">
      <c r="C56" s="56"/>
      <c r="L56" s="4"/>
    </row>
    <row r="57" spans="3:12" x14ac:dyDescent="0.25">
      <c r="C57" s="56"/>
      <c r="L57" s="4"/>
    </row>
    <row r="58" spans="3:12" x14ac:dyDescent="0.25">
      <c r="C58" s="178"/>
      <c r="D58" s="64"/>
      <c r="E58" s="64"/>
      <c r="F58" s="64"/>
      <c r="H58" s="6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pKa_red</vt:lpstr>
      <vt:lpstr>pKa_ox1</vt:lpstr>
      <vt:lpstr>E_ox1</vt:lpstr>
      <vt:lpstr>E_ox2</vt:lpstr>
      <vt:lpstr>DHA</vt:lpstr>
      <vt:lpstr>Disproportionation</vt:lpstr>
      <vt:lpstr>Asc_O2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Pearl</dc:creator>
  <cp:lastModifiedBy>Tu</cp:lastModifiedBy>
  <dcterms:created xsi:type="dcterms:W3CDTF">2015-05-18T15:49:08Z</dcterms:created>
  <dcterms:modified xsi:type="dcterms:W3CDTF">2017-03-20T21:32:29Z</dcterms:modified>
</cp:coreProperties>
</file>