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/>
  <xr:revisionPtr revIDLastSave="0" documentId="10_ncr:100000_{81617DEF-AB5C-44EB-A09D-0EAE25F853F0}" xr6:coauthVersionLast="31" xr6:coauthVersionMax="31" xr10:uidLastSave="{00000000-0000-0000-0000-000000000000}"/>
  <bookViews>
    <workbookView xWindow="0" yWindow="0" windowWidth="19200" windowHeight="6960" activeTab="2" xr2:uid="{00000000-000D-0000-FFFF-FFFF00000000}"/>
  </bookViews>
  <sheets>
    <sheet name="673K 1.5 torr" sheetId="5" r:id="rId1"/>
    <sheet name="673K 1atm" sheetId="1" r:id="rId2"/>
    <sheet name="Small Molecule" sheetId="2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1" l="1"/>
  <c r="L60" i="5"/>
  <c r="M60" i="5" l="1"/>
  <c r="M61" i="1"/>
  <c r="L39" i="5" l="1"/>
  <c r="L39" i="1"/>
  <c r="L15" i="1" l="1"/>
  <c r="L47" i="1"/>
  <c r="L34" i="1" l="1"/>
  <c r="K31" i="5" l="1"/>
  <c r="K31" i="1" l="1"/>
  <c r="L59" i="1" l="1"/>
  <c r="L59" i="5"/>
  <c r="L56" i="5" l="1"/>
  <c r="L55" i="5"/>
  <c r="L54" i="5"/>
  <c r="L53" i="5"/>
  <c r="L52" i="5"/>
  <c r="L51" i="5"/>
  <c r="L50" i="5"/>
  <c r="L49" i="5"/>
  <c r="L48" i="5"/>
  <c r="L47" i="5"/>
  <c r="L46" i="5"/>
  <c r="L45" i="5"/>
  <c r="L44" i="5"/>
  <c r="K55" i="5"/>
  <c r="K52" i="5"/>
  <c r="K49" i="5"/>
  <c r="L46" i="1" l="1"/>
  <c r="K45" i="5"/>
  <c r="L44" i="1" l="1"/>
  <c r="L48" i="1" l="1"/>
  <c r="L51" i="1" l="1"/>
  <c r="L54" i="1"/>
  <c r="L55" i="1" l="1"/>
  <c r="L52" i="1"/>
  <c r="L49" i="1"/>
  <c r="L45" i="1" l="1"/>
  <c r="L53" i="1"/>
  <c r="L50" i="1"/>
  <c r="K55" i="1"/>
  <c r="K52" i="1"/>
  <c r="K49" i="1"/>
  <c r="L56" i="1"/>
  <c r="L41" i="5" l="1"/>
  <c r="L37" i="5"/>
  <c r="L36" i="5"/>
  <c r="L35" i="5"/>
  <c r="L34" i="5"/>
  <c r="L33" i="5"/>
  <c r="L32" i="5"/>
  <c r="L30" i="5"/>
  <c r="L29" i="5"/>
  <c r="K28" i="5"/>
  <c r="L27" i="5"/>
  <c r="L26" i="5"/>
  <c r="K25" i="5"/>
  <c r="L24" i="5"/>
  <c r="L23" i="5"/>
  <c r="L21" i="5"/>
  <c r="L20" i="5"/>
  <c r="L19" i="5"/>
  <c r="L18" i="5"/>
  <c r="L17" i="5"/>
  <c r="L15" i="5"/>
  <c r="L14" i="5"/>
  <c r="L13" i="5"/>
  <c r="L11" i="5"/>
  <c r="L10" i="5"/>
  <c r="L9" i="5"/>
  <c r="L7" i="5"/>
  <c r="M59" i="5" l="1"/>
  <c r="M51" i="5"/>
  <c r="M44" i="5"/>
  <c r="M45" i="5" s="1"/>
  <c r="M48" i="5"/>
  <c r="M54" i="5"/>
  <c r="M47" i="5"/>
  <c r="M49" i="5" s="1"/>
  <c r="M46" i="5"/>
  <c r="M50" i="5"/>
  <c r="M52" i="5" s="1"/>
  <c r="M56" i="5"/>
  <c r="M53" i="5"/>
  <c r="M55" i="5" s="1"/>
  <c r="M9" i="5"/>
  <c r="M43" i="5" s="1"/>
  <c r="M11" i="5"/>
  <c r="M8" i="5"/>
  <c r="M10" i="5"/>
  <c r="M5" i="5"/>
  <c r="M14" i="5"/>
  <c r="M17" i="5"/>
  <c r="M16" i="5" s="1"/>
  <c r="M19" i="5"/>
  <c r="M21" i="5"/>
  <c r="M24" i="5"/>
  <c r="M25" i="5" s="1"/>
  <c r="M26" i="5"/>
  <c r="M30" i="5"/>
  <c r="M31" i="5" s="1"/>
  <c r="M32" i="5"/>
  <c r="M34" i="5"/>
  <c r="M36" i="5"/>
  <c r="M39" i="5"/>
  <c r="M40" i="5" s="1"/>
  <c r="M13" i="5"/>
  <c r="M15" i="5"/>
  <c r="M18" i="5"/>
  <c r="M20" i="5"/>
  <c r="M23" i="5"/>
  <c r="M27" i="5"/>
  <c r="M28" i="5" s="1"/>
  <c r="M29" i="5"/>
  <c r="M33" i="5"/>
  <c r="M35" i="5"/>
  <c r="M37" i="5"/>
  <c r="M38" i="5" s="1"/>
  <c r="M41" i="5"/>
  <c r="K12" i="5"/>
  <c r="M12" i="5" s="1"/>
  <c r="K22" i="5"/>
  <c r="M22" i="5" l="1"/>
  <c r="K28" i="1" l="1"/>
  <c r="K25" i="1"/>
  <c r="L29" i="1"/>
  <c r="K45" i="1" l="1"/>
  <c r="J34" i="2" l="1"/>
  <c r="L30" i="1" l="1"/>
  <c r="L27" i="1"/>
  <c r="K22" i="1" l="1"/>
  <c r="K12" i="1"/>
  <c r="L26" i="1" l="1"/>
  <c r="L36" i="1" l="1"/>
  <c r="L14" i="1" l="1"/>
  <c r="L20" i="1"/>
  <c r="L21" i="1"/>
  <c r="L33" i="1"/>
  <c r="L35" i="1"/>
  <c r="L32" i="1" l="1"/>
  <c r="L18" i="1" l="1"/>
  <c r="L17" i="1" l="1"/>
  <c r="L10" i="1" l="1"/>
  <c r="L11" i="1" l="1"/>
  <c r="L13" i="1" l="1"/>
  <c r="L24" i="1" l="1"/>
  <c r="L37" i="1"/>
  <c r="L41" i="1"/>
  <c r="L23" i="1"/>
  <c r="L19" i="1"/>
  <c r="L9" i="1"/>
  <c r="L7" i="1"/>
  <c r="M46" i="1" l="1"/>
  <c r="M59" i="1"/>
  <c r="M44" i="1"/>
  <c r="M45" i="1" s="1"/>
  <c r="M48" i="1"/>
  <c r="M54" i="1"/>
  <c r="M53" i="1"/>
  <c r="M55" i="1" s="1"/>
  <c r="M47" i="1"/>
  <c r="M49" i="1" s="1"/>
  <c r="M50" i="1"/>
  <c r="M52" i="1" s="1"/>
  <c r="M51" i="1"/>
  <c r="M56" i="1"/>
  <c r="M41" i="1"/>
  <c r="M23" i="1"/>
  <c r="M29" i="1"/>
  <c r="M27" i="1"/>
  <c r="M28" i="1" s="1"/>
  <c r="C39" i="2"/>
  <c r="G43" i="2" l="1"/>
  <c r="H43" i="2" s="1"/>
  <c r="C43" i="2"/>
  <c r="J43" i="2" l="1"/>
  <c r="G38" i="2"/>
  <c r="H38" i="2" s="1"/>
  <c r="C38" i="2"/>
  <c r="J38" i="2" l="1"/>
  <c r="G46" i="2" l="1"/>
  <c r="H46" i="2" s="1"/>
  <c r="J46" i="2" s="1"/>
  <c r="G45" i="2"/>
  <c r="H45" i="2" s="1"/>
  <c r="J45" i="2" s="1"/>
  <c r="G44" i="2"/>
  <c r="H44" i="2" s="1"/>
  <c r="J44" i="2" s="1"/>
  <c r="G42" i="2" l="1"/>
  <c r="H42" i="2" s="1"/>
  <c r="J42" i="2" s="1"/>
  <c r="G41" i="2"/>
  <c r="H41" i="2" s="1"/>
  <c r="J41" i="2" s="1"/>
  <c r="G40" i="2"/>
  <c r="H40" i="2" s="1"/>
  <c r="J40" i="2" s="1"/>
  <c r="G39" i="2" l="1"/>
  <c r="H39" i="2" s="1"/>
  <c r="J39" i="2" s="1"/>
  <c r="G37" i="2" l="1"/>
  <c r="H37" i="2" s="1"/>
  <c r="J37" i="2" s="1"/>
  <c r="G36" i="2"/>
  <c r="H36" i="2" s="1"/>
  <c r="J36" i="2" s="1"/>
  <c r="G35" i="2"/>
  <c r="H35" i="2" s="1"/>
  <c r="J35" i="2" s="1"/>
  <c r="G34" i="2"/>
  <c r="H34" i="2" s="1"/>
  <c r="G33" i="2"/>
  <c r="H33" i="2" s="1"/>
  <c r="J33" i="2" s="1"/>
  <c r="G32" i="2"/>
  <c r="H32" i="2" s="1"/>
  <c r="J32" i="2" s="1"/>
  <c r="M24" i="1" l="1"/>
  <c r="M25" i="1" s="1"/>
  <c r="M21" i="1"/>
  <c r="M22" i="1" s="1"/>
  <c r="M37" i="1"/>
  <c r="M38" i="1" s="1"/>
  <c r="M30" i="1"/>
  <c r="M31" i="1" s="1"/>
  <c r="M36" i="1"/>
  <c r="M32" i="1"/>
  <c r="M17" i="1"/>
  <c r="M16" i="1" s="1"/>
  <c r="M34" i="1"/>
  <c r="M33" i="1"/>
  <c r="M35" i="1"/>
  <c r="M26" i="1"/>
  <c r="M9" i="1"/>
  <c r="M43" i="1" s="1"/>
  <c r="M13" i="1"/>
  <c r="M8" i="1" l="1"/>
  <c r="M19" i="1"/>
  <c r="M11" i="1"/>
  <c r="M14" i="1"/>
  <c r="M5" i="1"/>
  <c r="M10" i="1"/>
  <c r="M15" i="1"/>
  <c r="M20" i="1"/>
  <c r="M18" i="1"/>
  <c r="M39" i="1"/>
  <c r="M40" i="1" s="1"/>
  <c r="M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12" authorId="0" shapeId="0" xr:uid="{CCBD3B2D-036D-4E04-8EB5-3EED1D1D722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Ead
</t>
        </r>
      </text>
    </comment>
    <comment ref="K22" authorId="0" shapeId="0" xr:uid="{184FD172-906B-4B3E-A781-50B7A602526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12" authorId="0" shapeId="0" xr:uid="{025D1649-EC63-45F7-AD08-14663B71AA3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Ead
</t>
        </r>
      </text>
    </comment>
    <comment ref="K22" authorId="0" shapeId="0" xr:uid="{11AA00B2-1976-4C49-8F26-5457A6020DE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Ead
</t>
        </r>
      </text>
    </comment>
  </commentList>
</comments>
</file>

<file path=xl/sharedStrings.xml><?xml version="1.0" encoding="utf-8"?>
<sst xmlns="http://schemas.openxmlformats.org/spreadsheetml/2006/main" count="370" uniqueCount="109">
  <si>
    <t>Name</t>
  </si>
  <si>
    <t>E(tot)</t>
  </si>
  <si>
    <t>G</t>
  </si>
  <si>
    <t>dG</t>
  </si>
  <si>
    <t>H2(673K,15atm)</t>
  </si>
  <si>
    <t>N2(673K,5atm)</t>
  </si>
  <si>
    <t>name</t>
  </si>
  <si>
    <t>H2_D3</t>
  </si>
  <si>
    <t>T =</t>
  </si>
  <si>
    <t>673.15 K</t>
  </si>
  <si>
    <t>823.15 K</t>
  </si>
  <si>
    <t>U</t>
  </si>
  <si>
    <t>Cv</t>
  </si>
  <si>
    <t>S</t>
  </si>
  <si>
    <t>H</t>
  </si>
  <si>
    <t>ln(Q)</t>
  </si>
  <si>
    <t>---------</t>
  </si>
  <si>
    <t>trans.</t>
  </si>
  <si>
    <t>rot.</t>
  </si>
  <si>
    <t>vib.</t>
  </si>
  <si>
    <t>elec.</t>
  </si>
  <si>
    <t>total</t>
  </si>
  <si>
    <t>N2_D3</t>
  </si>
  <si>
    <t>NH3_D3</t>
  </si>
  <si>
    <t>T</t>
  </si>
  <si>
    <t>P</t>
  </si>
  <si>
    <t>ZPE</t>
  </si>
  <si>
    <t>total(eV)</t>
  </si>
  <si>
    <t>E</t>
  </si>
  <si>
    <t xml:space="preserve">functional </t>
  </si>
  <si>
    <t>H2</t>
  </si>
  <si>
    <t>D3</t>
  </si>
  <si>
    <t>N2</t>
  </si>
  <si>
    <t>NH3</t>
  </si>
  <si>
    <t>PBE</t>
  </si>
  <si>
    <t>PBE_D3_2.807</t>
  </si>
  <si>
    <t>1.5 torr</t>
  </si>
  <si>
    <t>723.15 K</t>
  </si>
  <si>
    <t>-----</t>
  </si>
  <si>
    <t>NH3(673K,0.2atm)</t>
  </si>
  <si>
    <t>PBE_D3_211</t>
  </si>
  <si>
    <t>-0.12 from ZPE'</t>
  </si>
  <si>
    <t>-0.03 from ZPE'</t>
  </si>
  <si>
    <t>-0.017 from ZPE'</t>
  </si>
  <si>
    <t xml:space="preserve"> -0.02 from ZPE'</t>
  </si>
  <si>
    <t>Main Pathway</t>
  </si>
  <si>
    <t>See Alternate Pathway</t>
  </si>
  <si>
    <t>NH3(673K,1.5torr)</t>
  </si>
  <si>
    <t>01_3N-NH2</t>
  </si>
  <si>
    <t>02_3N-NH2-2H</t>
  </si>
  <si>
    <t>TS_02_03_3N.NH2.2H</t>
  </si>
  <si>
    <t>03_3N-NH3-H</t>
  </si>
  <si>
    <t>TS_03_04_NH3desorption</t>
  </si>
  <si>
    <t>04_3N-H+NH3(g)</t>
  </si>
  <si>
    <t>TS_04_05_3N-H+NH3(g)</t>
  </si>
  <si>
    <t>05_2N-NH+NH3(g)</t>
  </si>
  <si>
    <t>06_2N-NH-2H+NH3(g)</t>
  </si>
  <si>
    <t>TS_06_07_2N-NH-2H+NH3(g)</t>
  </si>
  <si>
    <t>07_2N-NH2-H+NH3(g)</t>
  </si>
  <si>
    <t>TS_07_08_2N-NH2-H+NH3(g)</t>
  </si>
  <si>
    <t>08_2N-NH3+NH3(g)</t>
  </si>
  <si>
    <t>TS_08_09_NH3desorption</t>
  </si>
  <si>
    <t>09_2N+2NH3(g)</t>
  </si>
  <si>
    <t>10_2N-N2(top)+2NH3(g)</t>
  </si>
  <si>
    <t>TS_10_11(top-&gt;bottom)</t>
  </si>
  <si>
    <t>11_2N-N2 (bottom)+2NH3(g)</t>
  </si>
  <si>
    <t>TS_11_12_2N-N2 (bottom)</t>
  </si>
  <si>
    <t>12_2N-N2 (final)+2NH3(g)</t>
  </si>
  <si>
    <t>TS_12_13_2N-N2(final) -&gt; 4N (initial)</t>
  </si>
  <si>
    <t>13_4N (initial) + 2NH3(g)</t>
  </si>
  <si>
    <t>TS_13_14_4N(initial) -&gt; 4N(secondary)</t>
  </si>
  <si>
    <t>14_4N (secondary) +2NH3(g)</t>
  </si>
  <si>
    <t>TS_14_15_4N (secondary)-&gt;4N</t>
  </si>
  <si>
    <t>15_4N+2NH3(g)</t>
  </si>
  <si>
    <t>16_3N-NH-H+2NH3(g)</t>
  </si>
  <si>
    <t>17_3N-NH2+2NH3(g)</t>
  </si>
  <si>
    <t>TS_18_19_NH3desorp</t>
  </si>
  <si>
    <t>NH3(673K,1atm)</t>
  </si>
  <si>
    <t>TS_19_20_N2desorption(top)</t>
  </si>
  <si>
    <t>H addition</t>
  </si>
  <si>
    <t>ER hydrogenation</t>
  </si>
  <si>
    <t>H migration</t>
  </si>
  <si>
    <t>E (eV)</t>
  </si>
  <si>
    <t>TS_15_16_Erhydrogenation</t>
  </si>
  <si>
    <t>TS_15_16_ERhydrogenation</t>
  </si>
  <si>
    <t>TS_16_17_hydrogen-migration</t>
  </si>
  <si>
    <t>TS_01_02_hydrogen-addition</t>
  </si>
  <si>
    <t>TS_05_06_hydrogen-addition</t>
  </si>
  <si>
    <t>TS_9_10_N2desorption(top)</t>
  </si>
  <si>
    <t>2N-4H</t>
  </si>
  <si>
    <t>18_2N-2H-NH3</t>
  </si>
  <si>
    <t>TS_08_18_hydrogen-addition</t>
  </si>
  <si>
    <t>19_2N-2H</t>
  </si>
  <si>
    <t>20_2N-2H-N2top</t>
  </si>
  <si>
    <t>TS_20_21_top</t>
  </si>
  <si>
    <t>21_2N-2H-N2bottom</t>
  </si>
  <si>
    <t>TS_21_22_bottom</t>
  </si>
  <si>
    <t>22_2N-2H-N2final</t>
  </si>
  <si>
    <t>TS_22_23_final</t>
  </si>
  <si>
    <t>23_4N-2H initial</t>
  </si>
  <si>
    <t>(goes to 24 spontaneously?)</t>
  </si>
  <si>
    <t>TS_9_11_N2desorption(bottom)</t>
  </si>
  <si>
    <t>TS_19_21_N2desorption(bottom)</t>
  </si>
  <si>
    <t>TS_19_22_N2desorption(final)</t>
  </si>
  <si>
    <t>TS_9_12_N2 desorption(final)</t>
  </si>
  <si>
    <t>TS_09_11_N2desorption(bottom)</t>
  </si>
  <si>
    <t>TS_09_12_N2 desorption(final)</t>
  </si>
  <si>
    <t>14_4N-ground +2NH3(g)</t>
  </si>
  <si>
    <t>14_4N (ground) +2NH3(g)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</si>
</sst>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2" fontId="0" fillId="0" borderId="0" xfId="0" applyNumberFormat="1" applyFill="1"/>
    <xf numFmtId="2" fontId="4" fillId="0" borderId="0" xfId="0" applyNumberFormat="1" applyFont="1" applyFill="1" applyAlignment="1"/>
    <xf numFmtId="2" fontId="0" fillId="0" borderId="0" xfId="0" applyNumberFormat="1" applyFill="1" applyAlignment="1"/>
    <xf numFmtId="2" fontId="5" fillId="0" borderId="0" xfId="0" applyNumberFormat="1" applyFont="1" applyFill="1" applyAlignment="1"/>
    <xf numFmtId="2" fontId="5" fillId="0" borderId="0" xfId="0" applyNumberFormat="1" applyFont="1" applyFill="1" applyAlignment="1">
      <alignment wrapText="1"/>
    </xf>
    <xf numFmtId="2" fontId="4" fillId="0" borderId="0" xfId="0" applyNumberFormat="1" applyFont="1" applyFill="1" applyAlignment="1">
      <alignment wrapText="1"/>
    </xf>
    <xf numFmtId="2" fontId="1" fillId="0" borderId="0" xfId="0" applyNumberFormat="1" applyFont="1" applyFill="1"/>
    <xf numFmtId="2" fontId="5" fillId="0" borderId="0" xfId="0" applyNumberFormat="1" applyFont="1" applyFill="1"/>
    <xf numFmtId="2" fontId="1" fillId="0" borderId="0" xfId="0" applyNumberFormat="1" applyFont="1" applyFill="1" applyAlignment="1">
      <alignment wrapText="1"/>
    </xf>
    <xf numFmtId="2" fontId="0" fillId="0" borderId="0" xfId="0" applyNumberFormat="1" applyFill="1" applyAlignment="1">
      <alignment wrapText="1"/>
    </xf>
    <xf numFmtId="2" fontId="2" fillId="0" borderId="0" xfId="0" applyNumberFormat="1" applyFont="1" applyFill="1" applyAlignment="1"/>
    <xf numFmtId="2" fontId="0" fillId="0" borderId="0" xfId="0" applyNumberFormat="1" applyFont="1" applyFill="1" applyAlignment="1"/>
    <xf numFmtId="2" fontId="3" fillId="0" borderId="0" xfId="0" applyNumberFormat="1" applyFont="1" applyFill="1" applyAlignment="1"/>
    <xf numFmtId="2" fontId="0" fillId="0" borderId="0" xfId="0" quotePrefix="1" applyNumberFormat="1" applyFill="1"/>
    <xf numFmtId="0" fontId="0" fillId="0" borderId="0" xfId="0" applyFill="1"/>
    <xf numFmtId="2" fontId="6" fillId="0" borderId="0" xfId="0" applyNumberFormat="1" applyFont="1" applyFill="1" applyAlignment="1"/>
    <xf numFmtId="2" fontId="4" fillId="0" borderId="0" xfId="0" applyNumberFormat="1" applyFont="1" applyFill="1"/>
    <xf numFmtId="0" fontId="0" fillId="0" borderId="0" xfId="0" applyNumberFormat="1" applyFill="1"/>
    <xf numFmtId="0" fontId="7" fillId="0" borderId="0" xfId="0" applyFont="1"/>
    <xf numFmtId="1" fontId="0" fillId="0" borderId="0" xfId="0" applyNumberFormat="1" applyFill="1"/>
    <xf numFmtId="2" fontId="4" fillId="2" borderId="0" xfId="0" applyNumberFormat="1" applyFont="1" applyFill="1" applyAlignment="1"/>
    <xf numFmtId="2" fontId="0" fillId="2" borderId="0" xfId="0" applyNumberFormat="1" applyFill="1"/>
    <xf numFmtId="2" fontId="1" fillId="2" borderId="0" xfId="0" applyNumberFormat="1" applyFont="1" applyFill="1"/>
    <xf numFmtId="2" fontId="4" fillId="3" borderId="0" xfId="0" applyNumberFormat="1" applyFont="1" applyFill="1" applyAlignment="1"/>
    <xf numFmtId="2" fontId="2" fillId="3" borderId="0" xfId="0" applyNumberFormat="1" applyFont="1" applyFill="1" applyAlignment="1"/>
    <xf numFmtId="2" fontId="0" fillId="3" borderId="0" xfId="0" applyNumberFormat="1" applyFill="1"/>
    <xf numFmtId="2" fontId="1" fillId="3" borderId="0" xfId="0" applyNumberFormat="1" applyFont="1" applyFill="1"/>
    <xf numFmtId="2" fontId="0" fillId="3" borderId="0" xfId="0" applyNumberFormat="1" applyFill="1" applyAlignment="1"/>
    <xf numFmtId="2" fontId="0" fillId="3" borderId="0" xfId="0" quotePrefix="1" applyNumberFormat="1" applyFill="1"/>
    <xf numFmtId="2" fontId="5" fillId="3" borderId="0" xfId="0" applyNumberFormat="1" applyFont="1" applyFill="1" applyAlignment="1"/>
    <xf numFmtId="2" fontId="5" fillId="3" borderId="0" xfId="0" applyNumberFormat="1" applyFont="1" applyFill="1"/>
    <xf numFmtId="2" fontId="3" fillId="3" borderId="0" xfId="0" applyNumberFormat="1" applyFont="1" applyFill="1" applyAlignment="1"/>
    <xf numFmtId="2" fontId="4" fillId="4" borderId="0" xfId="0" applyNumberFormat="1" applyFont="1" applyFill="1" applyAlignment="1"/>
    <xf numFmtId="2" fontId="0" fillId="4" borderId="0" xfId="0" applyNumberFormat="1" applyFill="1" applyAlignment="1"/>
    <xf numFmtId="2" fontId="0" fillId="4" borderId="0" xfId="0" applyNumberFormat="1" applyFill="1"/>
    <xf numFmtId="2" fontId="1" fillId="4" borderId="0" xfId="0" applyNumberFormat="1" applyFont="1" applyFill="1"/>
    <xf numFmtId="2" fontId="0" fillId="4" borderId="0" xfId="0" applyNumberFormat="1" applyFill="1" applyBorder="1"/>
    <xf numFmtId="2" fontId="0" fillId="4" borderId="0" xfId="0" quotePrefix="1" applyNumberFormat="1" applyFill="1"/>
    <xf numFmtId="164" fontId="6" fillId="0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57A6-0D45-426B-9848-A42AAD112E5A}">
  <dimension ref="G1:T91"/>
  <sheetViews>
    <sheetView topLeftCell="G28" workbookViewId="0">
      <selection activeCell="M60" sqref="M60"/>
    </sheetView>
  </sheetViews>
  <sheetFormatPr defaultColWidth="8.7265625" defaultRowHeight="14.5" x14ac:dyDescent="0.35"/>
  <cols>
    <col min="1" max="6" width="8.7265625" style="1"/>
    <col min="7" max="7" width="28.26953125" style="1" customWidth="1"/>
    <col min="8" max="8" width="13.453125" style="1" customWidth="1"/>
    <col min="9" max="9" width="14.54296875" style="1" customWidth="1"/>
    <col min="10" max="10" width="8.7265625" style="7"/>
    <col min="11" max="11" width="13.1796875" style="1" customWidth="1"/>
    <col min="12" max="12" width="17.54296875" style="1" customWidth="1"/>
    <col min="13" max="13" width="9.54296875" style="7" bestFit="1" customWidth="1"/>
    <col min="14" max="14" width="10.54296875" style="1" bestFit="1" customWidth="1"/>
    <col min="15" max="15" width="8.7265625" style="1"/>
    <col min="16" max="16" width="16.81640625" style="1" customWidth="1"/>
    <col min="17" max="18" width="8.7265625" style="1"/>
    <col min="19" max="19" width="17.1796875" style="1" customWidth="1"/>
    <col min="20" max="16384" width="8.7265625" style="1"/>
  </cols>
  <sheetData>
    <row r="1" spans="7:20" ht="29" x14ac:dyDescent="0.35">
      <c r="K1" s="10" t="s">
        <v>40</v>
      </c>
      <c r="L1" s="10" t="s">
        <v>40</v>
      </c>
      <c r="M1" s="9" t="s">
        <v>35</v>
      </c>
    </row>
    <row r="2" spans="7:20" x14ac:dyDescent="0.35">
      <c r="G2" s="11" t="s">
        <v>0</v>
      </c>
      <c r="H2" s="12"/>
      <c r="K2" s="12" t="s">
        <v>1</v>
      </c>
      <c r="L2" s="1" t="s">
        <v>2</v>
      </c>
      <c r="M2" s="7" t="s">
        <v>3</v>
      </c>
      <c r="Q2" s="1" t="s">
        <v>26</v>
      </c>
      <c r="T2" s="1" t="s">
        <v>82</v>
      </c>
    </row>
    <row r="3" spans="7:20" ht="15.5" x14ac:dyDescent="0.35">
      <c r="G3" s="13" t="s">
        <v>4</v>
      </c>
      <c r="H3" s="11"/>
      <c r="K3" s="11">
        <v>-6.7732905399999996</v>
      </c>
      <c r="L3" s="1">
        <v>-7.2134999999999998</v>
      </c>
      <c r="P3" s="1" t="s">
        <v>5</v>
      </c>
      <c r="Q3" s="19">
        <v>0.15337000000000001</v>
      </c>
      <c r="S3" s="1" t="s">
        <v>79</v>
      </c>
      <c r="T3" s="1">
        <v>0.56999999999999995</v>
      </c>
    </row>
    <row r="4" spans="7:20" ht="15.5" x14ac:dyDescent="0.35">
      <c r="G4" s="13" t="s">
        <v>5</v>
      </c>
      <c r="H4" s="11"/>
      <c r="K4" s="11">
        <v>-16.645143059999999</v>
      </c>
      <c r="L4" s="1">
        <v>-17.697500000000002</v>
      </c>
      <c r="P4" s="1" t="s">
        <v>39</v>
      </c>
      <c r="Q4" s="19">
        <v>0.91208500000000003</v>
      </c>
      <c r="S4" s="1" t="s">
        <v>80</v>
      </c>
      <c r="T4" s="1">
        <v>1.1000000000000001</v>
      </c>
    </row>
    <row r="5" spans="7:20" x14ac:dyDescent="0.35">
      <c r="G5" s="13" t="s">
        <v>47</v>
      </c>
      <c r="H5" s="11"/>
      <c r="K5" s="11">
        <v>-19.5443699</v>
      </c>
      <c r="L5" s="1">
        <v>-20.301815000000001</v>
      </c>
      <c r="M5" s="7">
        <f>L5*2-L3*3-L4</f>
        <v>-1.2656300000000016</v>
      </c>
      <c r="S5" s="1" t="s">
        <v>81</v>
      </c>
      <c r="T5" s="1">
        <v>0.9</v>
      </c>
    </row>
    <row r="6" spans="7:20" x14ac:dyDescent="0.35">
      <c r="G6" s="13"/>
      <c r="H6" s="11"/>
      <c r="K6" s="11"/>
    </row>
    <row r="7" spans="7:20" x14ac:dyDescent="0.35">
      <c r="G7" s="24" t="s">
        <v>48</v>
      </c>
      <c r="H7" s="25"/>
      <c r="I7" s="26"/>
      <c r="J7" s="27"/>
      <c r="K7" s="26">
        <v>-218.2935076</v>
      </c>
      <c r="L7" s="26">
        <f>-1.001088+K7</f>
        <v>-219.29459560000001</v>
      </c>
      <c r="M7" s="27">
        <v>0</v>
      </c>
      <c r="P7" s="1" t="s">
        <v>45</v>
      </c>
    </row>
    <row r="8" spans="7:20" x14ac:dyDescent="0.35">
      <c r="G8" s="24" t="s">
        <v>86</v>
      </c>
      <c r="H8" s="25"/>
      <c r="I8" s="26"/>
      <c r="J8" s="27"/>
      <c r="K8" s="26"/>
      <c r="L8" s="26"/>
      <c r="M8" s="27">
        <f>M9+T3</f>
        <v>0.68639340000001037</v>
      </c>
    </row>
    <row r="9" spans="7:20" x14ac:dyDescent="0.35">
      <c r="G9" s="24" t="s">
        <v>49</v>
      </c>
      <c r="H9" s="28"/>
      <c r="I9" s="26"/>
      <c r="J9" s="27"/>
      <c r="K9" s="26">
        <v>-225.62497519999999</v>
      </c>
      <c r="L9" s="26">
        <f>K9+-0.766727</f>
        <v>-226.3917022</v>
      </c>
      <c r="M9" s="27">
        <f>L9-L7-L3</f>
        <v>0.11639340000001042</v>
      </c>
    </row>
    <row r="10" spans="7:20" x14ac:dyDescent="0.35">
      <c r="G10" s="24" t="s">
        <v>50</v>
      </c>
      <c r="H10" s="28"/>
      <c r="I10" s="26"/>
      <c r="J10" s="27"/>
      <c r="K10" s="26">
        <v>-224.81645</v>
      </c>
      <c r="L10" s="26">
        <f>K10+-0.711504</f>
        <v>-225.52795399999999</v>
      </c>
      <c r="M10" s="27">
        <f>L10-L7-L3</f>
        <v>0.98014160000001382</v>
      </c>
    </row>
    <row r="11" spans="7:20" x14ac:dyDescent="0.35">
      <c r="G11" s="24" t="s">
        <v>51</v>
      </c>
      <c r="H11" s="28"/>
      <c r="I11" s="26"/>
      <c r="J11" s="27"/>
      <c r="K11" s="26">
        <v>-225.93516378000001</v>
      </c>
      <c r="L11" s="26">
        <f>K11+-0.720148</f>
        <v>-226.65531178000001</v>
      </c>
      <c r="M11" s="27">
        <f>L11-L7-L3</f>
        <v>-0.14721617999999737</v>
      </c>
    </row>
    <row r="12" spans="7:20" x14ac:dyDescent="0.35">
      <c r="G12" s="24" t="s">
        <v>52</v>
      </c>
      <c r="H12" s="28"/>
      <c r="I12" s="29"/>
      <c r="J12" s="27"/>
      <c r="K12" s="26">
        <f>K13-(K11+-K5)</f>
        <v>1.0123741800000232</v>
      </c>
      <c r="L12" s="29" t="s">
        <v>41</v>
      </c>
      <c r="M12" s="27">
        <f>M11+K12-0.12</f>
        <v>0.74515800000002586</v>
      </c>
    </row>
    <row r="13" spans="7:20" x14ac:dyDescent="0.35">
      <c r="G13" s="24" t="s">
        <v>53</v>
      </c>
      <c r="H13" s="28"/>
      <c r="I13" s="26"/>
      <c r="J13" s="27"/>
      <c r="K13" s="26">
        <v>-205.37841969999999</v>
      </c>
      <c r="L13" s="26">
        <f>-1.154386+K13</f>
        <v>-206.53280569999998</v>
      </c>
      <c r="M13" s="27">
        <f>L13-L7-L3+L5</f>
        <v>-0.32652509999997648</v>
      </c>
    </row>
    <row r="14" spans="7:20" x14ac:dyDescent="0.35">
      <c r="G14" s="24" t="s">
        <v>54</v>
      </c>
      <c r="H14" s="28"/>
      <c r="I14" s="26"/>
      <c r="J14" s="27"/>
      <c r="K14" s="26">
        <v>-204.18788189</v>
      </c>
      <c r="L14" s="26">
        <f>K14+-1.405499</f>
        <v>-205.59338088999999</v>
      </c>
      <c r="M14" s="27">
        <f>L14-L7-L3+L5</f>
        <v>0.61289971000001486</v>
      </c>
    </row>
    <row r="15" spans="7:20" x14ac:dyDescent="0.35">
      <c r="G15" s="24" t="s">
        <v>55</v>
      </c>
      <c r="H15" s="28"/>
      <c r="I15" s="26"/>
      <c r="J15" s="27"/>
      <c r="K15" s="26">
        <v>-205.41194659999999</v>
      </c>
      <c r="L15" s="26">
        <f>K15+-1.255163</f>
        <v>-206.6671096</v>
      </c>
      <c r="M15" s="27">
        <f>L15-L7-L3+L5</f>
        <v>-0.46082899999999682</v>
      </c>
    </row>
    <row r="16" spans="7:20" x14ac:dyDescent="0.35">
      <c r="G16" s="24" t="s">
        <v>87</v>
      </c>
      <c r="H16" s="28"/>
      <c r="I16" s="26"/>
      <c r="J16" s="27"/>
      <c r="K16" s="26"/>
      <c r="L16" s="26"/>
      <c r="M16" s="27">
        <f>M17+T3</f>
        <v>-0.32153732999999496</v>
      </c>
    </row>
    <row r="17" spans="7:16" x14ac:dyDescent="0.35">
      <c r="G17" s="24" t="s">
        <v>56</v>
      </c>
      <c r="H17" s="28"/>
      <c r="I17" s="26"/>
      <c r="J17" s="27"/>
      <c r="K17" s="26">
        <v>-213.39432192999999</v>
      </c>
      <c r="L17" s="26">
        <f>K17+-0.916996</f>
        <v>-214.31131793</v>
      </c>
      <c r="M17" s="27">
        <f>L17-L7-L3*2+L5</f>
        <v>-0.89153732999999491</v>
      </c>
    </row>
    <row r="18" spans="7:16" x14ac:dyDescent="0.35">
      <c r="G18" s="24" t="s">
        <v>57</v>
      </c>
      <c r="H18" s="28"/>
      <c r="I18" s="26"/>
      <c r="J18" s="27"/>
      <c r="K18" s="26">
        <v>-212.0505173</v>
      </c>
      <c r="L18" s="26">
        <f>K18+-0.9786</f>
        <v>-213.0291173</v>
      </c>
      <c r="M18" s="27">
        <f>L18-L7-L3*2+L5</f>
        <v>0.39066330000001059</v>
      </c>
    </row>
    <row r="19" spans="7:16" x14ac:dyDescent="0.35">
      <c r="G19" s="24" t="s">
        <v>58</v>
      </c>
      <c r="H19" s="30"/>
      <c r="I19" s="26"/>
      <c r="J19" s="27"/>
      <c r="K19" s="26">
        <v>-212.68587070000001</v>
      </c>
      <c r="L19" s="31">
        <f>K19+-0.95806</f>
        <v>-213.6439307</v>
      </c>
      <c r="M19" s="27">
        <f>L19-L7-L3*2+L5</f>
        <v>-0.22415009999999214</v>
      </c>
    </row>
    <row r="20" spans="7:16" x14ac:dyDescent="0.35">
      <c r="G20" s="24" t="s">
        <v>59</v>
      </c>
      <c r="H20" s="28"/>
      <c r="I20" s="26"/>
      <c r="J20" s="27"/>
      <c r="K20" s="26">
        <v>-211.99969644000001</v>
      </c>
      <c r="L20" s="26">
        <f>K20+-0.909124</f>
        <v>-212.90882044</v>
      </c>
      <c r="M20" s="27">
        <f>L20-L7-L3*2+L5</f>
        <v>0.51096016000000688</v>
      </c>
    </row>
    <row r="21" spans="7:16" x14ac:dyDescent="0.35">
      <c r="G21" s="33" t="s">
        <v>60</v>
      </c>
      <c r="H21" s="34"/>
      <c r="I21" s="35"/>
      <c r="J21" s="36"/>
      <c r="K21" s="35">
        <v>-212.5146311</v>
      </c>
      <c r="L21" s="35">
        <f>K21+-0.980595</f>
        <v>-213.4952261</v>
      </c>
      <c r="M21" s="36">
        <f>L21-L7-L3*2+L5</f>
        <v>-7.5445499999990062E-2</v>
      </c>
      <c r="P21" s="1" t="s">
        <v>46</v>
      </c>
    </row>
    <row r="22" spans="7:16" x14ac:dyDescent="0.35">
      <c r="G22" s="33" t="s">
        <v>61</v>
      </c>
      <c r="H22" s="34"/>
      <c r="I22" s="38"/>
      <c r="J22" s="36"/>
      <c r="K22" s="35">
        <f>K23-(K21+-K5)</f>
        <v>0.97861009999999737</v>
      </c>
      <c r="L22" s="38" t="s">
        <v>42</v>
      </c>
      <c r="M22" s="36">
        <f>M21+K22-0.03</f>
        <v>0.87316460000000728</v>
      </c>
    </row>
    <row r="23" spans="7:16" x14ac:dyDescent="0.35">
      <c r="G23" s="33" t="s">
        <v>62</v>
      </c>
      <c r="H23" s="34"/>
      <c r="I23" s="35"/>
      <c r="J23" s="36"/>
      <c r="K23" s="35">
        <v>-191.99165110000001</v>
      </c>
      <c r="L23" s="35">
        <f>K23+-1.443579</f>
        <v>-193.43523010000001</v>
      </c>
      <c r="M23" s="36">
        <f>L23-L7-L3*2+L5*2</f>
        <v>-0.31726450000000739</v>
      </c>
    </row>
    <row r="24" spans="7:16" x14ac:dyDescent="0.35">
      <c r="G24" s="33" t="s">
        <v>63</v>
      </c>
      <c r="H24" s="34"/>
      <c r="I24" s="35"/>
      <c r="J24" s="36"/>
      <c r="K24" s="37">
        <v>-209.44964128000001</v>
      </c>
      <c r="L24" s="35">
        <f>-1.758689+K24</f>
        <v>-211.20833028000001</v>
      </c>
      <c r="M24" s="36">
        <f>L24-L7-L3*2-L4+L5*2</f>
        <v>-0.39286468000000951</v>
      </c>
    </row>
    <row r="25" spans="7:16" x14ac:dyDescent="0.35">
      <c r="G25" s="33" t="s">
        <v>88</v>
      </c>
      <c r="H25" s="34"/>
      <c r="I25" s="35"/>
      <c r="J25" s="36"/>
      <c r="K25" s="35">
        <f>K23-K24+K4</f>
        <v>0.81284711999999715</v>
      </c>
      <c r="L25" s="35" t="s">
        <v>44</v>
      </c>
      <c r="M25" s="36">
        <f>M24+K25-0.02</f>
        <v>0.39998243999998762</v>
      </c>
      <c r="N25" s="18"/>
    </row>
    <row r="26" spans="7:16" x14ac:dyDescent="0.35">
      <c r="G26" s="33" t="s">
        <v>64</v>
      </c>
      <c r="H26" s="34"/>
      <c r="I26" s="35"/>
      <c r="J26" s="36"/>
      <c r="K26" s="35">
        <v>-208.84692801</v>
      </c>
      <c r="L26" s="35">
        <f>K26+-1.537809</f>
        <v>-210.38473701000001</v>
      </c>
      <c r="M26" s="36">
        <f>L26-L7-L3*2-L4+L5*2</f>
        <v>0.43072858999999397</v>
      </c>
    </row>
    <row r="27" spans="7:16" x14ac:dyDescent="0.35">
      <c r="G27" s="33" t="s">
        <v>65</v>
      </c>
      <c r="H27" s="34"/>
      <c r="I27" s="35"/>
      <c r="J27" s="36"/>
      <c r="K27" s="35">
        <v>-209.00685394000001</v>
      </c>
      <c r="L27" s="35">
        <f>K27+-1.66752</f>
        <v>-210.67437394000001</v>
      </c>
      <c r="M27" s="36">
        <f>L27-L7-L3*2-L4+L5*2</f>
        <v>0.14109165999999362</v>
      </c>
    </row>
    <row r="28" spans="7:16" x14ac:dyDescent="0.35">
      <c r="G28" s="33" t="s">
        <v>105</v>
      </c>
      <c r="H28" s="34"/>
      <c r="I28" s="38"/>
      <c r="J28" s="36"/>
      <c r="K28" s="35">
        <f>K23-K27+K4</f>
        <v>0.37005978000000184</v>
      </c>
      <c r="L28" s="38" t="s">
        <v>43</v>
      </c>
      <c r="M28" s="36">
        <f>M27+K28-0.017</f>
        <v>0.49415143999999545</v>
      </c>
    </row>
    <row r="29" spans="7:16" x14ac:dyDescent="0.35">
      <c r="G29" s="33" t="s">
        <v>66</v>
      </c>
      <c r="H29" s="35"/>
      <c r="I29" s="35"/>
      <c r="J29" s="36"/>
      <c r="K29" s="35">
        <v>-208.9547</v>
      </c>
      <c r="L29" s="35">
        <f>K29+-1.544419</f>
        <v>-210.49911900000001</v>
      </c>
      <c r="M29" s="36">
        <f>L29-L7-L3*2-L4+L5*2</f>
        <v>0.3163465999999957</v>
      </c>
      <c r="N29" s="18"/>
    </row>
    <row r="30" spans="7:16" x14ac:dyDescent="0.35">
      <c r="G30" s="33" t="s">
        <v>67</v>
      </c>
      <c r="H30" s="34"/>
      <c r="I30" s="35"/>
      <c r="J30" s="36"/>
      <c r="K30" s="35">
        <v>-209.24374607999999</v>
      </c>
      <c r="L30" s="35">
        <f>K30+-1.619781</f>
        <v>-210.86352707999998</v>
      </c>
      <c r="M30" s="36">
        <f>L30-L7-L3*2-L4+L5*2</f>
        <v>-4.8061479999979895E-2</v>
      </c>
    </row>
    <row r="31" spans="7:16" x14ac:dyDescent="0.35">
      <c r="G31" s="33" t="s">
        <v>106</v>
      </c>
      <c r="H31" s="35"/>
      <c r="I31" s="35"/>
      <c r="J31" s="36"/>
      <c r="K31" s="35">
        <f>K23-K30+K4</f>
        <v>0.60695191999998244</v>
      </c>
      <c r="L31" s="35">
        <v>-0.03</v>
      </c>
      <c r="M31" s="36">
        <f>M30+K31+L31</f>
        <v>0.52889044000000252</v>
      </c>
    </row>
    <row r="32" spans="7:16" x14ac:dyDescent="0.35">
      <c r="G32" s="33" t="s">
        <v>68</v>
      </c>
      <c r="H32" s="34"/>
      <c r="I32" s="35"/>
      <c r="J32" s="36"/>
      <c r="K32" s="35">
        <v>-208.46344285999999</v>
      </c>
      <c r="L32" s="35">
        <f>K32+-1.528901</f>
        <v>-209.99234385999998</v>
      </c>
      <c r="M32" s="36">
        <f>L32-L7-L3*2-L4+L5*2</f>
        <v>0.82312174000002614</v>
      </c>
      <c r="N32" s="18"/>
    </row>
    <row r="33" spans="7:14" x14ac:dyDescent="0.35">
      <c r="G33" s="33" t="s">
        <v>69</v>
      </c>
      <c r="H33" s="34"/>
      <c r="I33" s="35"/>
      <c r="J33" s="36"/>
      <c r="K33" s="35">
        <v>-209.37830509</v>
      </c>
      <c r="L33" s="35">
        <f>K33+-1.495315</f>
        <v>-210.87362009</v>
      </c>
      <c r="M33" s="36">
        <f>L33-L7-L3*2-L4+L5*2</f>
        <v>-5.8154489999999726E-2</v>
      </c>
      <c r="N33" s="20"/>
    </row>
    <row r="34" spans="7:14" x14ac:dyDescent="0.35">
      <c r="G34" s="24" t="s">
        <v>70</v>
      </c>
      <c r="H34" s="28"/>
      <c r="I34" s="26"/>
      <c r="J34" s="27"/>
      <c r="K34" s="26">
        <v>-209.0463</v>
      </c>
      <c r="L34" s="26">
        <f>K34+-1.501162</f>
        <v>-210.547462</v>
      </c>
      <c r="M34" s="27">
        <f>L34-L7-L3*2-L4+L5*2</f>
        <v>0.26800360000000722</v>
      </c>
      <c r="N34" s="18"/>
    </row>
    <row r="35" spans="7:14" x14ac:dyDescent="0.35">
      <c r="G35" s="24" t="s">
        <v>71</v>
      </c>
      <c r="H35" s="28"/>
      <c r="I35" s="26"/>
      <c r="J35" s="27"/>
      <c r="K35" s="26">
        <v>-210.83263414999999</v>
      </c>
      <c r="L35" s="26">
        <f>K35+-1.451346</f>
        <v>-212.28398014999999</v>
      </c>
      <c r="M35" s="27">
        <f>L35-L7-L3*2-L4+L5*2</f>
        <v>-1.4685145499999877</v>
      </c>
      <c r="N35" s="20"/>
    </row>
    <row r="36" spans="7:14" x14ac:dyDescent="0.35">
      <c r="G36" s="24" t="s">
        <v>72</v>
      </c>
      <c r="H36" s="28"/>
      <c r="I36" s="26"/>
      <c r="J36" s="27"/>
      <c r="K36" s="26">
        <v>-210.07457471999999</v>
      </c>
      <c r="L36" s="26">
        <f>K36+-1.495122</f>
        <v>-211.56969672</v>
      </c>
      <c r="M36" s="27">
        <f>L36-L7-L3*2-L4+L5*2</f>
        <v>-0.75423111999999293</v>
      </c>
    </row>
    <row r="37" spans="7:14" x14ac:dyDescent="0.35">
      <c r="G37" s="24" t="s">
        <v>73</v>
      </c>
      <c r="H37" s="28"/>
      <c r="I37" s="26"/>
      <c r="J37" s="27"/>
      <c r="K37" s="26">
        <v>-210.56</v>
      </c>
      <c r="L37" s="26">
        <f>-1.473825+K37</f>
        <v>-212.03382500000001</v>
      </c>
      <c r="M37" s="27">
        <f>L37-L7-L3*2-L4+2*L5</f>
        <v>-1.2183594000000042</v>
      </c>
    </row>
    <row r="38" spans="7:14" x14ac:dyDescent="0.35">
      <c r="G38" s="24" t="s">
        <v>84</v>
      </c>
      <c r="H38" s="28"/>
      <c r="I38" s="26"/>
      <c r="J38" s="27"/>
      <c r="K38" s="26"/>
      <c r="L38" s="26"/>
      <c r="M38" s="27">
        <f>M37+T4</f>
        <v>-0.11835940000000411</v>
      </c>
    </row>
    <row r="39" spans="7:14" x14ac:dyDescent="0.35">
      <c r="G39" s="24" t="s">
        <v>74</v>
      </c>
      <c r="H39" s="28"/>
      <c r="I39" s="26"/>
      <c r="J39" s="27"/>
      <c r="K39" s="26">
        <v>-218.737099</v>
      </c>
      <c r="L39" s="26">
        <f>-1.0499+K39</f>
        <v>-219.78699900000001</v>
      </c>
      <c r="M39" s="27">
        <f>L39-L7-L3*3-L4+2*L5</f>
        <v>-1.7580334000000022</v>
      </c>
    </row>
    <row r="40" spans="7:14" x14ac:dyDescent="0.35">
      <c r="G40" s="24" t="s">
        <v>85</v>
      </c>
      <c r="H40" s="28"/>
      <c r="I40" s="26"/>
      <c r="J40" s="27"/>
      <c r="K40" s="26"/>
      <c r="L40" s="26"/>
      <c r="M40" s="27">
        <f>M39+T5</f>
        <v>-0.85803340000000217</v>
      </c>
    </row>
    <row r="41" spans="7:14" x14ac:dyDescent="0.35">
      <c r="G41" s="32" t="s">
        <v>75</v>
      </c>
      <c r="H41" s="25"/>
      <c r="I41" s="26"/>
      <c r="J41" s="27"/>
      <c r="K41" s="26">
        <v>-218.29</v>
      </c>
      <c r="L41" s="26">
        <f>-1.001088+K41</f>
        <v>-219.291088</v>
      </c>
      <c r="M41" s="27">
        <f>L41-L7-L3*3-L4+2*L5</f>
        <v>-1.2621223999999955</v>
      </c>
    </row>
    <row r="42" spans="7:14" x14ac:dyDescent="0.35">
      <c r="G42" s="2"/>
      <c r="N42" s="20"/>
    </row>
    <row r="43" spans="7:14" x14ac:dyDescent="0.35">
      <c r="G43" s="21" t="s">
        <v>91</v>
      </c>
      <c r="H43" s="22"/>
      <c r="I43" s="22"/>
      <c r="J43" s="23"/>
      <c r="K43" s="22"/>
      <c r="L43" s="22"/>
      <c r="M43" s="23">
        <f>M9+T3</f>
        <v>0.68639340000001037</v>
      </c>
      <c r="N43" s="20"/>
    </row>
    <row r="44" spans="7:14" x14ac:dyDescent="0.35">
      <c r="G44" s="21" t="s">
        <v>90</v>
      </c>
      <c r="H44" s="22"/>
      <c r="I44" s="22"/>
      <c r="J44" s="23"/>
      <c r="K44" s="22">
        <v>-220.42237252999999</v>
      </c>
      <c r="L44" s="22">
        <f>K44+-0.593654</f>
        <v>-221.01602652999998</v>
      </c>
      <c r="M44" s="23">
        <f>L44-L7-L3*3+L5</f>
        <v>-0.38274592999997026</v>
      </c>
      <c r="N44" s="20"/>
    </row>
    <row r="45" spans="7:14" x14ac:dyDescent="0.35">
      <c r="G45" s="21" t="s">
        <v>76</v>
      </c>
      <c r="H45" s="22"/>
      <c r="I45" s="22"/>
      <c r="J45" s="23"/>
      <c r="K45" s="22">
        <f>K46-(K44-K5)</f>
        <v>0.91739192000000003</v>
      </c>
      <c r="L45" s="22">
        <f>(0.917805-1.956759)+Q4</f>
        <v>-0.1268689999999999</v>
      </c>
      <c r="M45" s="23">
        <f>M44+K45+L45</f>
        <v>0.40777699000002987</v>
      </c>
      <c r="N45" s="20"/>
    </row>
    <row r="46" spans="7:14" x14ac:dyDescent="0.35">
      <c r="G46" s="21" t="s">
        <v>92</v>
      </c>
      <c r="H46" s="22"/>
      <c r="I46" s="22"/>
      <c r="J46" s="23"/>
      <c r="K46" s="22">
        <v>-199.96061071</v>
      </c>
      <c r="L46" s="22">
        <f>K46+-1.3178</f>
        <v>-201.27841071</v>
      </c>
      <c r="M46" s="23">
        <f>L46-L7-L3*3+L5*2</f>
        <v>-0.94694510999999437</v>
      </c>
      <c r="N46" s="20"/>
    </row>
    <row r="47" spans="7:14" x14ac:dyDescent="0.35">
      <c r="G47" s="21" t="s">
        <v>93</v>
      </c>
      <c r="H47" s="22"/>
      <c r="I47" s="22"/>
      <c r="J47" s="23"/>
      <c r="K47" s="22">
        <v>-217.57503113000001</v>
      </c>
      <c r="L47" s="22">
        <f>K47+-1.315555</f>
        <v>-218.89058613</v>
      </c>
      <c r="M47" s="23">
        <f>L47-L7-L3*3-L4+2*L5</f>
        <v>-0.86162052999999617</v>
      </c>
      <c r="N47" s="20"/>
    </row>
    <row r="48" spans="7:14" x14ac:dyDescent="0.35">
      <c r="G48" s="21" t="s">
        <v>94</v>
      </c>
      <c r="H48" s="22"/>
      <c r="I48" s="22"/>
      <c r="J48" s="23"/>
      <c r="K48" s="22">
        <v>-216.51056478000001</v>
      </c>
      <c r="L48" s="22">
        <f>K48+-1.542753</f>
        <v>-218.05331778000001</v>
      </c>
      <c r="M48" s="23">
        <f>L48-L7-L3*3-L4+2*L5</f>
        <v>-2.4352180000008161E-2</v>
      </c>
      <c r="N48" s="20"/>
    </row>
    <row r="49" spans="7:14" x14ac:dyDescent="0.35">
      <c r="G49" s="21" t="s">
        <v>78</v>
      </c>
      <c r="H49" s="22"/>
      <c r="I49" s="22"/>
      <c r="J49" s="23"/>
      <c r="K49" s="22">
        <f>K46-K47+K4</f>
        <v>0.9692773600000173</v>
      </c>
      <c r="L49" s="22">
        <f>(0.917805-1.144229)+Q3</f>
        <v>-7.3053999999999952E-2</v>
      </c>
      <c r="M49" s="23">
        <f>M47+K49+L49</f>
        <v>3.4602830000021179E-2</v>
      </c>
      <c r="N49" s="20"/>
    </row>
    <row r="50" spans="7:14" x14ac:dyDescent="0.35">
      <c r="G50" s="21" t="s">
        <v>95</v>
      </c>
      <c r="H50" s="22"/>
      <c r="I50" s="22"/>
      <c r="J50" s="23"/>
      <c r="K50" s="22">
        <v>-217.16157469999999</v>
      </c>
      <c r="L50" s="22">
        <f>K50+-1.353361</f>
        <v>-218.5149357</v>
      </c>
      <c r="M50" s="23">
        <f>L50-L7-L3*3-L4+2*L5</f>
        <v>-0.48597009999998875</v>
      </c>
      <c r="N50" s="20"/>
    </row>
    <row r="51" spans="7:14" x14ac:dyDescent="0.35">
      <c r="G51" s="21" t="s">
        <v>96</v>
      </c>
      <c r="H51" s="22"/>
      <c r="I51" s="22"/>
      <c r="J51" s="23"/>
      <c r="K51" s="22">
        <v>-216.97409095</v>
      </c>
      <c r="L51" s="22">
        <f>K51+-1.222603</f>
        <v>-218.19669395</v>
      </c>
      <c r="M51" s="23">
        <f>L51-L7-L3*3-L4+2*L5</f>
        <v>-0.1677283499999902</v>
      </c>
      <c r="N51" s="20"/>
    </row>
    <row r="52" spans="7:14" x14ac:dyDescent="0.35">
      <c r="G52" s="21" t="s">
        <v>102</v>
      </c>
      <c r="H52" s="22"/>
      <c r="I52" s="22"/>
      <c r="J52" s="23"/>
      <c r="K52" s="22">
        <f>K46-K50+K4</f>
        <v>0.55582092999999233</v>
      </c>
      <c r="L52" s="22">
        <f>(0.917805-1.151371)+Q3</f>
        <v>-8.0195999999999934E-2</v>
      </c>
      <c r="M52" s="23">
        <f>M50+K52+L52</f>
        <v>-1.0345169999996351E-2</v>
      </c>
      <c r="N52" s="20"/>
    </row>
    <row r="53" spans="7:14" x14ac:dyDescent="0.35">
      <c r="G53" s="21" t="s">
        <v>97</v>
      </c>
      <c r="H53" s="22"/>
      <c r="I53" s="22"/>
      <c r="J53" s="23"/>
      <c r="K53" s="22">
        <v>-217.18754804</v>
      </c>
      <c r="L53" s="22">
        <f>K53+-1.217355</f>
        <v>-218.40490303999999</v>
      </c>
      <c r="M53" s="23">
        <f>L53-L7-L3*3-L4+2*L5</f>
        <v>-0.37593743999998708</v>
      </c>
      <c r="N53" s="20"/>
    </row>
    <row r="54" spans="7:14" x14ac:dyDescent="0.35">
      <c r="G54" s="21" t="s">
        <v>98</v>
      </c>
      <c r="H54" s="22"/>
      <c r="I54" s="22"/>
      <c r="J54" s="23"/>
      <c r="K54" s="22">
        <v>-216.44497855</v>
      </c>
      <c r="L54" s="22">
        <f>K54+-1.167418</f>
        <v>-217.61239655</v>
      </c>
      <c r="M54" s="23">
        <f>L54-L7-L3*3-L4+2*L5</f>
        <v>0.41656905000000677</v>
      </c>
      <c r="N54" s="20"/>
    </row>
    <row r="55" spans="7:14" x14ac:dyDescent="0.35">
      <c r="G55" s="21" t="s">
        <v>103</v>
      </c>
      <c r="H55" s="22"/>
      <c r="I55" s="22"/>
      <c r="J55" s="23"/>
      <c r="K55" s="22">
        <f>K46-K53+K4</f>
        <v>0.58179426999999961</v>
      </c>
      <c r="L55" s="22">
        <f>(0.917805-1.160787)+Q3</f>
        <v>-8.9612000000000025E-2</v>
      </c>
      <c r="M55" s="23">
        <f>M53+K55+L55</f>
        <v>0.11624483000001251</v>
      </c>
      <c r="N55" s="20"/>
    </row>
    <row r="56" spans="7:14" x14ac:dyDescent="0.35">
      <c r="G56" s="21" t="s">
        <v>99</v>
      </c>
      <c r="H56" s="22"/>
      <c r="I56" s="22"/>
      <c r="J56" s="23"/>
      <c r="K56" s="22">
        <v>-217.55068654999999</v>
      </c>
      <c r="L56" s="22">
        <f>K56+-1.0546</f>
        <v>-218.60528654999999</v>
      </c>
      <c r="M56" s="23">
        <f>L56-L7-L3*3-L4+2*L5</f>
        <v>-0.57632094999998174</v>
      </c>
      <c r="N56" s="20"/>
    </row>
    <row r="57" spans="7:14" x14ac:dyDescent="0.35">
      <c r="G57" s="21" t="s">
        <v>100</v>
      </c>
      <c r="H57" s="22"/>
      <c r="I57" s="22"/>
      <c r="J57" s="23"/>
      <c r="K57" s="22"/>
      <c r="L57" s="22"/>
      <c r="M57" s="23"/>
      <c r="N57" s="20"/>
    </row>
    <row r="58" spans="7:14" x14ac:dyDescent="0.35">
      <c r="G58" s="2"/>
      <c r="N58" s="20"/>
    </row>
    <row r="59" spans="7:14" x14ac:dyDescent="0.35">
      <c r="G59" s="2" t="s">
        <v>89</v>
      </c>
      <c r="K59" s="1">
        <v>-207.93514533999999</v>
      </c>
      <c r="L59" s="1">
        <f>K59+-0.74282</f>
        <v>-208.67796533999999</v>
      </c>
      <c r="M59" s="7">
        <f>L59-L7-L3*4+L5*2</f>
        <v>-1.1329997399999812</v>
      </c>
      <c r="N59" s="20"/>
    </row>
    <row r="60" spans="7:14" x14ac:dyDescent="0.35">
      <c r="G60" s="24" t="s">
        <v>108</v>
      </c>
      <c r="H60" s="28"/>
      <c r="I60" s="26"/>
      <c r="J60" s="27"/>
      <c r="K60" s="26">
        <v>-211.08038999999999</v>
      </c>
      <c r="L60" s="26">
        <f>K60+-1.442323</f>
        <v>-212.52271299999998</v>
      </c>
      <c r="M60" s="27">
        <f>L60-L7-L3*2-L4+L5*2</f>
        <v>-1.7072473999999787</v>
      </c>
      <c r="N60" s="20"/>
    </row>
    <row r="61" spans="7:14" x14ac:dyDescent="0.35">
      <c r="G61" s="2"/>
      <c r="N61" s="20"/>
    </row>
    <row r="62" spans="7:14" x14ac:dyDescent="0.35">
      <c r="G62" s="2"/>
      <c r="N62" s="20"/>
    </row>
    <row r="63" spans="7:14" x14ac:dyDescent="0.35">
      <c r="G63" s="2"/>
      <c r="N63" s="20"/>
    </row>
    <row r="64" spans="7:14" x14ac:dyDescent="0.35">
      <c r="G64" s="2"/>
      <c r="N64" s="20"/>
    </row>
    <row r="65" spans="7:14" x14ac:dyDescent="0.35">
      <c r="G65" s="2"/>
      <c r="N65" s="20"/>
    </row>
    <row r="66" spans="7:14" x14ac:dyDescent="0.35">
      <c r="G66" s="2"/>
      <c r="N66" s="20"/>
    </row>
    <row r="67" spans="7:14" x14ac:dyDescent="0.35">
      <c r="G67" s="2"/>
    </row>
    <row r="68" spans="7:14" x14ac:dyDescent="0.35">
      <c r="G68" s="2"/>
    </row>
    <row r="69" spans="7:14" x14ac:dyDescent="0.35">
      <c r="G69" s="2"/>
    </row>
    <row r="70" spans="7:14" x14ac:dyDescent="0.35">
      <c r="G70" s="2"/>
    </row>
    <row r="71" spans="7:14" x14ac:dyDescent="0.35">
      <c r="G71" s="2"/>
    </row>
    <row r="72" spans="7:14" x14ac:dyDescent="0.35">
      <c r="G72" s="2"/>
    </row>
    <row r="73" spans="7:14" x14ac:dyDescent="0.35">
      <c r="G73" s="2"/>
    </row>
    <row r="74" spans="7:14" x14ac:dyDescent="0.35">
      <c r="G74" s="2"/>
    </row>
    <row r="75" spans="7:14" x14ac:dyDescent="0.35">
      <c r="G75" s="2"/>
    </row>
    <row r="76" spans="7:14" x14ac:dyDescent="0.35">
      <c r="G76" s="2"/>
    </row>
    <row r="77" spans="7:14" x14ac:dyDescent="0.35">
      <c r="G77" s="2"/>
    </row>
    <row r="78" spans="7:14" x14ac:dyDescent="0.35">
      <c r="G78" s="2"/>
      <c r="H78" s="3"/>
    </row>
    <row r="79" spans="7:14" x14ac:dyDescent="0.35">
      <c r="G79" s="2"/>
      <c r="H79" s="3"/>
    </row>
    <row r="80" spans="7:14" x14ac:dyDescent="0.35">
      <c r="G80" s="2"/>
    </row>
    <row r="81" spans="7:12" x14ac:dyDescent="0.35">
      <c r="G81" s="2"/>
    </row>
    <row r="82" spans="7:12" x14ac:dyDescent="0.35">
      <c r="G82" s="2"/>
    </row>
    <row r="83" spans="7:12" x14ac:dyDescent="0.35">
      <c r="G83" s="2"/>
    </row>
    <row r="84" spans="7:12" x14ac:dyDescent="0.35">
      <c r="G84" s="2"/>
    </row>
    <row r="85" spans="7:12" x14ac:dyDescent="0.35">
      <c r="G85" s="8"/>
      <c r="K85" s="8"/>
    </row>
    <row r="86" spans="7:12" x14ac:dyDescent="0.35">
      <c r="G86" s="8"/>
      <c r="K86" s="8"/>
    </row>
    <row r="87" spans="7:12" x14ac:dyDescent="0.35">
      <c r="G87" s="8"/>
      <c r="K87" s="8"/>
      <c r="L87" s="14"/>
    </row>
    <row r="89" spans="7:12" x14ac:dyDescent="0.35">
      <c r="L89" s="14"/>
    </row>
    <row r="91" spans="7:12" x14ac:dyDescent="0.35">
      <c r="G91" s="4"/>
      <c r="H91" s="8"/>
      <c r="I91" s="8"/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G1:T83"/>
  <sheetViews>
    <sheetView topLeftCell="F73" workbookViewId="0">
      <selection activeCell="K61" sqref="K61"/>
    </sheetView>
  </sheetViews>
  <sheetFormatPr defaultColWidth="8.7265625" defaultRowHeight="14.5" x14ac:dyDescent="0.35"/>
  <cols>
    <col min="1" max="6" width="8.7265625" style="1"/>
    <col min="7" max="7" width="28.26953125" style="1" customWidth="1"/>
    <col min="8" max="8" width="13.453125" style="1" customWidth="1"/>
    <col min="9" max="9" width="14.54296875" style="1" customWidth="1"/>
    <col min="10" max="10" width="8.7265625" style="7"/>
    <col min="11" max="11" width="13.1796875" style="1" customWidth="1"/>
    <col min="12" max="12" width="17.54296875" style="1" customWidth="1"/>
    <col min="13" max="13" width="9.54296875" style="7" bestFit="1" customWidth="1"/>
    <col min="14" max="14" width="10.54296875" style="1" bestFit="1" customWidth="1"/>
    <col min="15" max="15" width="8.7265625" style="1"/>
    <col min="16" max="16" width="16.81640625" style="1" customWidth="1"/>
    <col min="17" max="18" width="8.7265625" style="1"/>
    <col min="19" max="19" width="13.26953125" style="1" customWidth="1"/>
    <col min="20" max="16384" width="8.7265625" style="1"/>
  </cols>
  <sheetData>
    <row r="1" spans="7:20" ht="29" x14ac:dyDescent="0.35">
      <c r="K1" s="10" t="s">
        <v>40</v>
      </c>
      <c r="L1" s="10" t="s">
        <v>40</v>
      </c>
      <c r="M1" s="9" t="s">
        <v>35</v>
      </c>
    </row>
    <row r="2" spans="7:20" x14ac:dyDescent="0.35">
      <c r="G2" s="11" t="s">
        <v>0</v>
      </c>
      <c r="H2" s="12"/>
      <c r="K2" s="12" t="s">
        <v>1</v>
      </c>
      <c r="L2" s="1" t="s">
        <v>2</v>
      </c>
      <c r="M2" s="7" t="s">
        <v>3</v>
      </c>
      <c r="Q2" s="1" t="s">
        <v>26</v>
      </c>
      <c r="T2" s="1" t="s">
        <v>82</v>
      </c>
    </row>
    <row r="3" spans="7:20" ht="15.5" x14ac:dyDescent="0.35">
      <c r="G3" s="13" t="s">
        <v>4</v>
      </c>
      <c r="H3" s="11"/>
      <c r="K3" s="11">
        <v>-6.7732905399999996</v>
      </c>
      <c r="L3" s="1">
        <v>-7.2134999999999998</v>
      </c>
      <c r="P3" s="1" t="s">
        <v>5</v>
      </c>
      <c r="Q3" s="19">
        <v>0.15337000000000001</v>
      </c>
      <c r="S3" s="1" t="s">
        <v>79</v>
      </c>
      <c r="T3" s="1">
        <v>0.56999999999999995</v>
      </c>
    </row>
    <row r="4" spans="7:20" ht="15.5" x14ac:dyDescent="0.35">
      <c r="G4" s="13" t="s">
        <v>5</v>
      </c>
      <c r="H4" s="11"/>
      <c r="K4" s="11">
        <v>-16.645143059999999</v>
      </c>
      <c r="L4" s="1">
        <v>-17.697500000000002</v>
      </c>
      <c r="P4" s="1" t="s">
        <v>39</v>
      </c>
      <c r="Q4" s="19">
        <v>0.91208500000000003</v>
      </c>
      <c r="S4" s="1" t="s">
        <v>80</v>
      </c>
      <c r="T4" s="1">
        <v>1.1000000000000001</v>
      </c>
    </row>
    <row r="5" spans="7:20" x14ac:dyDescent="0.35">
      <c r="G5" s="13" t="s">
        <v>77</v>
      </c>
      <c r="H5" s="11"/>
      <c r="K5" s="11">
        <v>-19.5443699</v>
      </c>
      <c r="L5" s="1">
        <v>-19.940658287800002</v>
      </c>
      <c r="M5" s="7">
        <f>L5*2-L3*3-L4</f>
        <v>-0.54331657560000224</v>
      </c>
      <c r="S5" s="1" t="s">
        <v>81</v>
      </c>
      <c r="T5" s="1">
        <v>0.9</v>
      </c>
    </row>
    <row r="6" spans="7:20" x14ac:dyDescent="0.35">
      <c r="G6" s="13"/>
      <c r="H6" s="11"/>
      <c r="K6" s="11"/>
    </row>
    <row r="7" spans="7:20" x14ac:dyDescent="0.35">
      <c r="G7" s="24" t="s">
        <v>48</v>
      </c>
      <c r="H7" s="25"/>
      <c r="I7" s="26"/>
      <c r="J7" s="27"/>
      <c r="K7" s="26">
        <v>-218.2935076</v>
      </c>
      <c r="L7" s="26">
        <f>-1.001088+K7</f>
        <v>-219.29459560000001</v>
      </c>
      <c r="M7" s="27">
        <v>0</v>
      </c>
      <c r="P7" s="1" t="s">
        <v>45</v>
      </c>
    </row>
    <row r="8" spans="7:20" x14ac:dyDescent="0.35">
      <c r="G8" s="24" t="s">
        <v>86</v>
      </c>
      <c r="H8" s="25"/>
      <c r="I8" s="26"/>
      <c r="J8" s="27"/>
      <c r="K8" s="26"/>
      <c r="L8" s="26"/>
      <c r="M8" s="27">
        <f>M9+T3</f>
        <v>0.68639340000001037</v>
      </c>
    </row>
    <row r="9" spans="7:20" x14ac:dyDescent="0.35">
      <c r="G9" s="24" t="s">
        <v>49</v>
      </c>
      <c r="H9" s="28"/>
      <c r="I9" s="26"/>
      <c r="J9" s="27"/>
      <c r="K9" s="26">
        <v>-225.62497519999999</v>
      </c>
      <c r="L9" s="26">
        <f>K9+-0.766727</f>
        <v>-226.3917022</v>
      </c>
      <c r="M9" s="27">
        <f>L9-L7-L3</f>
        <v>0.11639340000001042</v>
      </c>
    </row>
    <row r="10" spans="7:20" x14ac:dyDescent="0.35">
      <c r="G10" s="24" t="s">
        <v>50</v>
      </c>
      <c r="H10" s="28"/>
      <c r="I10" s="26"/>
      <c r="J10" s="27"/>
      <c r="K10" s="26">
        <v>-224.81645</v>
      </c>
      <c r="L10" s="26">
        <f>K10+-0.711504</f>
        <v>-225.52795399999999</v>
      </c>
      <c r="M10" s="27">
        <f>L10-L7-L3</f>
        <v>0.98014160000001382</v>
      </c>
    </row>
    <row r="11" spans="7:20" x14ac:dyDescent="0.35">
      <c r="G11" s="24" t="s">
        <v>51</v>
      </c>
      <c r="H11" s="28"/>
      <c r="I11" s="26"/>
      <c r="J11" s="27"/>
      <c r="K11" s="26">
        <v>-225.93516378000001</v>
      </c>
      <c r="L11" s="26">
        <f>K11+-0.720148</f>
        <v>-226.65531178000001</v>
      </c>
      <c r="M11" s="27">
        <f>L11-L7-L3</f>
        <v>-0.14721617999999737</v>
      </c>
    </row>
    <row r="12" spans="7:20" x14ac:dyDescent="0.35">
      <c r="G12" s="24" t="s">
        <v>52</v>
      </c>
      <c r="H12" s="28"/>
      <c r="I12" s="29"/>
      <c r="J12" s="27"/>
      <c r="K12" s="26">
        <f>K13-(K11+-K5)</f>
        <v>1.0123741800000232</v>
      </c>
      <c r="L12" s="29" t="s">
        <v>41</v>
      </c>
      <c r="M12" s="27">
        <f>M11+K12-0.12</f>
        <v>0.74515800000002586</v>
      </c>
    </row>
    <row r="13" spans="7:20" x14ac:dyDescent="0.35">
      <c r="G13" s="24" t="s">
        <v>53</v>
      </c>
      <c r="H13" s="28"/>
      <c r="I13" s="26"/>
      <c r="J13" s="27"/>
      <c r="K13" s="26">
        <v>-205.37841969999999</v>
      </c>
      <c r="L13" s="26">
        <f>-1.154386+K13</f>
        <v>-206.53280569999998</v>
      </c>
      <c r="M13" s="27">
        <f>L13-L7-L3+L5</f>
        <v>3.4631612200023199E-2</v>
      </c>
    </row>
    <row r="14" spans="7:20" x14ac:dyDescent="0.35">
      <c r="G14" s="24" t="s">
        <v>54</v>
      </c>
      <c r="H14" s="28"/>
      <c r="I14" s="26"/>
      <c r="J14" s="27"/>
      <c r="K14" s="26">
        <v>-204.18788189</v>
      </c>
      <c r="L14" s="26">
        <f>K14+-1.405499</f>
        <v>-205.59338088999999</v>
      </c>
      <c r="M14" s="27">
        <f>L14-L7-L3+L5</f>
        <v>0.97405642220001454</v>
      </c>
    </row>
    <row r="15" spans="7:20" x14ac:dyDescent="0.35">
      <c r="G15" s="24" t="s">
        <v>55</v>
      </c>
      <c r="H15" s="28"/>
      <c r="I15" s="26"/>
      <c r="J15" s="27"/>
      <c r="K15" s="26">
        <v>-205.41194659999999</v>
      </c>
      <c r="L15" s="26">
        <f>K15+-1.255163</f>
        <v>-206.6671096</v>
      </c>
      <c r="M15" s="27">
        <f>L15-L7-L3+L5</f>
        <v>-9.967228779999715E-2</v>
      </c>
    </row>
    <row r="16" spans="7:20" x14ac:dyDescent="0.35">
      <c r="G16" s="24" t="s">
        <v>87</v>
      </c>
      <c r="H16" s="28"/>
      <c r="I16" s="26"/>
      <c r="J16" s="27"/>
      <c r="K16" s="26"/>
      <c r="L16" s="26"/>
      <c r="M16" s="27">
        <f>M17+T3</f>
        <v>3.9619382200004716E-2</v>
      </c>
    </row>
    <row r="17" spans="7:16" x14ac:dyDescent="0.35">
      <c r="G17" s="24" t="s">
        <v>56</v>
      </c>
      <c r="H17" s="28"/>
      <c r="I17" s="26"/>
      <c r="J17" s="27"/>
      <c r="K17" s="26">
        <v>-213.39432192999999</v>
      </c>
      <c r="L17" s="26">
        <f>K17+-0.916996</f>
        <v>-214.31131793</v>
      </c>
      <c r="M17" s="27">
        <f>L17-L7-L3*2+L5</f>
        <v>-0.53038061779999524</v>
      </c>
    </row>
    <row r="18" spans="7:16" x14ac:dyDescent="0.35">
      <c r="G18" s="24" t="s">
        <v>57</v>
      </c>
      <c r="H18" s="28"/>
      <c r="I18" s="26"/>
      <c r="J18" s="27"/>
      <c r="K18" s="26">
        <v>-212.0505173</v>
      </c>
      <c r="L18" s="26">
        <f>K18+-0.9786</f>
        <v>-213.0291173</v>
      </c>
      <c r="M18" s="27">
        <f>L18-L7-L3*2+L5</f>
        <v>0.75182001220001027</v>
      </c>
    </row>
    <row r="19" spans="7:16" x14ac:dyDescent="0.35">
      <c r="G19" s="24" t="s">
        <v>58</v>
      </c>
      <c r="H19" s="30"/>
      <c r="I19" s="26"/>
      <c r="J19" s="27"/>
      <c r="K19" s="26">
        <v>-212.68587070000001</v>
      </c>
      <c r="L19" s="31">
        <f>K19+-0.95806</f>
        <v>-213.6439307</v>
      </c>
      <c r="M19" s="27">
        <f>L19-L7-L3*2+L5</f>
        <v>0.13700661220000754</v>
      </c>
    </row>
    <row r="20" spans="7:16" x14ac:dyDescent="0.35">
      <c r="G20" s="24" t="s">
        <v>59</v>
      </c>
      <c r="H20" s="28"/>
      <c r="I20" s="26"/>
      <c r="J20" s="27"/>
      <c r="K20" s="26">
        <v>-211.99969644000001</v>
      </c>
      <c r="L20" s="26">
        <f>K20+-0.909124</f>
        <v>-212.90882044</v>
      </c>
      <c r="M20" s="27">
        <f>L20-L7-L3*2+L5</f>
        <v>0.87211687220000655</v>
      </c>
    </row>
    <row r="21" spans="7:16" x14ac:dyDescent="0.35">
      <c r="G21" s="33" t="s">
        <v>60</v>
      </c>
      <c r="H21" s="34"/>
      <c r="I21" s="35"/>
      <c r="J21" s="36"/>
      <c r="K21" s="35">
        <v>-212.5146311</v>
      </c>
      <c r="L21" s="35">
        <f>K21+-0.980595</f>
        <v>-213.4952261</v>
      </c>
      <c r="M21" s="36">
        <f>L21-L7-L3*2+L5</f>
        <v>0.28571121220000961</v>
      </c>
      <c r="P21" s="1" t="s">
        <v>46</v>
      </c>
    </row>
    <row r="22" spans="7:16" x14ac:dyDescent="0.35">
      <c r="G22" s="33" t="s">
        <v>61</v>
      </c>
      <c r="H22" s="34"/>
      <c r="I22" s="38"/>
      <c r="J22" s="36"/>
      <c r="K22" s="35">
        <f>K23-(K21+-K5)</f>
        <v>0.97861009999999737</v>
      </c>
      <c r="L22" s="38" t="s">
        <v>42</v>
      </c>
      <c r="M22" s="36">
        <f>M21+K22-0.03</f>
        <v>1.234321312200007</v>
      </c>
    </row>
    <row r="23" spans="7:16" x14ac:dyDescent="0.35">
      <c r="G23" s="33" t="s">
        <v>62</v>
      </c>
      <c r="H23" s="34"/>
      <c r="I23" s="35"/>
      <c r="J23" s="36"/>
      <c r="K23" s="35">
        <v>-191.99165110000001</v>
      </c>
      <c r="L23" s="35">
        <f>K23+-1.443579</f>
        <v>-193.43523010000001</v>
      </c>
      <c r="M23" s="36">
        <f>L23-L7-L3*2+L5*2</f>
        <v>0.40504892439999196</v>
      </c>
    </row>
    <row r="24" spans="7:16" x14ac:dyDescent="0.35">
      <c r="G24" s="33" t="s">
        <v>63</v>
      </c>
      <c r="H24" s="34"/>
      <c r="I24" s="35"/>
      <c r="J24" s="36"/>
      <c r="K24" s="37">
        <v>-209.44964128000001</v>
      </c>
      <c r="L24" s="35">
        <f>-1.758689+K24</f>
        <v>-211.20833028000001</v>
      </c>
      <c r="M24" s="36">
        <f>L24-L7-L3*2-L4+L5*2</f>
        <v>0.32944874439998983</v>
      </c>
    </row>
    <row r="25" spans="7:16" x14ac:dyDescent="0.35">
      <c r="G25" s="33" t="s">
        <v>88</v>
      </c>
      <c r="H25" s="34"/>
      <c r="I25" s="35"/>
      <c r="J25" s="36"/>
      <c r="K25" s="35">
        <f>K23-K24+K4</f>
        <v>0.81284711999999715</v>
      </c>
      <c r="L25" s="35" t="s">
        <v>44</v>
      </c>
      <c r="M25" s="36">
        <f>M24+K25-0.02</f>
        <v>1.122295864399987</v>
      </c>
      <c r="N25" s="18"/>
    </row>
    <row r="26" spans="7:16" x14ac:dyDescent="0.35">
      <c r="G26" s="33" t="s">
        <v>64</v>
      </c>
      <c r="H26" s="34"/>
      <c r="I26" s="35"/>
      <c r="J26" s="36"/>
      <c r="K26" s="35">
        <v>-208.84692801</v>
      </c>
      <c r="L26" s="35">
        <f>K26+-1.537809</f>
        <v>-210.38473701000001</v>
      </c>
      <c r="M26" s="36">
        <f>L26-L7-L3*2-L4+L5*2</f>
        <v>1.1530420143999933</v>
      </c>
    </row>
    <row r="27" spans="7:16" x14ac:dyDescent="0.35">
      <c r="G27" s="33" t="s">
        <v>65</v>
      </c>
      <c r="H27" s="34"/>
      <c r="I27" s="35"/>
      <c r="J27" s="36"/>
      <c r="K27" s="35">
        <v>-209.00685394000001</v>
      </c>
      <c r="L27" s="35">
        <f>K27+-1.66752</f>
        <v>-210.67437394000001</v>
      </c>
      <c r="M27" s="36">
        <f>L27-L7-L3*2-L4+L5*2</f>
        <v>0.86340508439999297</v>
      </c>
    </row>
    <row r="28" spans="7:16" x14ac:dyDescent="0.35">
      <c r="G28" s="33" t="s">
        <v>101</v>
      </c>
      <c r="H28" s="34"/>
      <c r="I28" s="38"/>
      <c r="J28" s="36"/>
      <c r="K28" s="35">
        <f>K23-K27+K4</f>
        <v>0.37005978000000184</v>
      </c>
      <c r="L28" s="38" t="s">
        <v>43</v>
      </c>
      <c r="M28" s="36">
        <f>M27+K28-0.017</f>
        <v>1.2164648643999949</v>
      </c>
    </row>
    <row r="29" spans="7:16" x14ac:dyDescent="0.35">
      <c r="G29" s="33" t="s">
        <v>66</v>
      </c>
      <c r="H29" s="35"/>
      <c r="I29" s="35"/>
      <c r="J29" s="36"/>
      <c r="K29" s="35">
        <v>-208.9547</v>
      </c>
      <c r="L29" s="35">
        <f>K29+-1.544419</f>
        <v>-210.49911900000001</v>
      </c>
      <c r="M29" s="36">
        <f>L29-L7-L3*2-L4+L5*2</f>
        <v>1.0386600243999951</v>
      </c>
      <c r="N29" s="18"/>
    </row>
    <row r="30" spans="7:16" x14ac:dyDescent="0.35">
      <c r="G30" s="33" t="s">
        <v>67</v>
      </c>
      <c r="H30" s="34"/>
      <c r="I30" s="35"/>
      <c r="J30" s="36"/>
      <c r="K30" s="35">
        <v>-209.24374607999999</v>
      </c>
      <c r="L30" s="35">
        <f>K30+-1.619781</f>
        <v>-210.86352707999998</v>
      </c>
      <c r="M30" s="36">
        <f>L30-L7-L3*2-L4+L5*2</f>
        <v>0.67425194440001945</v>
      </c>
    </row>
    <row r="31" spans="7:16" x14ac:dyDescent="0.35">
      <c r="G31" s="33" t="s">
        <v>104</v>
      </c>
      <c r="H31" s="35"/>
      <c r="I31" s="35"/>
      <c r="J31" s="36"/>
      <c r="K31" s="35">
        <f>K23-K30+K4</f>
        <v>0.60695191999998244</v>
      </c>
      <c r="L31" s="35">
        <v>-0.03</v>
      </c>
      <c r="M31" s="36">
        <f>M30+K31+L31</f>
        <v>1.2512038644000019</v>
      </c>
    </row>
    <row r="32" spans="7:16" x14ac:dyDescent="0.35">
      <c r="G32" s="33" t="s">
        <v>68</v>
      </c>
      <c r="H32" s="34"/>
      <c r="I32" s="35"/>
      <c r="J32" s="36"/>
      <c r="K32" s="35">
        <v>-208.46344285999999</v>
      </c>
      <c r="L32" s="35">
        <f>K32+-1.528901</f>
        <v>-209.99234385999998</v>
      </c>
      <c r="M32" s="36">
        <f>L32-L7-L3*2-L4+L5*2</f>
        <v>1.5454351644000255</v>
      </c>
      <c r="N32" s="18"/>
    </row>
    <row r="33" spans="7:14" x14ac:dyDescent="0.35">
      <c r="G33" s="33" t="s">
        <v>69</v>
      </c>
      <c r="H33" s="34"/>
      <c r="I33" s="35"/>
      <c r="J33" s="36"/>
      <c r="K33" s="35">
        <v>-209.37830509</v>
      </c>
      <c r="L33" s="35">
        <f>K33+-1.495315</f>
        <v>-210.87362009</v>
      </c>
      <c r="M33" s="36">
        <f>L33-L7-L3*2-L4+L5*2</f>
        <v>0.66415893439999962</v>
      </c>
      <c r="N33" s="20"/>
    </row>
    <row r="34" spans="7:14" x14ac:dyDescent="0.35">
      <c r="G34" s="24" t="s">
        <v>70</v>
      </c>
      <c r="H34" s="28"/>
      <c r="I34" s="26"/>
      <c r="J34" s="27"/>
      <c r="K34" s="26">
        <v>-209.0463</v>
      </c>
      <c r="L34" s="26">
        <f>K34+-1.51</f>
        <v>-210.55629999999999</v>
      </c>
      <c r="M34" s="27">
        <f>L34-L7-L3*2-L4+L5*2</f>
        <v>0.98147902440000934</v>
      </c>
      <c r="N34" s="18"/>
    </row>
    <row r="35" spans="7:14" x14ac:dyDescent="0.35">
      <c r="G35" s="24" t="s">
        <v>71</v>
      </c>
      <c r="H35" s="28"/>
      <c r="I35" s="26"/>
      <c r="J35" s="27"/>
      <c r="K35" s="26">
        <v>-210.83263414999999</v>
      </c>
      <c r="L35" s="26">
        <f>K35+-1.451346</f>
        <v>-212.28398014999999</v>
      </c>
      <c r="M35" s="27">
        <f>L35-L7-L3*2-L4+L5*2</f>
        <v>-0.7462011255999883</v>
      </c>
      <c r="N35" s="20"/>
    </row>
    <row r="36" spans="7:14" x14ac:dyDescent="0.35">
      <c r="G36" s="24" t="s">
        <v>72</v>
      </c>
      <c r="H36" s="28"/>
      <c r="I36" s="26"/>
      <c r="J36" s="27"/>
      <c r="K36" s="26">
        <v>-210.07457471999999</v>
      </c>
      <c r="L36" s="26">
        <f>K36+-1.495122</f>
        <v>-211.56969672</v>
      </c>
      <c r="M36" s="27">
        <f>L36-L7-L3*2-L4+L5*2</f>
        <v>-3.1917695599993579E-2</v>
      </c>
    </row>
    <row r="37" spans="7:14" x14ac:dyDescent="0.35">
      <c r="G37" s="24" t="s">
        <v>73</v>
      </c>
      <c r="H37" s="28"/>
      <c r="I37" s="26"/>
      <c r="J37" s="27"/>
      <c r="K37" s="26">
        <v>-210.56</v>
      </c>
      <c r="L37" s="26">
        <f>-1.473825+K37</f>
        <v>-212.03382500000001</v>
      </c>
      <c r="M37" s="27">
        <f>L37-L7-L3*2-L4+2*L5</f>
        <v>-0.49604597560000485</v>
      </c>
    </row>
    <row r="38" spans="7:14" x14ac:dyDescent="0.35">
      <c r="G38" s="24" t="s">
        <v>83</v>
      </c>
      <c r="H38" s="28"/>
      <c r="I38" s="26"/>
      <c r="J38" s="27"/>
      <c r="K38" s="26"/>
      <c r="L38" s="26"/>
      <c r="M38" s="27">
        <f>M37+T4</f>
        <v>0.60395402439999524</v>
      </c>
    </row>
    <row r="39" spans="7:14" x14ac:dyDescent="0.35">
      <c r="G39" s="24" t="s">
        <v>74</v>
      </c>
      <c r="H39" s="28"/>
      <c r="I39" s="26"/>
      <c r="J39" s="27"/>
      <c r="K39" s="26">
        <v>-218.73709951000001</v>
      </c>
      <c r="L39" s="26">
        <f>-1.0499+K39</f>
        <v>-219.78699951000002</v>
      </c>
      <c r="M39" s="27">
        <f>L39-L7-L3*3-L4+2*L5</f>
        <v>-1.0357204856000095</v>
      </c>
    </row>
    <row r="40" spans="7:14" x14ac:dyDescent="0.35">
      <c r="G40" s="24" t="s">
        <v>85</v>
      </c>
      <c r="H40" s="28"/>
      <c r="I40" s="26"/>
      <c r="J40" s="27"/>
      <c r="K40" s="26"/>
      <c r="L40" s="26"/>
      <c r="M40" s="27">
        <f>M39+T5</f>
        <v>-0.13572048560000949</v>
      </c>
    </row>
    <row r="41" spans="7:14" x14ac:dyDescent="0.35">
      <c r="G41" s="32" t="s">
        <v>75</v>
      </c>
      <c r="H41" s="25"/>
      <c r="I41" s="26"/>
      <c r="J41" s="27"/>
      <c r="K41" s="26">
        <v>-218.29</v>
      </c>
      <c r="L41" s="26">
        <f>-1.001088+K41</f>
        <v>-219.291088</v>
      </c>
      <c r="M41" s="27">
        <f>L41-L7-L3*3-L4+2*L5</f>
        <v>-0.53980897559999619</v>
      </c>
    </row>
    <row r="42" spans="7:14" x14ac:dyDescent="0.35">
      <c r="G42" s="2"/>
      <c r="N42" s="20"/>
    </row>
    <row r="43" spans="7:14" x14ac:dyDescent="0.35">
      <c r="G43" s="21" t="s">
        <v>91</v>
      </c>
      <c r="H43" s="22"/>
      <c r="I43" s="22"/>
      <c r="J43" s="23"/>
      <c r="K43" s="22"/>
      <c r="L43" s="22"/>
      <c r="M43" s="23">
        <f>M9+T3</f>
        <v>0.68639340000001037</v>
      </c>
      <c r="N43" s="20"/>
    </row>
    <row r="44" spans="7:14" x14ac:dyDescent="0.35">
      <c r="G44" s="21" t="s">
        <v>90</v>
      </c>
      <c r="H44" s="22"/>
      <c r="I44" s="22"/>
      <c r="J44" s="23"/>
      <c r="K44" s="22">
        <v>-220.42237252999999</v>
      </c>
      <c r="L44" s="22">
        <f>K44+-0.593654</f>
        <v>-221.01602652999998</v>
      </c>
      <c r="M44" s="23">
        <f>L44-L7-L3*3+L5</f>
        <v>-2.1589217799970584E-2</v>
      </c>
    </row>
    <row r="45" spans="7:14" x14ac:dyDescent="0.35">
      <c r="G45" s="21" t="s">
        <v>76</v>
      </c>
      <c r="H45" s="22"/>
      <c r="I45" s="22"/>
      <c r="J45" s="23"/>
      <c r="K45" s="22">
        <f>K46-(K44-K5)</f>
        <v>0.91739192000000003</v>
      </c>
      <c r="L45" s="22">
        <f>(0.917805-1.956759)+Q4</f>
        <v>-0.1268689999999999</v>
      </c>
      <c r="M45" s="23">
        <f>M44+K45+L45</f>
        <v>0.76893370220002955</v>
      </c>
    </row>
    <row r="46" spans="7:14" x14ac:dyDescent="0.35">
      <c r="G46" s="21" t="s">
        <v>92</v>
      </c>
      <c r="H46" s="22"/>
      <c r="I46" s="22"/>
      <c r="J46" s="23"/>
      <c r="K46" s="22">
        <v>-199.96061071</v>
      </c>
      <c r="L46" s="22">
        <f>K46+-1.3178</f>
        <v>-201.27841071</v>
      </c>
      <c r="M46" s="23">
        <f>L46-L7-L3*3+L5*2</f>
        <v>-0.22463168559999502</v>
      </c>
    </row>
    <row r="47" spans="7:14" x14ac:dyDescent="0.35">
      <c r="G47" s="21" t="s">
        <v>93</v>
      </c>
      <c r="H47" s="22"/>
      <c r="I47" s="22"/>
      <c r="J47" s="23"/>
      <c r="K47" s="22">
        <v>-217.57503113000001</v>
      </c>
      <c r="L47" s="22">
        <f>K47+-1.315555</f>
        <v>-218.89058613</v>
      </c>
      <c r="M47" s="23">
        <f>L47-L7-L3*3-L4+2*L5</f>
        <v>-0.13930710559999682</v>
      </c>
    </row>
    <row r="48" spans="7:14" x14ac:dyDescent="0.35">
      <c r="G48" s="21" t="s">
        <v>94</v>
      </c>
      <c r="H48" s="22"/>
      <c r="I48" s="22"/>
      <c r="J48" s="23"/>
      <c r="K48" s="22">
        <v>-216.51056478000001</v>
      </c>
      <c r="L48" s="22">
        <f>K48+-1.542753</f>
        <v>-218.05331778000001</v>
      </c>
      <c r="M48" s="23">
        <f>L48-L7-L3*3-L4+2*L5</f>
        <v>0.69796124439999119</v>
      </c>
    </row>
    <row r="49" spans="7:13" x14ac:dyDescent="0.35">
      <c r="G49" s="21" t="s">
        <v>78</v>
      </c>
      <c r="H49" s="22"/>
      <c r="I49" s="22"/>
      <c r="J49" s="23"/>
      <c r="K49" s="22">
        <f>K46-K47+K4</f>
        <v>0.9692773600000173</v>
      </c>
      <c r="L49" s="22">
        <f>(0.917805-1.144229)+Q3</f>
        <v>-7.3053999999999952E-2</v>
      </c>
      <c r="M49" s="23">
        <f>M47+K49+L49</f>
        <v>0.75691625440002053</v>
      </c>
    </row>
    <row r="50" spans="7:13" x14ac:dyDescent="0.35">
      <c r="G50" s="21" t="s">
        <v>95</v>
      </c>
      <c r="H50" s="22"/>
      <c r="I50" s="22"/>
      <c r="J50" s="23"/>
      <c r="K50" s="22">
        <v>-217.16157469999999</v>
      </c>
      <c r="L50" s="22">
        <f>K50+-1.353361</f>
        <v>-218.5149357</v>
      </c>
      <c r="M50" s="23">
        <f>L50-L7-L3*3-L4+2*L5</f>
        <v>0.2363433244000106</v>
      </c>
    </row>
    <row r="51" spans="7:13" x14ac:dyDescent="0.35">
      <c r="G51" s="21" t="s">
        <v>96</v>
      </c>
      <c r="H51" s="22"/>
      <c r="I51" s="22"/>
      <c r="J51" s="23"/>
      <c r="K51" s="22">
        <v>-216.97409095</v>
      </c>
      <c r="L51" s="22">
        <f>K51+-1.222603</f>
        <v>-218.19669395</v>
      </c>
      <c r="M51" s="23">
        <f>L51-L7-L3*3-L4+2*L5</f>
        <v>0.55458507440000915</v>
      </c>
    </row>
    <row r="52" spans="7:13" x14ac:dyDescent="0.35">
      <c r="G52" s="21" t="s">
        <v>102</v>
      </c>
      <c r="H52" s="22"/>
      <c r="I52" s="22"/>
      <c r="J52" s="23"/>
      <c r="K52" s="22">
        <f>K46-K50+K4</f>
        <v>0.55582092999999233</v>
      </c>
      <c r="L52" s="22">
        <f>(0.917805-1.151371)+Q3</f>
        <v>-8.0195999999999934E-2</v>
      </c>
      <c r="M52" s="23">
        <f>M50+K52+L52</f>
        <v>0.711968254400003</v>
      </c>
    </row>
    <row r="53" spans="7:13" x14ac:dyDescent="0.35">
      <c r="G53" s="21" t="s">
        <v>97</v>
      </c>
      <c r="H53" s="22"/>
      <c r="I53" s="22"/>
      <c r="J53" s="23"/>
      <c r="K53" s="22">
        <v>-217.18754804</v>
      </c>
      <c r="L53" s="22">
        <f>K53+-1.217355</f>
        <v>-218.40490303999999</v>
      </c>
      <c r="M53" s="23">
        <f>L53-L7-L3*3-L4+2*L5</f>
        <v>0.34637598440001227</v>
      </c>
    </row>
    <row r="54" spans="7:13" x14ac:dyDescent="0.35">
      <c r="G54" s="21" t="s">
        <v>98</v>
      </c>
      <c r="H54" s="22"/>
      <c r="I54" s="22"/>
      <c r="J54" s="23"/>
      <c r="K54" s="22">
        <v>-216.44497855</v>
      </c>
      <c r="L54" s="22">
        <f>K54+-1.167418</f>
        <v>-217.61239655</v>
      </c>
      <c r="M54" s="23">
        <f>L54-L7-L3*3-L4+2*L5</f>
        <v>1.1388824744000061</v>
      </c>
    </row>
    <row r="55" spans="7:13" x14ac:dyDescent="0.35">
      <c r="G55" s="21" t="s">
        <v>103</v>
      </c>
      <c r="H55" s="22"/>
      <c r="I55" s="22"/>
      <c r="J55" s="23"/>
      <c r="K55" s="22">
        <f>K46-K53+K4</f>
        <v>0.58179426999999961</v>
      </c>
      <c r="L55" s="22">
        <f>(0.917805-1.160787)+Q3</f>
        <v>-8.9612000000000025E-2</v>
      </c>
      <c r="M55" s="23">
        <f>M53+K55+L55</f>
        <v>0.83855825440001186</v>
      </c>
    </row>
    <row r="56" spans="7:13" x14ac:dyDescent="0.35">
      <c r="G56" s="21" t="s">
        <v>99</v>
      </c>
      <c r="H56" s="22"/>
      <c r="I56" s="22"/>
      <c r="J56" s="23"/>
      <c r="K56" s="22">
        <v>-217.55068654999999</v>
      </c>
      <c r="L56" s="22">
        <f>K56+-1.0546</f>
        <v>-218.60528654999999</v>
      </c>
      <c r="M56" s="23">
        <f>L56-L7-L3*3-L4+2*L5</f>
        <v>0.14599247440001761</v>
      </c>
    </row>
    <row r="57" spans="7:13" x14ac:dyDescent="0.35">
      <c r="G57" s="21" t="s">
        <v>100</v>
      </c>
      <c r="H57" s="22"/>
      <c r="I57" s="22"/>
      <c r="J57" s="23"/>
      <c r="K57" s="22"/>
      <c r="L57" s="22"/>
      <c r="M57" s="23"/>
    </row>
    <row r="58" spans="7:13" x14ac:dyDescent="0.35">
      <c r="G58" s="2"/>
    </row>
    <row r="59" spans="7:13" x14ac:dyDescent="0.35">
      <c r="G59" s="2" t="s">
        <v>89</v>
      </c>
      <c r="K59" s="1">
        <v>-207.93514533999999</v>
      </c>
      <c r="L59" s="1">
        <f>K59+-0.74282</f>
        <v>-208.67796533999999</v>
      </c>
      <c r="M59" s="7">
        <f>L59-L7-L3*4+L5*2</f>
        <v>-0.41068631559998181</v>
      </c>
    </row>
    <row r="60" spans="7:13" x14ac:dyDescent="0.35">
      <c r="G60" s="2"/>
    </row>
    <row r="61" spans="7:13" x14ac:dyDescent="0.35">
      <c r="G61" s="24" t="s">
        <v>107</v>
      </c>
      <c r="H61" s="28"/>
      <c r="I61" s="26"/>
      <c r="J61" s="27"/>
      <c r="K61" s="26">
        <v>-211.08039112</v>
      </c>
      <c r="L61" s="26">
        <f>K61+-1.442323</f>
        <v>-212.52271411999999</v>
      </c>
      <c r="M61" s="27">
        <f>L61-L7-L3*2-L4+L5*2</f>
        <v>-0.98493509559998671</v>
      </c>
    </row>
    <row r="62" spans="7:13" x14ac:dyDescent="0.35">
      <c r="G62" s="2"/>
    </row>
    <row r="63" spans="7:13" x14ac:dyDescent="0.35">
      <c r="G63" s="2"/>
    </row>
    <row r="64" spans="7:13" x14ac:dyDescent="0.35">
      <c r="G64" s="2"/>
    </row>
    <row r="65" spans="7:12" x14ac:dyDescent="0.35">
      <c r="G65" s="2"/>
    </row>
    <row r="66" spans="7:12" x14ac:dyDescent="0.35">
      <c r="G66" s="2"/>
    </row>
    <row r="67" spans="7:12" x14ac:dyDescent="0.35">
      <c r="G67" s="2"/>
    </row>
    <row r="68" spans="7:12" x14ac:dyDescent="0.35">
      <c r="G68" s="2"/>
    </row>
    <row r="69" spans="7:12" x14ac:dyDescent="0.35">
      <c r="G69" s="2"/>
    </row>
    <row r="70" spans="7:12" x14ac:dyDescent="0.35">
      <c r="G70" s="2"/>
      <c r="H70" s="3"/>
    </row>
    <row r="71" spans="7:12" x14ac:dyDescent="0.35">
      <c r="G71" s="2"/>
      <c r="H71" s="3"/>
    </row>
    <row r="72" spans="7:12" x14ac:dyDescent="0.35">
      <c r="G72" s="2"/>
    </row>
    <row r="73" spans="7:12" x14ac:dyDescent="0.35">
      <c r="G73" s="2"/>
    </row>
    <row r="74" spans="7:12" x14ac:dyDescent="0.35">
      <c r="G74" s="2"/>
    </row>
    <row r="75" spans="7:12" x14ac:dyDescent="0.35">
      <c r="G75" s="2"/>
    </row>
    <row r="76" spans="7:12" x14ac:dyDescent="0.35">
      <c r="G76" s="2"/>
    </row>
    <row r="77" spans="7:12" x14ac:dyDescent="0.35">
      <c r="G77" s="8"/>
      <c r="K77" s="8"/>
    </row>
    <row r="78" spans="7:12" x14ac:dyDescent="0.35">
      <c r="G78" s="8"/>
      <c r="K78" s="8"/>
    </row>
    <row r="79" spans="7:12" x14ac:dyDescent="0.35">
      <c r="G79" s="8"/>
      <c r="K79" s="8"/>
      <c r="L79" s="14"/>
    </row>
    <row r="81" spans="7:12" x14ac:dyDescent="0.35">
      <c r="L81" s="14"/>
    </row>
    <row r="83" spans="7:12" x14ac:dyDescent="0.35">
      <c r="G83" s="4"/>
      <c r="H83" s="8"/>
      <c r="I83" s="8"/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6"/>
  <sheetViews>
    <sheetView tabSelected="1" workbookViewId="0">
      <selection activeCell="J39" sqref="J39"/>
    </sheetView>
  </sheetViews>
  <sheetFormatPr defaultColWidth="8.7265625" defaultRowHeight="14.5" x14ac:dyDescent="0.35"/>
  <cols>
    <col min="1" max="1" width="14.453125" style="15" bestFit="1" customWidth="1"/>
    <col min="2" max="2" width="8.7265625" style="15"/>
    <col min="3" max="3" width="8.81640625" style="15" customWidth="1"/>
    <col min="4" max="4" width="9.7265625" style="15" customWidth="1"/>
    <col min="5" max="6" width="8.81640625" style="15" customWidth="1"/>
    <col min="7" max="9" width="8.7265625" style="15"/>
    <col min="10" max="10" width="16.54296875" style="15" customWidth="1"/>
    <col min="11" max="11" width="9.453125" style="15" customWidth="1"/>
    <col min="12" max="16384" width="8.7265625" style="15"/>
  </cols>
  <sheetData>
    <row r="1" spans="1:29" x14ac:dyDescent="0.35">
      <c r="F1" s="15" t="s">
        <v>7</v>
      </c>
      <c r="G1" s="15" t="s">
        <v>8</v>
      </c>
      <c r="H1" s="15" t="s">
        <v>9</v>
      </c>
      <c r="O1" s="15" t="s">
        <v>8</v>
      </c>
      <c r="P1" s="15" t="s">
        <v>37</v>
      </c>
      <c r="V1" s="15" t="s">
        <v>7</v>
      </c>
      <c r="W1" s="15" t="s">
        <v>8</v>
      </c>
      <c r="X1" s="15" t="s">
        <v>10</v>
      </c>
    </row>
    <row r="2" spans="1:29" x14ac:dyDescent="0.35">
      <c r="B2" s="11"/>
    </row>
    <row r="3" spans="1:29" x14ac:dyDescent="0.35">
      <c r="B3" s="11"/>
      <c r="H3" s="15" t="s">
        <v>11</v>
      </c>
      <c r="I3" s="15" t="s">
        <v>12</v>
      </c>
      <c r="J3" s="15" t="s">
        <v>13</v>
      </c>
      <c r="K3" s="15" t="s">
        <v>14</v>
      </c>
      <c r="L3" s="15" t="s">
        <v>2</v>
      </c>
      <c r="M3" s="15" t="s">
        <v>15</v>
      </c>
      <c r="P3" s="15" t="s">
        <v>11</v>
      </c>
      <c r="Q3" s="15" t="s">
        <v>12</v>
      </c>
      <c r="R3" s="15" t="s">
        <v>13</v>
      </c>
      <c r="S3" s="15" t="s">
        <v>14</v>
      </c>
      <c r="T3" s="15" t="s">
        <v>2</v>
      </c>
      <c r="U3" s="15" t="s">
        <v>15</v>
      </c>
      <c r="X3" s="15" t="s">
        <v>11</v>
      </c>
      <c r="Y3" s="15" t="s">
        <v>12</v>
      </c>
      <c r="Z3" s="15" t="s">
        <v>13</v>
      </c>
      <c r="AA3" s="15" t="s">
        <v>14</v>
      </c>
      <c r="AB3" s="15" t="s">
        <v>2</v>
      </c>
      <c r="AC3" s="15" t="s">
        <v>15</v>
      </c>
    </row>
    <row r="4" spans="1:29" x14ac:dyDescent="0.35">
      <c r="B4" s="11"/>
      <c r="H4" s="15" t="s">
        <v>16</v>
      </c>
      <c r="I4" s="15" t="s">
        <v>16</v>
      </c>
      <c r="J4" s="15" t="s">
        <v>16</v>
      </c>
      <c r="K4" s="15" t="s">
        <v>16</v>
      </c>
      <c r="L4" s="15" t="s">
        <v>16</v>
      </c>
      <c r="M4" s="15" t="s">
        <v>16</v>
      </c>
      <c r="P4" s="15" t="s">
        <v>16</v>
      </c>
      <c r="Q4" s="15" t="s">
        <v>16</v>
      </c>
      <c r="R4" s="15" t="s">
        <v>16</v>
      </c>
      <c r="S4" s="15" t="s">
        <v>16</v>
      </c>
      <c r="T4" s="15" t="s">
        <v>16</v>
      </c>
      <c r="U4" s="15" t="s">
        <v>16</v>
      </c>
      <c r="X4" s="15" t="s">
        <v>16</v>
      </c>
      <c r="Y4" s="15" t="s">
        <v>16</v>
      </c>
      <c r="Z4" s="15" t="s">
        <v>16</v>
      </c>
      <c r="AA4" s="15" t="s">
        <v>16</v>
      </c>
      <c r="AB4" s="15" t="s">
        <v>16</v>
      </c>
      <c r="AC4" s="15" t="s">
        <v>16</v>
      </c>
    </row>
    <row r="5" spans="1:29" x14ac:dyDescent="0.35">
      <c r="A5" s="1"/>
      <c r="B5" s="1"/>
      <c r="C5" s="1"/>
      <c r="G5" s="15" t="s">
        <v>17</v>
      </c>
      <c r="H5" s="15">
        <v>2.0070000000000001</v>
      </c>
      <c r="I5" s="15">
        <v>2.9809999999999999</v>
      </c>
      <c r="J5" s="15">
        <v>32.125999999999998</v>
      </c>
      <c r="K5" s="15">
        <v>3.3439999999999999</v>
      </c>
      <c r="L5" s="15">
        <v>-18.280999999999999</v>
      </c>
      <c r="M5" s="15">
        <v>13.66647</v>
      </c>
      <c r="O5" s="15" t="s">
        <v>17</v>
      </c>
      <c r="P5" s="15">
        <v>2.1560000000000001</v>
      </c>
      <c r="Q5" s="15">
        <v>2.9809999999999999</v>
      </c>
      <c r="R5" s="15">
        <v>32.481999999999999</v>
      </c>
      <c r="S5" s="15">
        <v>3.593</v>
      </c>
      <c r="T5" s="15">
        <v>-19.896999999999998</v>
      </c>
      <c r="U5" s="15">
        <v>13.84559</v>
      </c>
      <c r="W5" s="15" t="s">
        <v>17</v>
      </c>
      <c r="X5" s="15">
        <v>2.4540000000000002</v>
      </c>
      <c r="Y5" s="15">
        <v>2.9809999999999999</v>
      </c>
      <c r="Z5" s="15">
        <v>33.125999999999998</v>
      </c>
      <c r="AA5" s="15">
        <v>4.0890000000000004</v>
      </c>
      <c r="AB5" s="15">
        <v>-23.178000000000001</v>
      </c>
      <c r="AC5" s="15">
        <v>14.16939</v>
      </c>
    </row>
    <row r="6" spans="1:29" x14ac:dyDescent="0.35">
      <c r="A6" s="1"/>
      <c r="B6" s="1"/>
      <c r="C6" s="1"/>
      <c r="G6" s="15" t="s">
        <v>18</v>
      </c>
      <c r="H6" s="15">
        <v>1.3380000000000001</v>
      </c>
      <c r="I6" s="15">
        <v>1.9870000000000001</v>
      </c>
      <c r="J6" s="15">
        <v>4.7089999999999996</v>
      </c>
      <c r="K6" s="15">
        <v>1.3380000000000001</v>
      </c>
      <c r="L6" s="15">
        <v>-1.8320000000000001</v>
      </c>
      <c r="M6" s="15">
        <v>1.36951</v>
      </c>
      <c r="O6" s="15" t="s">
        <v>18</v>
      </c>
      <c r="P6" s="15">
        <v>1.4370000000000001</v>
      </c>
      <c r="Q6" s="15">
        <v>1.9870000000000001</v>
      </c>
      <c r="R6" s="15">
        <v>4.851</v>
      </c>
      <c r="S6" s="15">
        <v>1.4370000000000001</v>
      </c>
      <c r="T6" s="15">
        <v>-2.0710000000000002</v>
      </c>
      <c r="U6" s="15">
        <v>1.44116</v>
      </c>
      <c r="W6" s="15" t="s">
        <v>18</v>
      </c>
      <c r="X6" s="15">
        <v>1.6359999999999999</v>
      </c>
      <c r="Y6" s="15">
        <v>1.9870000000000001</v>
      </c>
      <c r="Z6" s="15">
        <v>5.1079999999999997</v>
      </c>
      <c r="AA6" s="15">
        <v>1.6359999999999999</v>
      </c>
      <c r="AB6" s="15">
        <v>-2.569</v>
      </c>
      <c r="AC6" s="15">
        <v>1.5706800000000001</v>
      </c>
    </row>
    <row r="7" spans="1:29" x14ac:dyDescent="0.35">
      <c r="A7" s="1"/>
      <c r="B7" s="1"/>
      <c r="C7" s="1"/>
      <c r="G7" s="15" t="s">
        <v>19</v>
      </c>
      <c r="H7" s="15">
        <v>1E-3</v>
      </c>
      <c r="I7" s="15">
        <v>1.4999999999999999E-2</v>
      </c>
      <c r="J7" s="15">
        <v>2E-3</v>
      </c>
      <c r="K7" s="15">
        <v>1E-3</v>
      </c>
      <c r="L7" s="15">
        <v>0</v>
      </c>
      <c r="M7" s="15">
        <v>9.0000000000000006E-5</v>
      </c>
      <c r="O7" s="15" t="s">
        <v>19</v>
      </c>
      <c r="P7" s="15">
        <v>2E-3</v>
      </c>
      <c r="Q7" s="15">
        <v>2.5000000000000001E-2</v>
      </c>
      <c r="R7" s="15">
        <v>3.0000000000000001E-3</v>
      </c>
      <c r="S7" s="15">
        <v>2E-3</v>
      </c>
      <c r="T7" s="15">
        <v>0</v>
      </c>
      <c r="U7" s="15">
        <v>1.7000000000000001E-4</v>
      </c>
      <c r="W7" s="15" t="s">
        <v>19</v>
      </c>
      <c r="X7" s="15">
        <v>6.0000000000000001E-3</v>
      </c>
      <c r="Y7" s="15">
        <v>5.6000000000000001E-2</v>
      </c>
      <c r="Z7" s="15">
        <v>8.0000000000000002E-3</v>
      </c>
      <c r="AA7" s="15">
        <v>6.0000000000000001E-3</v>
      </c>
      <c r="AB7" s="15">
        <v>-1E-3</v>
      </c>
      <c r="AC7" s="15">
        <v>4.8000000000000001E-4</v>
      </c>
    </row>
    <row r="8" spans="1:29" x14ac:dyDescent="0.35">
      <c r="A8" s="1"/>
      <c r="B8" s="1"/>
      <c r="C8" s="1"/>
      <c r="G8" s="15" t="s">
        <v>20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O8" s="15" t="s">
        <v>20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W8" s="15" t="s">
        <v>20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</row>
    <row r="9" spans="1:29" x14ac:dyDescent="0.35">
      <c r="G9" s="15" t="s">
        <v>21</v>
      </c>
      <c r="H9" s="15">
        <v>3.3450000000000002</v>
      </c>
      <c r="I9" s="15">
        <v>4.9829999999999997</v>
      </c>
      <c r="J9" s="15">
        <v>36.837000000000003</v>
      </c>
      <c r="K9" s="15">
        <v>4.6829999999999998</v>
      </c>
      <c r="L9" s="15">
        <v>-20.114000000000001</v>
      </c>
      <c r="M9" s="15">
        <v>15.036060000000001</v>
      </c>
      <c r="O9" s="15" t="s">
        <v>21</v>
      </c>
      <c r="P9" s="15">
        <v>3.5950000000000002</v>
      </c>
      <c r="Q9" s="15">
        <v>4.9930000000000003</v>
      </c>
      <c r="R9" s="15">
        <v>37.335999999999999</v>
      </c>
      <c r="S9" s="15">
        <v>5.032</v>
      </c>
      <c r="T9" s="15">
        <v>-21.968</v>
      </c>
      <c r="U9" s="15">
        <v>15.286910000000001</v>
      </c>
      <c r="W9" s="15" t="s">
        <v>21</v>
      </c>
      <c r="X9" s="15">
        <v>4.0949999999999998</v>
      </c>
      <c r="Y9" s="15">
        <v>5.024</v>
      </c>
      <c r="Z9" s="15">
        <v>38.241999999999997</v>
      </c>
      <c r="AA9" s="15">
        <v>5.7309999999999999</v>
      </c>
      <c r="AB9" s="15">
        <v>-25.748000000000001</v>
      </c>
      <c r="AC9" s="15">
        <v>15.740550000000001</v>
      </c>
    </row>
    <row r="10" spans="1:29" x14ac:dyDescent="0.35">
      <c r="F10" s="15" t="s">
        <v>22</v>
      </c>
      <c r="G10" s="15" t="s">
        <v>8</v>
      </c>
      <c r="H10" s="15" t="s">
        <v>9</v>
      </c>
      <c r="O10" s="15" t="s">
        <v>8</v>
      </c>
      <c r="P10" s="15" t="s">
        <v>37</v>
      </c>
      <c r="V10" s="15" t="s">
        <v>22</v>
      </c>
      <c r="W10" s="15" t="s">
        <v>8</v>
      </c>
      <c r="X10" s="15" t="s">
        <v>10</v>
      </c>
    </row>
    <row r="12" spans="1:29" x14ac:dyDescent="0.35">
      <c r="H12" s="15" t="s">
        <v>11</v>
      </c>
      <c r="I12" s="15" t="s">
        <v>12</v>
      </c>
      <c r="J12" s="15" t="s">
        <v>13</v>
      </c>
      <c r="K12" s="15" t="s">
        <v>14</v>
      </c>
      <c r="L12" s="15" t="s">
        <v>2</v>
      </c>
      <c r="M12" s="15" t="s">
        <v>15</v>
      </c>
      <c r="P12" s="15" t="s">
        <v>11</v>
      </c>
      <c r="Q12" s="15" t="s">
        <v>12</v>
      </c>
      <c r="R12" s="15" t="s">
        <v>13</v>
      </c>
      <c r="S12" s="15" t="s">
        <v>14</v>
      </c>
      <c r="T12" s="15" t="s">
        <v>2</v>
      </c>
      <c r="U12" s="15" t="s">
        <v>15</v>
      </c>
      <c r="X12" s="15" t="s">
        <v>11</v>
      </c>
      <c r="Y12" s="15" t="s">
        <v>12</v>
      </c>
      <c r="Z12" s="15" t="s">
        <v>13</v>
      </c>
      <c r="AA12" s="15" t="s">
        <v>14</v>
      </c>
      <c r="AB12" s="15" t="s">
        <v>2</v>
      </c>
      <c r="AC12" s="15" t="s">
        <v>15</v>
      </c>
    </row>
    <row r="13" spans="1:29" x14ac:dyDescent="0.35">
      <c r="H13" s="15" t="s">
        <v>16</v>
      </c>
      <c r="I13" s="15" t="s">
        <v>16</v>
      </c>
      <c r="J13" s="15" t="s">
        <v>16</v>
      </c>
      <c r="K13" s="15" t="s">
        <v>16</v>
      </c>
      <c r="L13" s="15" t="s">
        <v>16</v>
      </c>
      <c r="M13" s="15" t="s">
        <v>16</v>
      </c>
      <c r="P13" s="15" t="s">
        <v>38</v>
      </c>
      <c r="Q13" s="15" t="s">
        <v>16</v>
      </c>
      <c r="R13" s="15" t="s">
        <v>16</v>
      </c>
      <c r="S13" s="15" t="s">
        <v>16</v>
      </c>
      <c r="T13" s="15" t="s">
        <v>16</v>
      </c>
      <c r="U13" s="15" t="s">
        <v>16</v>
      </c>
      <c r="X13" s="15" t="s">
        <v>16</v>
      </c>
      <c r="Y13" s="15" t="s">
        <v>16</v>
      </c>
      <c r="Z13" s="15" t="s">
        <v>16</v>
      </c>
      <c r="AA13" s="15" t="s">
        <v>16</v>
      </c>
      <c r="AB13" s="15" t="s">
        <v>16</v>
      </c>
      <c r="AC13" s="15" t="s">
        <v>16</v>
      </c>
    </row>
    <row r="14" spans="1:29" x14ac:dyDescent="0.35">
      <c r="G14" s="15" t="s">
        <v>17</v>
      </c>
      <c r="H14" s="15">
        <v>2.0070000000000001</v>
      </c>
      <c r="I14" s="15">
        <v>2.9809999999999999</v>
      </c>
      <c r="J14" s="15">
        <v>39.97</v>
      </c>
      <c r="K14" s="15">
        <v>3.3439999999999999</v>
      </c>
      <c r="L14" s="15">
        <v>-23.562000000000001</v>
      </c>
      <c r="M14" s="15">
        <v>17.613689999999998</v>
      </c>
      <c r="O14" s="15" t="s">
        <v>17</v>
      </c>
      <c r="P14" s="15">
        <v>2.1560000000000001</v>
      </c>
      <c r="Q14" s="15">
        <v>2.9809999999999999</v>
      </c>
      <c r="R14" s="15">
        <v>40.326000000000001</v>
      </c>
      <c r="S14" s="15">
        <v>3.593</v>
      </c>
      <c r="T14" s="15">
        <v>-25.568999999999999</v>
      </c>
      <c r="U14" s="15">
        <v>17.792809999999999</v>
      </c>
      <c r="W14" s="15" t="s">
        <v>17</v>
      </c>
      <c r="X14" s="15">
        <v>2.4540000000000002</v>
      </c>
      <c r="Y14" s="15">
        <v>2.9809999999999999</v>
      </c>
      <c r="Z14" s="15">
        <v>40.969000000000001</v>
      </c>
      <c r="AA14" s="15">
        <v>4.0890000000000004</v>
      </c>
      <c r="AB14" s="15">
        <v>-29.635000000000002</v>
      </c>
      <c r="AC14" s="15">
        <v>18.116610000000001</v>
      </c>
    </row>
    <row r="15" spans="1:29" x14ac:dyDescent="0.35">
      <c r="G15" s="15" t="s">
        <v>18</v>
      </c>
      <c r="H15" s="15">
        <v>1.3380000000000001</v>
      </c>
      <c r="I15" s="15">
        <v>1.9870000000000001</v>
      </c>
      <c r="J15" s="15">
        <v>11.519</v>
      </c>
      <c r="K15" s="15">
        <v>1.3380000000000001</v>
      </c>
      <c r="L15" s="15">
        <v>-6.4169999999999998</v>
      </c>
      <c r="M15" s="15">
        <v>4.7968200000000003</v>
      </c>
      <c r="O15" s="15" t="s">
        <v>18</v>
      </c>
      <c r="P15" s="15">
        <v>1.4370000000000001</v>
      </c>
      <c r="Q15" s="15">
        <v>1.9870000000000001</v>
      </c>
      <c r="R15" s="15">
        <v>11.662000000000001</v>
      </c>
      <c r="S15" s="15">
        <v>1.4370000000000001</v>
      </c>
      <c r="T15" s="15">
        <v>-6.9960000000000004</v>
      </c>
      <c r="U15" s="15">
        <v>4.8684700000000003</v>
      </c>
      <c r="W15" s="15" t="s">
        <v>18</v>
      </c>
      <c r="X15" s="15">
        <v>1.6359999999999999</v>
      </c>
      <c r="Y15" s="15">
        <v>1.9870000000000001</v>
      </c>
      <c r="Z15" s="15">
        <v>11.919</v>
      </c>
      <c r="AA15" s="15">
        <v>1.6359999999999999</v>
      </c>
      <c r="AB15" s="15">
        <v>-8.1760000000000002</v>
      </c>
      <c r="AC15" s="15">
        <v>4.9979899999999997</v>
      </c>
    </row>
    <row r="16" spans="1:29" x14ac:dyDescent="0.35">
      <c r="G16" s="15" t="s">
        <v>19</v>
      </c>
      <c r="H16" s="15">
        <v>4.3999999999999997E-2</v>
      </c>
      <c r="I16" s="15">
        <v>0.33</v>
      </c>
      <c r="J16" s="15">
        <v>7.8E-2</v>
      </c>
      <c r="K16" s="15">
        <v>4.3999999999999997E-2</v>
      </c>
      <c r="L16" s="15">
        <v>-8.9999999999999993E-3</v>
      </c>
      <c r="M16" s="15">
        <v>6.4599999999999996E-3</v>
      </c>
      <c r="O16" s="15" t="s">
        <v>19</v>
      </c>
      <c r="P16" s="15">
        <v>6.2E-2</v>
      </c>
      <c r="Q16" s="15">
        <v>0.40699999999999997</v>
      </c>
      <c r="R16" s="15">
        <v>0.104</v>
      </c>
      <c r="S16" s="15">
        <v>6.2E-2</v>
      </c>
      <c r="T16" s="15">
        <v>-1.2999999999999999E-2</v>
      </c>
      <c r="U16" s="15">
        <v>9.1599999999999997E-3</v>
      </c>
      <c r="W16" s="15" t="s">
        <v>19</v>
      </c>
      <c r="X16" s="15">
        <v>0.111</v>
      </c>
      <c r="Y16" s="15">
        <v>0.56399999999999995</v>
      </c>
      <c r="Z16" s="15">
        <v>0.16700000000000001</v>
      </c>
      <c r="AA16" s="15">
        <v>0.111</v>
      </c>
      <c r="AB16" s="15">
        <v>-2.7E-2</v>
      </c>
      <c r="AC16" s="15">
        <v>1.627E-2</v>
      </c>
    </row>
    <row r="17" spans="1:29" x14ac:dyDescent="0.35">
      <c r="G17" s="15" t="s">
        <v>20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O17" s="15" t="s">
        <v>20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W17" s="15" t="s">
        <v>20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</row>
    <row r="18" spans="1:29" x14ac:dyDescent="0.35">
      <c r="G18" s="15" t="s">
        <v>21</v>
      </c>
      <c r="H18" s="15">
        <v>3.3879999999999999</v>
      </c>
      <c r="I18" s="15">
        <v>5.298</v>
      </c>
      <c r="J18" s="15">
        <v>51.567</v>
      </c>
      <c r="K18" s="15">
        <v>4.726</v>
      </c>
      <c r="L18" s="15">
        <v>-29.986999999999998</v>
      </c>
      <c r="M18" s="15">
        <v>22.416969999999999</v>
      </c>
      <c r="O18" s="15" t="s">
        <v>21</v>
      </c>
      <c r="P18" s="15">
        <v>3.6549999999999998</v>
      </c>
      <c r="Q18" s="15">
        <v>5.375</v>
      </c>
      <c r="R18" s="15">
        <v>52.091999999999999</v>
      </c>
      <c r="S18" s="15">
        <v>5.0919999999999996</v>
      </c>
      <c r="T18" s="15">
        <v>-32.579000000000001</v>
      </c>
      <c r="U18" s="15">
        <v>22.670439999999999</v>
      </c>
      <c r="W18" s="15" t="s">
        <v>21</v>
      </c>
      <c r="X18" s="15">
        <v>4.2</v>
      </c>
      <c r="Y18" s="15">
        <v>5.532</v>
      </c>
      <c r="Z18" s="15">
        <v>53.055999999999997</v>
      </c>
      <c r="AA18" s="15">
        <v>5.8360000000000003</v>
      </c>
      <c r="AB18" s="15">
        <v>-37.837000000000003</v>
      </c>
      <c r="AC18" s="15">
        <v>23.130880000000001</v>
      </c>
    </row>
    <row r="19" spans="1:29" x14ac:dyDescent="0.35">
      <c r="F19" s="15" t="s">
        <v>23</v>
      </c>
      <c r="G19" s="15" t="s">
        <v>8</v>
      </c>
      <c r="H19" s="15" t="s">
        <v>9</v>
      </c>
      <c r="O19" s="15" t="s">
        <v>8</v>
      </c>
      <c r="P19" s="15" t="s">
        <v>37</v>
      </c>
      <c r="V19" s="15" t="s">
        <v>23</v>
      </c>
      <c r="W19" s="15" t="s">
        <v>8</v>
      </c>
      <c r="X19" s="15" t="s">
        <v>10</v>
      </c>
    </row>
    <row r="21" spans="1:29" x14ac:dyDescent="0.35">
      <c r="H21" s="15" t="s">
        <v>11</v>
      </c>
      <c r="I21" s="15" t="s">
        <v>12</v>
      </c>
      <c r="J21" s="15" t="s">
        <v>13</v>
      </c>
      <c r="K21" s="15" t="s">
        <v>14</v>
      </c>
      <c r="L21" s="15" t="s">
        <v>2</v>
      </c>
      <c r="M21" s="15" t="s">
        <v>15</v>
      </c>
      <c r="P21" s="15" t="s">
        <v>11</v>
      </c>
      <c r="Q21" s="15" t="s">
        <v>12</v>
      </c>
      <c r="R21" s="15" t="s">
        <v>13</v>
      </c>
      <c r="S21" s="15" t="s">
        <v>14</v>
      </c>
      <c r="T21" s="15" t="s">
        <v>2</v>
      </c>
      <c r="U21" s="15" t="s">
        <v>15</v>
      </c>
      <c r="X21" s="15" t="s">
        <v>11</v>
      </c>
      <c r="Y21" s="15" t="s">
        <v>12</v>
      </c>
      <c r="Z21" s="15" t="s">
        <v>13</v>
      </c>
      <c r="AA21" s="15" t="s">
        <v>14</v>
      </c>
      <c r="AB21" s="15" t="s">
        <v>2</v>
      </c>
      <c r="AC21" s="15" t="s">
        <v>15</v>
      </c>
    </row>
    <row r="22" spans="1:29" x14ac:dyDescent="0.35">
      <c r="H22" s="15" t="s">
        <v>16</v>
      </c>
      <c r="I22" s="15" t="s">
        <v>16</v>
      </c>
      <c r="J22" s="15" t="s">
        <v>16</v>
      </c>
      <c r="K22" s="15" t="s">
        <v>16</v>
      </c>
      <c r="L22" s="15" t="s">
        <v>16</v>
      </c>
      <c r="M22" s="15" t="s">
        <v>16</v>
      </c>
      <c r="P22" s="15" t="s">
        <v>16</v>
      </c>
      <c r="Q22" s="15" t="s">
        <v>16</v>
      </c>
      <c r="R22" s="15" t="s">
        <v>16</v>
      </c>
      <c r="S22" s="15" t="s">
        <v>16</v>
      </c>
      <c r="T22" s="15" t="s">
        <v>16</v>
      </c>
      <c r="U22" s="15" t="s">
        <v>16</v>
      </c>
      <c r="X22" s="15" t="s">
        <v>16</v>
      </c>
      <c r="Y22" s="15" t="s">
        <v>16</v>
      </c>
      <c r="Z22" s="15" t="s">
        <v>16</v>
      </c>
      <c r="AA22" s="15" t="s">
        <v>16</v>
      </c>
      <c r="AB22" s="15" t="s">
        <v>16</v>
      </c>
      <c r="AC22" s="15" t="s">
        <v>16</v>
      </c>
    </row>
    <row r="23" spans="1:29" x14ac:dyDescent="0.35">
      <c r="G23" s="15" t="s">
        <v>17</v>
      </c>
      <c r="H23" s="15">
        <v>2.0070000000000001</v>
      </c>
      <c r="I23" s="15">
        <v>2.9809999999999999</v>
      </c>
      <c r="J23" s="15">
        <v>38.487000000000002</v>
      </c>
      <c r="K23" s="15">
        <v>3.3439999999999999</v>
      </c>
      <c r="L23" s="15">
        <v>-22.562999999999999</v>
      </c>
      <c r="M23" s="15">
        <v>16.86721</v>
      </c>
      <c r="O23" s="15" t="s">
        <v>17</v>
      </c>
      <c r="P23" s="15">
        <v>2.1560000000000001</v>
      </c>
      <c r="Q23" s="15">
        <v>2.9809999999999999</v>
      </c>
      <c r="R23" s="15">
        <v>38.843000000000004</v>
      </c>
      <c r="S23" s="15">
        <v>3.593</v>
      </c>
      <c r="T23" s="15">
        <v>-24.495999999999999</v>
      </c>
      <c r="U23" s="15">
        <v>17.046330000000001</v>
      </c>
      <c r="W23" s="15" t="s">
        <v>17</v>
      </c>
      <c r="X23" s="15">
        <v>2.4540000000000002</v>
      </c>
      <c r="Y23" s="15">
        <v>2.9809999999999999</v>
      </c>
      <c r="Z23" s="15">
        <v>39.485999999999997</v>
      </c>
      <c r="AA23" s="15">
        <v>4.0890000000000004</v>
      </c>
      <c r="AB23" s="15">
        <v>-28.414000000000001</v>
      </c>
      <c r="AC23" s="15">
        <v>17.370139999999999</v>
      </c>
    </row>
    <row r="24" spans="1:29" x14ac:dyDescent="0.35">
      <c r="G24" s="15" t="s">
        <v>18</v>
      </c>
      <c r="H24" s="15">
        <v>2.0070000000000001</v>
      </c>
      <c r="I24" s="15">
        <v>2.9809999999999999</v>
      </c>
      <c r="J24" s="15">
        <v>13.935</v>
      </c>
      <c r="K24" s="15">
        <v>2.0070000000000001</v>
      </c>
      <c r="L24" s="15">
        <v>-7.3739999999999997</v>
      </c>
      <c r="M24" s="15">
        <v>5.5123300000000004</v>
      </c>
      <c r="O24" s="15" t="s">
        <v>18</v>
      </c>
      <c r="P24" s="15">
        <v>2.1560000000000001</v>
      </c>
      <c r="Q24" s="15">
        <v>2.9809999999999999</v>
      </c>
      <c r="R24" s="15">
        <v>14.148999999999999</v>
      </c>
      <c r="S24" s="15">
        <v>2.1560000000000001</v>
      </c>
      <c r="T24" s="15">
        <v>-8.0760000000000005</v>
      </c>
      <c r="U24" s="15">
        <v>5.6197999999999997</v>
      </c>
      <c r="W24" s="15" t="s">
        <v>18</v>
      </c>
      <c r="X24" s="15">
        <v>2.4540000000000002</v>
      </c>
      <c r="Y24" s="15">
        <v>2.9809999999999999</v>
      </c>
      <c r="Z24" s="15">
        <v>14.535</v>
      </c>
      <c r="AA24" s="15">
        <v>2.4540000000000002</v>
      </c>
      <c r="AB24" s="15">
        <v>-9.51</v>
      </c>
      <c r="AC24" s="15">
        <v>5.8140799999999997</v>
      </c>
    </row>
    <row r="25" spans="1:29" x14ac:dyDescent="0.35">
      <c r="G25" s="15" t="s">
        <v>19</v>
      </c>
      <c r="H25" s="15">
        <v>0.64700000000000002</v>
      </c>
      <c r="I25" s="15">
        <v>3.0430000000000001</v>
      </c>
      <c r="J25" s="15">
        <v>1.2929999999999999</v>
      </c>
      <c r="K25" s="15">
        <v>0.64700000000000002</v>
      </c>
      <c r="L25" s="15">
        <v>-0.224</v>
      </c>
      <c r="M25" s="15">
        <v>0.16716</v>
      </c>
      <c r="O25" s="15" t="s">
        <v>19</v>
      </c>
      <c r="P25" s="15">
        <v>0.80800000000000005</v>
      </c>
      <c r="Q25" s="15">
        <v>3.3969999999999998</v>
      </c>
      <c r="R25" s="15">
        <v>1.524</v>
      </c>
      <c r="S25" s="15">
        <v>0.80800000000000005</v>
      </c>
      <c r="T25" s="15">
        <v>-0.29399999999999998</v>
      </c>
      <c r="U25" s="15">
        <v>0.20457</v>
      </c>
      <c r="W25" s="15" t="s">
        <v>19</v>
      </c>
      <c r="X25" s="15">
        <v>1.1819999999999999</v>
      </c>
      <c r="Y25" s="15">
        <v>4.08</v>
      </c>
      <c r="Z25" s="15">
        <v>2.0070000000000001</v>
      </c>
      <c r="AA25" s="15">
        <v>1.1819999999999999</v>
      </c>
      <c r="AB25" s="15">
        <v>-0.47</v>
      </c>
      <c r="AC25" s="15">
        <v>0.28750999999999999</v>
      </c>
    </row>
    <row r="26" spans="1:29" x14ac:dyDescent="0.35">
      <c r="G26" s="15" t="s">
        <v>20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O26" s="15" t="s">
        <v>20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W26" s="15" t="s">
        <v>20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</row>
    <row r="27" spans="1:29" x14ac:dyDescent="0.35">
      <c r="G27" s="15" t="s">
        <v>21</v>
      </c>
      <c r="H27" s="15">
        <v>4.66</v>
      </c>
      <c r="I27" s="15">
        <v>9.0050000000000008</v>
      </c>
      <c r="J27" s="15">
        <v>53.713999999999999</v>
      </c>
      <c r="K27" s="15">
        <v>5.9969999999999999</v>
      </c>
      <c r="L27" s="15">
        <v>-30.16</v>
      </c>
      <c r="M27" s="15">
        <v>22.546700000000001</v>
      </c>
      <c r="O27" s="15" t="s">
        <v>21</v>
      </c>
      <c r="P27" s="15">
        <v>5.1189999999999998</v>
      </c>
      <c r="Q27" s="15">
        <v>9.359</v>
      </c>
      <c r="R27" s="15">
        <v>54.515000000000001</v>
      </c>
      <c r="S27" s="15">
        <v>6.556</v>
      </c>
      <c r="T27" s="15">
        <v>-32.866</v>
      </c>
      <c r="U27" s="15">
        <v>22.870709999999999</v>
      </c>
      <c r="W27" s="15" t="s">
        <v>21</v>
      </c>
      <c r="X27" s="15">
        <v>6.0890000000000004</v>
      </c>
      <c r="Y27" s="15">
        <v>10.041</v>
      </c>
      <c r="Z27" s="15">
        <v>56.027999999999999</v>
      </c>
      <c r="AA27" s="15">
        <v>7.7249999999999996</v>
      </c>
      <c r="AB27" s="15">
        <v>-38.393999999999998</v>
      </c>
      <c r="AC27" s="15">
        <v>23.471730000000001</v>
      </c>
    </row>
    <row r="31" spans="1:29" x14ac:dyDescent="0.35">
      <c r="A31" s="5" t="s">
        <v>6</v>
      </c>
      <c r="B31" s="5" t="s">
        <v>24</v>
      </c>
      <c r="C31" s="5" t="s">
        <v>25</v>
      </c>
      <c r="D31" s="5" t="s">
        <v>26</v>
      </c>
      <c r="E31" s="5" t="s">
        <v>13</v>
      </c>
      <c r="F31" s="5" t="s">
        <v>14</v>
      </c>
      <c r="G31" s="5" t="s">
        <v>21</v>
      </c>
      <c r="H31" s="5" t="s">
        <v>27</v>
      </c>
      <c r="I31" s="11" t="s">
        <v>28</v>
      </c>
      <c r="J31" s="11" t="s">
        <v>2</v>
      </c>
      <c r="K31" s="5" t="s">
        <v>29</v>
      </c>
    </row>
    <row r="32" spans="1:29" x14ac:dyDescent="0.35">
      <c r="A32" s="5" t="s">
        <v>30</v>
      </c>
      <c r="B32" s="5">
        <v>673</v>
      </c>
      <c r="C32" s="5">
        <v>15</v>
      </c>
      <c r="D32" s="5">
        <v>6.2469999999999999</v>
      </c>
      <c r="E32" s="15">
        <v>36.837000000000003</v>
      </c>
      <c r="F32" s="15">
        <v>4.6829999999999998</v>
      </c>
      <c r="G32" s="5">
        <f t="shared" ref="G32:G39" si="0">D32+F32-B32*E32/1000</f>
        <v>-13.861301000000005</v>
      </c>
      <c r="H32" s="5">
        <f t="shared" ref="H32:H37" si="1">G32/23.06035</f>
        <v>-0.6010880580737068</v>
      </c>
      <c r="I32" s="11">
        <v>-6.7732905399999996</v>
      </c>
      <c r="J32" s="16">
        <f t="shared" ref="J32:J39" si="2">H32+I32+8.61733*10^(-5)*B32*LN(C32)</f>
        <v>-7.2173262262021129</v>
      </c>
      <c r="K32" s="15" t="s">
        <v>31</v>
      </c>
    </row>
    <row r="33" spans="1:12" x14ac:dyDescent="0.35">
      <c r="A33" s="5" t="s">
        <v>32</v>
      </c>
      <c r="B33" s="5">
        <v>673</v>
      </c>
      <c r="C33" s="5">
        <v>5</v>
      </c>
      <c r="D33" s="5">
        <v>3.375</v>
      </c>
      <c r="E33" s="15">
        <v>51.567</v>
      </c>
      <c r="F33" s="15">
        <v>4.726</v>
      </c>
      <c r="G33" s="5">
        <f t="shared" si="0"/>
        <v>-26.603591000000002</v>
      </c>
      <c r="H33" s="5">
        <f t="shared" si="1"/>
        <v>-1.1536507902091686</v>
      </c>
      <c r="I33" s="11">
        <v>-16.645143059999999</v>
      </c>
      <c r="J33" s="16">
        <f t="shared" si="2"/>
        <v>-17.705455092521088</v>
      </c>
      <c r="K33" s="15" t="s">
        <v>31</v>
      </c>
    </row>
    <row r="34" spans="1:12" x14ac:dyDescent="0.35">
      <c r="A34" s="5" t="s">
        <v>33</v>
      </c>
      <c r="B34" s="5">
        <v>673</v>
      </c>
      <c r="C34" s="5">
        <v>1</v>
      </c>
      <c r="D34" s="5">
        <v>21.13</v>
      </c>
      <c r="E34" s="15">
        <v>53.713999999999999</v>
      </c>
      <c r="F34" s="15">
        <v>5.9969999999999999</v>
      </c>
      <c r="G34" s="5">
        <f t="shared" si="0"/>
        <v>-9.0225219999999986</v>
      </c>
      <c r="H34" s="5">
        <f t="shared" si="1"/>
        <v>-0.39125694102648045</v>
      </c>
      <c r="I34" s="11">
        <v>-19.5443699</v>
      </c>
      <c r="J34" s="39">
        <f>H34+I34+8.61733*10^(-5)*B34*LN(C34)</f>
        <v>-19.93562684102648</v>
      </c>
      <c r="K34" s="15" t="s">
        <v>31</v>
      </c>
    </row>
    <row r="35" spans="1:12" x14ac:dyDescent="0.35">
      <c r="A35" s="6" t="s">
        <v>30</v>
      </c>
      <c r="B35" s="6">
        <v>673</v>
      </c>
      <c r="C35" s="6">
        <v>15</v>
      </c>
      <c r="D35" s="6">
        <v>6.3840000000000003</v>
      </c>
      <c r="E35" s="6">
        <v>36.798000000000002</v>
      </c>
      <c r="F35" s="17">
        <v>4.6829999999999998</v>
      </c>
      <c r="G35" s="6">
        <f t="shared" si="0"/>
        <v>-13.698053999999999</v>
      </c>
      <c r="H35" s="6">
        <f t="shared" si="1"/>
        <v>-0.59400893741855609</v>
      </c>
      <c r="I35" s="13">
        <v>-6.7596221999999999</v>
      </c>
      <c r="J35" s="11">
        <f t="shared" si="2"/>
        <v>-7.1965787655469624</v>
      </c>
      <c r="K35" s="15" t="s">
        <v>34</v>
      </c>
    </row>
    <row r="36" spans="1:12" x14ac:dyDescent="0.35">
      <c r="A36" s="6" t="s">
        <v>32</v>
      </c>
      <c r="B36" s="6">
        <v>673</v>
      </c>
      <c r="C36" s="6">
        <v>5</v>
      </c>
      <c r="D36" s="6">
        <v>3.5129999999999999</v>
      </c>
      <c r="E36" s="6">
        <v>51.515000000000001</v>
      </c>
      <c r="F36" s="17">
        <v>4.7190000000000003</v>
      </c>
      <c r="G36" s="6">
        <f t="shared" si="0"/>
        <v>-26.437595000000002</v>
      </c>
      <c r="H36" s="6">
        <f t="shared" si="1"/>
        <v>-1.146452460608794</v>
      </c>
      <c r="I36" s="13">
        <v>-16.603251650000001</v>
      </c>
      <c r="J36" s="11">
        <f t="shared" si="2"/>
        <v>-17.656365352920716</v>
      </c>
      <c r="K36" s="15" t="s">
        <v>34</v>
      </c>
    </row>
    <row r="37" spans="1:12" x14ac:dyDescent="0.35">
      <c r="A37" s="6" t="s">
        <v>33</v>
      </c>
      <c r="B37" s="6">
        <v>673</v>
      </c>
      <c r="C37" s="6">
        <v>1</v>
      </c>
      <c r="D37" s="6">
        <v>21.619</v>
      </c>
      <c r="E37" s="6">
        <v>53.613999999999997</v>
      </c>
      <c r="F37" s="17">
        <v>5.9720000000000004</v>
      </c>
      <c r="G37" s="6">
        <f t="shared" si="0"/>
        <v>-8.4912220000000005</v>
      </c>
      <c r="H37" s="6">
        <f t="shared" si="1"/>
        <v>-0.3682173947923601</v>
      </c>
      <c r="I37" s="13">
        <v>-19.516298280000001</v>
      </c>
      <c r="J37" s="11">
        <f t="shared" si="2"/>
        <v>-19.884515674792361</v>
      </c>
      <c r="K37" s="15" t="s">
        <v>34</v>
      </c>
    </row>
    <row r="38" spans="1:12" x14ac:dyDescent="0.35">
      <c r="A38" s="6" t="s">
        <v>33</v>
      </c>
      <c r="B38" s="6">
        <v>673</v>
      </c>
      <c r="C38" s="5">
        <f>1.5/760</f>
        <v>1.9736842105263159E-3</v>
      </c>
      <c r="D38" s="6">
        <v>21.619</v>
      </c>
      <c r="E38" s="6">
        <v>53.613999999999997</v>
      </c>
      <c r="F38" s="17">
        <v>5.9720000000000004</v>
      </c>
      <c r="G38" s="6">
        <f>D38+F38-B38*E38/1000</f>
        <v>-8.4912220000000005</v>
      </c>
      <c r="H38" s="6">
        <f>G38/23.06035</f>
        <v>-0.3682173947923601</v>
      </c>
      <c r="I38" s="13">
        <v>-19.516298280000001</v>
      </c>
      <c r="J38" s="11">
        <f>H38+I38+8.61733*10^(-5)*B38*LN(C38)</f>
        <v>-20.245697729685062</v>
      </c>
      <c r="K38" s="15" t="s">
        <v>34</v>
      </c>
      <c r="L38" s="15" t="s">
        <v>36</v>
      </c>
    </row>
    <row r="39" spans="1:12" x14ac:dyDescent="0.35">
      <c r="A39" s="5" t="s">
        <v>33</v>
      </c>
      <c r="B39" s="5">
        <v>673</v>
      </c>
      <c r="C39" s="5">
        <f>0.2</f>
        <v>0.2</v>
      </c>
      <c r="D39" s="5">
        <v>21.0336</v>
      </c>
      <c r="E39" s="15">
        <v>53.817999999999998</v>
      </c>
      <c r="F39" s="15">
        <v>6.0469999999999997</v>
      </c>
      <c r="G39" s="5">
        <f t="shared" si="0"/>
        <v>-9.1389139999999962</v>
      </c>
      <c r="H39" s="5">
        <f t="shared" ref="H39:H46" si="3">G39/23.06035</f>
        <v>-0.39630421914671704</v>
      </c>
      <c r="I39" s="15">
        <v>-19.544360000000001</v>
      </c>
      <c r="J39" s="16">
        <f t="shared" si="2"/>
        <v>-20.034002976834799</v>
      </c>
      <c r="K39" s="15" t="s">
        <v>31</v>
      </c>
      <c r="L39" s="15" t="s">
        <v>36</v>
      </c>
    </row>
    <row r="40" spans="1:12" x14ac:dyDescent="0.35">
      <c r="A40" s="5" t="s">
        <v>30</v>
      </c>
      <c r="B40" s="9">
        <v>730</v>
      </c>
      <c r="C40" s="5">
        <v>150</v>
      </c>
      <c r="D40" s="5">
        <v>6.2469999999999999</v>
      </c>
      <c r="E40" s="15">
        <v>37.335999999999999</v>
      </c>
      <c r="F40" s="15">
        <v>5.032</v>
      </c>
      <c r="G40" s="5">
        <f t="shared" ref="G40:G46" si="4">D40+F40-B40*E40/1000</f>
        <v>-15.976279999999999</v>
      </c>
      <c r="H40" s="5">
        <f t="shared" si="3"/>
        <v>-0.69280301469838923</v>
      </c>
      <c r="I40" s="11">
        <v>-6.7732905399999996</v>
      </c>
      <c r="J40" s="16">
        <f t="shared" ref="J40:J46" si="5">H40+I40+8.61733*10^(-5)*B40*LN(C40)</f>
        <v>-7.1508919804746052</v>
      </c>
      <c r="K40" s="15" t="s">
        <v>31</v>
      </c>
    </row>
    <row r="41" spans="1:12" x14ac:dyDescent="0.35">
      <c r="A41" s="5" t="s">
        <v>32</v>
      </c>
      <c r="B41" s="9">
        <v>730</v>
      </c>
      <c r="C41" s="5">
        <v>50</v>
      </c>
      <c r="D41" s="5">
        <v>3.375</v>
      </c>
      <c r="E41" s="15">
        <v>52.091999999999999</v>
      </c>
      <c r="F41" s="15">
        <v>5.0919999999999996</v>
      </c>
      <c r="G41" s="5">
        <f t="shared" si="4"/>
        <v>-29.560159999999996</v>
      </c>
      <c r="H41" s="5">
        <f t="shared" si="3"/>
        <v>-1.2818608564050413</v>
      </c>
      <c r="I41" s="11">
        <v>-16.645143059999999</v>
      </c>
      <c r="J41" s="16">
        <f t="shared" si="5"/>
        <v>-17.680912206005868</v>
      </c>
      <c r="K41" s="15" t="s">
        <v>31</v>
      </c>
    </row>
    <row r="42" spans="1:12" x14ac:dyDescent="0.35">
      <c r="A42" s="5" t="s">
        <v>33</v>
      </c>
      <c r="B42" s="9">
        <v>730</v>
      </c>
      <c r="C42" s="5">
        <v>1</v>
      </c>
      <c r="D42" s="5">
        <v>21.13</v>
      </c>
      <c r="E42" s="15">
        <v>54.515000000000001</v>
      </c>
      <c r="F42" s="15">
        <v>6.556</v>
      </c>
      <c r="G42" s="5">
        <f t="shared" si="4"/>
        <v>-12.109949999999998</v>
      </c>
      <c r="H42" s="5">
        <f t="shared" si="3"/>
        <v>-0.52514163922056678</v>
      </c>
      <c r="I42" s="11">
        <v>-19.5443699</v>
      </c>
      <c r="J42" s="16">
        <f t="shared" si="5"/>
        <v>-20.069511539220567</v>
      </c>
      <c r="K42" s="15" t="s">
        <v>31</v>
      </c>
    </row>
    <row r="43" spans="1:12" x14ac:dyDescent="0.35">
      <c r="A43" s="5" t="s">
        <v>33</v>
      </c>
      <c r="B43" s="9">
        <v>730</v>
      </c>
      <c r="C43" s="5">
        <f>1.5/760</f>
        <v>1.9736842105263159E-3</v>
      </c>
      <c r="D43" s="6">
        <v>21.619</v>
      </c>
      <c r="E43" s="6">
        <v>53.613999999999997</v>
      </c>
      <c r="F43" s="17">
        <v>5.9720000000000004</v>
      </c>
      <c r="G43" s="6">
        <f t="shared" si="4"/>
        <v>-11.547220000000003</v>
      </c>
      <c r="H43" s="6">
        <f t="shared" si="3"/>
        <v>-0.50073914749776149</v>
      </c>
      <c r="I43" s="13">
        <v>-19.516298280000001</v>
      </c>
      <c r="J43" s="11">
        <f t="shared" si="5"/>
        <v>-20.408809938748387</v>
      </c>
      <c r="K43" s="15" t="s">
        <v>31</v>
      </c>
    </row>
    <row r="44" spans="1:12" x14ac:dyDescent="0.35">
      <c r="A44" s="5" t="s">
        <v>30</v>
      </c>
      <c r="B44" s="9">
        <v>730</v>
      </c>
      <c r="C44" s="5">
        <v>150</v>
      </c>
      <c r="D44" s="5">
        <v>6.3840000000000003</v>
      </c>
      <c r="E44" s="5">
        <v>37.363</v>
      </c>
      <c r="F44" s="5">
        <v>5.0789999999999997</v>
      </c>
      <c r="G44" s="10">
        <f t="shared" si="4"/>
        <v>-15.811989999999998</v>
      </c>
      <c r="H44" s="5">
        <f t="shared" si="3"/>
        <v>-0.68567866489450502</v>
      </c>
      <c r="I44" s="11">
        <v>-6.7596221999999999</v>
      </c>
      <c r="J44" s="11">
        <f t="shared" si="5"/>
        <v>-7.1300992906707208</v>
      </c>
      <c r="K44" s="15" t="s">
        <v>34</v>
      </c>
    </row>
    <row r="45" spans="1:12" x14ac:dyDescent="0.35">
      <c r="A45" s="5" t="s">
        <v>32</v>
      </c>
      <c r="B45" s="9">
        <v>730</v>
      </c>
      <c r="C45" s="5">
        <v>50</v>
      </c>
      <c r="D45" s="5">
        <v>3.5129999999999999</v>
      </c>
      <c r="E45" s="5">
        <v>52.104999999999997</v>
      </c>
      <c r="F45" s="5">
        <v>5.133</v>
      </c>
      <c r="G45" s="10">
        <f t="shared" si="4"/>
        <v>-29.390649999999994</v>
      </c>
      <c r="H45" s="5">
        <f t="shared" si="3"/>
        <v>-1.2745101440351077</v>
      </c>
      <c r="I45" s="11">
        <v>-16.603251650000001</v>
      </c>
      <c r="J45" s="11">
        <f t="shared" si="5"/>
        <v>-17.631670083635935</v>
      </c>
      <c r="K45" s="15" t="s">
        <v>34</v>
      </c>
    </row>
    <row r="46" spans="1:12" x14ac:dyDescent="0.35">
      <c r="A46" s="5" t="s">
        <v>33</v>
      </c>
      <c r="B46" s="9">
        <v>730</v>
      </c>
      <c r="C46" s="5">
        <v>1</v>
      </c>
      <c r="D46" s="5">
        <v>21.619</v>
      </c>
      <c r="E46" s="5">
        <v>54.512999999999998</v>
      </c>
      <c r="F46" s="5">
        <v>6.6020000000000003</v>
      </c>
      <c r="G46" s="10">
        <f t="shared" si="4"/>
        <v>-11.573489999999996</v>
      </c>
      <c r="H46" s="5">
        <f t="shared" si="3"/>
        <v>-0.50187833228897205</v>
      </c>
      <c r="I46" s="11">
        <v>-19.516298280000001</v>
      </c>
      <c r="J46" s="11">
        <f t="shared" si="5"/>
        <v>-20.018176612288972</v>
      </c>
      <c r="K46" s="15" t="s">
        <v>34</v>
      </c>
    </row>
  </sheetData>
  <conditionalFormatting sqref="B32:B34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35:B38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39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40:B43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44:B4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673K 1.5 torr</vt:lpstr>
      <vt:lpstr>673K 1atm</vt:lpstr>
      <vt:lpstr>Small Molecule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2018-12-13T19:47:38Z</dcterms:modified>
</cp:coreProperties>
</file>