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0" i="1" l="1"/>
  <c r="AB187" i="1"/>
  <c r="AB184" i="1" l="1"/>
  <c r="AB181" i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52" i="1"/>
  <c r="K53" i="1"/>
  <c r="K54" i="1"/>
  <c r="K55" i="1"/>
  <c r="K56" i="1"/>
  <c r="K57" i="1"/>
  <c r="T145" i="1" l="1"/>
  <c r="S145" i="1"/>
  <c r="R145" i="1"/>
  <c r="Q145" i="1"/>
  <c r="P145" i="1"/>
  <c r="O145" i="1"/>
  <c r="N145" i="1"/>
  <c r="M145" i="1"/>
  <c r="L145" i="1"/>
  <c r="K145" i="1"/>
  <c r="T144" i="1"/>
  <c r="S144" i="1"/>
  <c r="R144" i="1"/>
  <c r="Q144" i="1"/>
  <c r="P144" i="1"/>
  <c r="O144" i="1"/>
  <c r="M144" i="1"/>
  <c r="L144" i="1"/>
  <c r="K144" i="1"/>
  <c r="T143" i="1"/>
  <c r="S143" i="1"/>
  <c r="R143" i="1"/>
  <c r="Q143" i="1"/>
  <c r="P143" i="1"/>
  <c r="O143" i="1"/>
  <c r="M143" i="1"/>
  <c r="L143" i="1"/>
  <c r="K143" i="1"/>
  <c r="T141" i="1"/>
  <c r="S141" i="1"/>
  <c r="R141" i="1"/>
  <c r="Q141" i="1"/>
  <c r="P141" i="1"/>
  <c r="O141" i="1"/>
  <c r="M141" i="1"/>
  <c r="L141" i="1"/>
  <c r="K141" i="1"/>
  <c r="T140" i="1"/>
  <c r="S140" i="1"/>
  <c r="R140" i="1"/>
  <c r="Q140" i="1"/>
  <c r="P140" i="1"/>
  <c r="O140" i="1"/>
  <c r="M140" i="1"/>
  <c r="L140" i="1"/>
  <c r="K140" i="1"/>
  <c r="T139" i="1"/>
  <c r="S139" i="1"/>
  <c r="R139" i="1"/>
  <c r="Q139" i="1"/>
  <c r="P139" i="1"/>
  <c r="O139" i="1"/>
  <c r="M139" i="1"/>
  <c r="L139" i="1"/>
  <c r="K139" i="1"/>
  <c r="T138" i="1"/>
  <c r="S138" i="1"/>
  <c r="R138" i="1"/>
  <c r="Q138" i="1"/>
  <c r="P138" i="1"/>
  <c r="O138" i="1"/>
  <c r="M138" i="1"/>
  <c r="L138" i="1"/>
  <c r="K138" i="1"/>
  <c r="T136" i="1"/>
  <c r="S136" i="1"/>
  <c r="R136" i="1"/>
  <c r="Q136" i="1"/>
  <c r="P136" i="1"/>
  <c r="O136" i="1"/>
  <c r="M136" i="1"/>
  <c r="L136" i="1"/>
  <c r="K136" i="1"/>
  <c r="T135" i="1"/>
  <c r="S135" i="1"/>
  <c r="R135" i="1"/>
  <c r="Q135" i="1"/>
  <c r="P135" i="1"/>
  <c r="O135" i="1"/>
  <c r="M135" i="1"/>
  <c r="L135" i="1"/>
  <c r="K135" i="1"/>
  <c r="T134" i="1"/>
  <c r="S134" i="1"/>
  <c r="R134" i="1"/>
  <c r="Q134" i="1"/>
  <c r="P134" i="1"/>
  <c r="O134" i="1"/>
  <c r="M134" i="1"/>
  <c r="L134" i="1"/>
  <c r="K134" i="1"/>
  <c r="T133" i="1"/>
  <c r="S133" i="1"/>
  <c r="R133" i="1"/>
  <c r="Q133" i="1"/>
  <c r="P133" i="1"/>
  <c r="O133" i="1"/>
  <c r="M133" i="1"/>
  <c r="L133" i="1"/>
  <c r="K133" i="1"/>
  <c r="T132" i="1"/>
  <c r="S132" i="1"/>
  <c r="R132" i="1"/>
  <c r="Q132" i="1"/>
  <c r="P132" i="1"/>
  <c r="O132" i="1"/>
  <c r="M132" i="1"/>
  <c r="L132" i="1"/>
  <c r="K132" i="1"/>
  <c r="T131" i="1"/>
  <c r="S131" i="1"/>
  <c r="R131" i="1"/>
  <c r="Q131" i="1"/>
  <c r="P131" i="1"/>
  <c r="O131" i="1"/>
  <c r="M131" i="1"/>
  <c r="L131" i="1"/>
  <c r="K131" i="1"/>
  <c r="T130" i="1"/>
  <c r="S130" i="1"/>
  <c r="R130" i="1"/>
  <c r="Q130" i="1"/>
  <c r="P130" i="1"/>
  <c r="O130" i="1"/>
  <c r="M130" i="1"/>
  <c r="L130" i="1"/>
  <c r="K130" i="1"/>
  <c r="F127" i="1"/>
  <c r="E127" i="1"/>
  <c r="M127" i="1"/>
  <c r="N74" i="1"/>
  <c r="K127" i="1" l="1"/>
  <c r="L127" i="1"/>
  <c r="E126" i="1"/>
  <c r="P127" i="1" l="1"/>
  <c r="O127" i="1"/>
  <c r="T127" i="1" s="1"/>
  <c r="R127" i="1"/>
  <c r="F118" i="1"/>
  <c r="F117" i="1"/>
  <c r="J118" i="1"/>
  <c r="I118" i="1"/>
  <c r="H118" i="1"/>
  <c r="J117" i="1"/>
  <c r="I117" i="1"/>
  <c r="H117" i="1"/>
  <c r="J47" i="1"/>
  <c r="J46" i="1"/>
  <c r="I47" i="1"/>
  <c r="I46" i="1"/>
  <c r="H47" i="1"/>
  <c r="H46" i="1"/>
  <c r="AD103" i="1"/>
  <c r="AD102" i="1"/>
  <c r="AD101" i="1"/>
  <c r="AA158" i="1"/>
  <c r="AA161" i="1"/>
  <c r="AB161" i="1" s="1"/>
  <c r="AB49" i="1"/>
  <c r="AB48" i="1"/>
  <c r="AC48" i="1" s="1"/>
  <c r="AA167" i="1"/>
  <c r="E118" i="1" s="1"/>
  <c r="AA164" i="1"/>
  <c r="AB164" i="1" s="1"/>
  <c r="F46" i="1" s="1"/>
  <c r="Q127" i="1" l="1"/>
  <c r="S127" i="1"/>
  <c r="M118" i="1"/>
  <c r="E117" i="1"/>
  <c r="L117" i="1" s="1"/>
  <c r="K118" i="1"/>
  <c r="AB158" i="1"/>
  <c r="L118" i="1"/>
  <c r="AB167" i="1"/>
  <c r="F47" i="1" s="1"/>
  <c r="E47" i="1"/>
  <c r="E46" i="1"/>
  <c r="AC103" i="1"/>
  <c r="AC102" i="1"/>
  <c r="AC101" i="1"/>
  <c r="AC49" i="1"/>
  <c r="AB100" i="1"/>
  <c r="AB99" i="1"/>
  <c r="AD99" i="1" s="1"/>
  <c r="AB98" i="1"/>
  <c r="AD98" i="1" s="1"/>
  <c r="AB97" i="1"/>
  <c r="AD97" i="1" s="1"/>
  <c r="AB96" i="1"/>
  <c r="AD96" i="1" s="1"/>
  <c r="AB95" i="1"/>
  <c r="E100" i="1" s="1"/>
  <c r="AI67" i="1"/>
  <c r="AD95" i="1" l="1"/>
  <c r="K117" i="1"/>
  <c r="M117" i="1"/>
  <c r="O118" i="1"/>
  <c r="R118" i="1" s="1"/>
  <c r="P118" i="1"/>
  <c r="L47" i="1"/>
  <c r="M47" i="1"/>
  <c r="L46" i="1"/>
  <c r="M46" i="1"/>
  <c r="AE101" i="1"/>
  <c r="AF101" i="1"/>
  <c r="AF102" i="1"/>
  <c r="AE102" i="1"/>
  <c r="AF103" i="1"/>
  <c r="AE103" i="1"/>
  <c r="M100" i="1"/>
  <c r="L100" i="1"/>
  <c r="E102" i="1"/>
  <c r="E101" i="1"/>
  <c r="L101" i="1" s="1"/>
  <c r="AD100" i="1"/>
  <c r="K100" i="1"/>
  <c r="AC95" i="1"/>
  <c r="AC100" i="1"/>
  <c r="AC97" i="1"/>
  <c r="AF97" i="1" s="1"/>
  <c r="F31" i="1" s="1"/>
  <c r="AC98" i="1"/>
  <c r="AE98" i="1" s="1"/>
  <c r="AC96" i="1"/>
  <c r="AE96" i="1" s="1"/>
  <c r="E30" i="1" s="1"/>
  <c r="AC99" i="1"/>
  <c r="AF99" i="1" s="1"/>
  <c r="AB13" i="1"/>
  <c r="AC13" i="1" s="1"/>
  <c r="AB8" i="1"/>
  <c r="AC8" i="1" s="1"/>
  <c r="P117" i="1" l="1"/>
  <c r="AF95" i="1"/>
  <c r="F29" i="1" s="1"/>
  <c r="S118" i="1"/>
  <c r="T118" i="1"/>
  <c r="Q118" i="1"/>
  <c r="O117" i="1"/>
  <c r="T117" i="1" s="1"/>
  <c r="AE95" i="1"/>
  <c r="E29" i="1" s="1"/>
  <c r="K101" i="1"/>
  <c r="AF98" i="1"/>
  <c r="P47" i="1"/>
  <c r="O47" i="1"/>
  <c r="S47" i="1" s="1"/>
  <c r="P46" i="1"/>
  <c r="O46" i="1"/>
  <c r="S46" i="1" s="1"/>
  <c r="AE100" i="1"/>
  <c r="L102" i="1"/>
  <c r="M102" i="1"/>
  <c r="M101" i="1"/>
  <c r="K102" i="1"/>
  <c r="P100" i="1"/>
  <c r="O100" i="1"/>
  <c r="AF100" i="1"/>
  <c r="AE99" i="1"/>
  <c r="AE97" i="1"/>
  <c r="E31" i="1" s="1"/>
  <c r="AF96" i="1"/>
  <c r="F30" i="1" s="1"/>
  <c r="M30" i="1" s="1"/>
  <c r="F116" i="1"/>
  <c r="J116" i="1"/>
  <c r="I116" i="1"/>
  <c r="H116" i="1"/>
  <c r="E99" i="1"/>
  <c r="M99" i="1" s="1"/>
  <c r="J45" i="1"/>
  <c r="I45" i="1"/>
  <c r="H45" i="1"/>
  <c r="AA155" i="1"/>
  <c r="E45" i="1" s="1"/>
  <c r="AA152" i="1"/>
  <c r="AB152" i="1" s="1"/>
  <c r="AD92" i="1"/>
  <c r="AC92" i="1"/>
  <c r="AD94" i="1"/>
  <c r="AC94" i="1"/>
  <c r="M29" i="1" l="1"/>
  <c r="Q117" i="1"/>
  <c r="R117" i="1"/>
  <c r="S117" i="1"/>
  <c r="L29" i="1"/>
  <c r="R47" i="1"/>
  <c r="L30" i="1"/>
  <c r="P101" i="1"/>
  <c r="T46" i="1"/>
  <c r="E116" i="1"/>
  <c r="L116" i="1" s="1"/>
  <c r="Q46" i="1"/>
  <c r="R46" i="1"/>
  <c r="Q47" i="1"/>
  <c r="T47" i="1"/>
  <c r="L31" i="1"/>
  <c r="M31" i="1"/>
  <c r="O102" i="1"/>
  <c r="S102" i="1" s="1"/>
  <c r="Q100" i="1"/>
  <c r="AB155" i="1"/>
  <c r="F45" i="1" s="1"/>
  <c r="L45" i="1" s="1"/>
  <c r="O101" i="1"/>
  <c r="P102" i="1"/>
  <c r="T100" i="1"/>
  <c r="S100" i="1"/>
  <c r="R100" i="1"/>
  <c r="K99" i="1"/>
  <c r="L99" i="1"/>
  <c r="AF92" i="1"/>
  <c r="F28" i="1" s="1"/>
  <c r="AF94" i="1"/>
  <c r="AE92" i="1"/>
  <c r="E28" i="1" s="1"/>
  <c r="AE94" i="1"/>
  <c r="AB14" i="1"/>
  <c r="AC14" i="1" s="1"/>
  <c r="F12" i="1" s="1"/>
  <c r="E83" i="1"/>
  <c r="J54" i="1"/>
  <c r="I54" i="1"/>
  <c r="H54" i="1"/>
  <c r="P29" i="1" l="1"/>
  <c r="M116" i="1"/>
  <c r="R102" i="1"/>
  <c r="O30" i="1"/>
  <c r="T30" i="1" s="1"/>
  <c r="O29" i="1"/>
  <c r="S29" i="1" s="1"/>
  <c r="K116" i="1"/>
  <c r="P30" i="1"/>
  <c r="P31" i="1"/>
  <c r="O31" i="1"/>
  <c r="R31" i="1" s="1"/>
  <c r="Q102" i="1"/>
  <c r="M45" i="1"/>
  <c r="L28" i="1"/>
  <c r="M28" i="1"/>
  <c r="T102" i="1"/>
  <c r="S101" i="1"/>
  <c r="T101" i="1"/>
  <c r="R101" i="1"/>
  <c r="Q101" i="1"/>
  <c r="O99" i="1"/>
  <c r="T99" i="1" s="1"/>
  <c r="P99" i="1"/>
  <c r="E12" i="1"/>
  <c r="F125" i="1"/>
  <c r="E125" i="1"/>
  <c r="F123" i="1"/>
  <c r="E123" i="1"/>
  <c r="J125" i="1"/>
  <c r="I125" i="1"/>
  <c r="H125" i="1"/>
  <c r="J123" i="1"/>
  <c r="I123" i="1"/>
  <c r="H123" i="1"/>
  <c r="E81" i="1"/>
  <c r="M81" i="1" s="1"/>
  <c r="F85" i="1"/>
  <c r="E85" i="1"/>
  <c r="AJ70" i="1"/>
  <c r="F10" i="1" s="1"/>
  <c r="AI70" i="1"/>
  <c r="E10" i="1" s="1"/>
  <c r="AD70" i="1"/>
  <c r="AC70" i="1"/>
  <c r="F14" i="1"/>
  <c r="E14" i="1"/>
  <c r="AB24" i="1"/>
  <c r="AC24" i="1" s="1"/>
  <c r="AB23" i="1"/>
  <c r="AC23" i="1" s="1"/>
  <c r="H52" i="1"/>
  <c r="AC215" i="1"/>
  <c r="AB215" i="1"/>
  <c r="AC206" i="1"/>
  <c r="AC203" i="1"/>
  <c r="AB206" i="1"/>
  <c r="AB203" i="1"/>
  <c r="J52" i="1"/>
  <c r="I52" i="1"/>
  <c r="H53" i="1"/>
  <c r="AC197" i="1"/>
  <c r="AB197" i="1"/>
  <c r="O116" i="1" l="1"/>
  <c r="R116" i="1" s="1"/>
  <c r="R30" i="1"/>
  <c r="Q30" i="1"/>
  <c r="S30" i="1"/>
  <c r="R29" i="1"/>
  <c r="T31" i="1"/>
  <c r="Q29" i="1"/>
  <c r="T29" i="1"/>
  <c r="P116" i="1"/>
  <c r="Q99" i="1"/>
  <c r="Q31" i="1"/>
  <c r="L14" i="1"/>
  <c r="M14" i="1"/>
  <c r="O45" i="1"/>
  <c r="S45" i="1" s="1"/>
  <c r="P45" i="1"/>
  <c r="L10" i="1"/>
  <c r="M10" i="1"/>
  <c r="O28" i="1"/>
  <c r="S28" i="1" s="1"/>
  <c r="P28" i="1"/>
  <c r="L12" i="1"/>
  <c r="M12" i="1"/>
  <c r="S31" i="1"/>
  <c r="M85" i="1"/>
  <c r="AE70" i="1"/>
  <c r="S99" i="1"/>
  <c r="R99" i="1"/>
  <c r="AF70" i="1"/>
  <c r="K123" i="1"/>
  <c r="M123" i="1"/>
  <c r="K125" i="1"/>
  <c r="M125" i="1"/>
  <c r="L123" i="1"/>
  <c r="L125" i="1"/>
  <c r="K81" i="1"/>
  <c r="L81" i="1"/>
  <c r="K85" i="1"/>
  <c r="L85" i="1"/>
  <c r="AE197" i="1"/>
  <c r="F52" i="1" s="1"/>
  <c r="AD206" i="1"/>
  <c r="E54" i="1" s="1"/>
  <c r="AD215" i="1"/>
  <c r="E56" i="1" s="1"/>
  <c r="AE203" i="1"/>
  <c r="AE206" i="1"/>
  <c r="F54" i="1" s="1"/>
  <c r="AD203" i="1"/>
  <c r="AE215" i="1"/>
  <c r="F56" i="1" s="1"/>
  <c r="AD197" i="1"/>
  <c r="E52" i="1" s="1"/>
  <c r="F124" i="1"/>
  <c r="J126" i="1"/>
  <c r="M54" i="1" l="1"/>
  <c r="L54" i="1"/>
  <c r="M52" i="1"/>
  <c r="L52" i="1"/>
  <c r="M56" i="1"/>
  <c r="L56" i="1"/>
  <c r="T116" i="1"/>
  <c r="S116" i="1"/>
  <c r="Q116" i="1"/>
  <c r="Q45" i="1"/>
  <c r="T45" i="1"/>
  <c r="O10" i="1"/>
  <c r="R10" i="1" s="1"/>
  <c r="P10" i="1"/>
  <c r="O14" i="1"/>
  <c r="R14" i="1" s="1"/>
  <c r="P14" i="1"/>
  <c r="R45" i="1"/>
  <c r="O12" i="1"/>
  <c r="S12" i="1" s="1"/>
  <c r="P12" i="1"/>
  <c r="R28" i="1"/>
  <c r="T28" i="1"/>
  <c r="Q28" i="1"/>
  <c r="O125" i="1"/>
  <c r="R125" i="1" s="1"/>
  <c r="P123" i="1"/>
  <c r="P125" i="1"/>
  <c r="O123" i="1"/>
  <c r="P81" i="1"/>
  <c r="O81" i="1"/>
  <c r="T81" i="1" s="1"/>
  <c r="P85" i="1"/>
  <c r="O85" i="1"/>
  <c r="E124" i="1"/>
  <c r="F126" i="1"/>
  <c r="F122" i="1"/>
  <c r="E122" i="1"/>
  <c r="F121" i="1"/>
  <c r="E121" i="1"/>
  <c r="F120" i="1"/>
  <c r="E120" i="1"/>
  <c r="F119" i="1"/>
  <c r="E119" i="1"/>
  <c r="F113" i="1"/>
  <c r="E113" i="1"/>
  <c r="F112" i="1"/>
  <c r="E112" i="1"/>
  <c r="F111" i="1"/>
  <c r="E111" i="1"/>
  <c r="F110" i="1"/>
  <c r="E110" i="1"/>
  <c r="F114" i="1"/>
  <c r="F115" i="1"/>
  <c r="E109" i="1"/>
  <c r="E107" i="1"/>
  <c r="M107" i="1" s="1"/>
  <c r="E108" i="1"/>
  <c r="K108" i="1" s="1"/>
  <c r="E106" i="1"/>
  <c r="E103" i="1"/>
  <c r="E96" i="1"/>
  <c r="K96" i="1" s="1"/>
  <c r="E97" i="1"/>
  <c r="K97" i="1" s="1"/>
  <c r="E95" i="1"/>
  <c r="E98" i="1"/>
  <c r="L98" i="1" s="1"/>
  <c r="E94" i="1"/>
  <c r="E87" i="1"/>
  <c r="E88" i="1"/>
  <c r="M88" i="1" s="1"/>
  <c r="E86" i="1"/>
  <c r="M86" i="1" s="1"/>
  <c r="E90" i="1"/>
  <c r="E91" i="1"/>
  <c r="K91" i="1" s="1"/>
  <c r="E89" i="1"/>
  <c r="M89" i="1" s="1"/>
  <c r="F93" i="1"/>
  <c r="E93" i="1"/>
  <c r="F92" i="1"/>
  <c r="E92" i="1"/>
  <c r="E80" i="1"/>
  <c r="M80" i="1" s="1"/>
  <c r="E79" i="1"/>
  <c r="K79" i="1" s="1"/>
  <c r="E78" i="1"/>
  <c r="M78" i="1" s="1"/>
  <c r="F84" i="1"/>
  <c r="E84" i="1"/>
  <c r="F82" i="1"/>
  <c r="E82" i="1"/>
  <c r="J124" i="1"/>
  <c r="I124" i="1"/>
  <c r="H124" i="1"/>
  <c r="I126" i="1"/>
  <c r="H126" i="1"/>
  <c r="J128" i="1"/>
  <c r="M128" i="1" s="1"/>
  <c r="I128" i="1"/>
  <c r="L128" i="1" s="1"/>
  <c r="H128" i="1"/>
  <c r="K128" i="1" s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15" i="1"/>
  <c r="I115" i="1"/>
  <c r="H115" i="1"/>
  <c r="J114" i="1"/>
  <c r="I114" i="1"/>
  <c r="H114" i="1"/>
  <c r="J109" i="1"/>
  <c r="I109" i="1"/>
  <c r="H109" i="1"/>
  <c r="K83" i="1"/>
  <c r="P52" i="1" l="1"/>
  <c r="O52" i="1"/>
  <c r="T52" i="1" s="1"/>
  <c r="S56" i="1"/>
  <c r="O54" i="1"/>
  <c r="R54" i="1" s="1"/>
  <c r="P54" i="1"/>
  <c r="Q54" i="1" s="1"/>
  <c r="P56" i="1"/>
  <c r="R56" i="1"/>
  <c r="O56" i="1"/>
  <c r="T56" i="1" s="1"/>
  <c r="T10" i="1"/>
  <c r="S10" i="1"/>
  <c r="T123" i="1"/>
  <c r="Q12" i="1"/>
  <c r="Q10" i="1"/>
  <c r="T14" i="1"/>
  <c r="Q14" i="1"/>
  <c r="S14" i="1"/>
  <c r="R12" i="1"/>
  <c r="T12" i="1"/>
  <c r="T85" i="1"/>
  <c r="Q85" i="1"/>
  <c r="Q81" i="1"/>
  <c r="Q123" i="1"/>
  <c r="Q125" i="1"/>
  <c r="T125" i="1"/>
  <c r="S125" i="1"/>
  <c r="R81" i="1"/>
  <c r="R123" i="1"/>
  <c r="S123" i="1"/>
  <c r="S81" i="1"/>
  <c r="S85" i="1"/>
  <c r="R85" i="1"/>
  <c r="L92" i="1"/>
  <c r="L93" i="1"/>
  <c r="K107" i="1"/>
  <c r="M108" i="1"/>
  <c r="K109" i="1"/>
  <c r="L84" i="1"/>
  <c r="L119" i="1"/>
  <c r="M93" i="1"/>
  <c r="K80" i="1"/>
  <c r="L109" i="1"/>
  <c r="L80" i="1"/>
  <c r="L121" i="1"/>
  <c r="L110" i="1"/>
  <c r="K98" i="1"/>
  <c r="K82" i="1"/>
  <c r="L91" i="1"/>
  <c r="M91" i="1"/>
  <c r="K86" i="1"/>
  <c r="K92" i="1"/>
  <c r="L112" i="1"/>
  <c r="M84" i="1"/>
  <c r="L124" i="1"/>
  <c r="K78" i="1"/>
  <c r="L96" i="1"/>
  <c r="L82" i="1"/>
  <c r="M122" i="1"/>
  <c r="M96" i="1"/>
  <c r="M82" i="1"/>
  <c r="L111" i="1"/>
  <c r="L120" i="1"/>
  <c r="L126" i="1"/>
  <c r="M124" i="1"/>
  <c r="K124" i="1"/>
  <c r="K122" i="1"/>
  <c r="L122" i="1"/>
  <c r="K121" i="1"/>
  <c r="K120" i="1"/>
  <c r="K113" i="1"/>
  <c r="M112" i="1"/>
  <c r="K112" i="1"/>
  <c r="M111" i="1"/>
  <c r="K111" i="1"/>
  <c r="L107" i="1"/>
  <c r="K95" i="1"/>
  <c r="M98" i="1"/>
  <c r="L86" i="1"/>
  <c r="K89" i="1"/>
  <c r="L89" i="1"/>
  <c r="L78" i="1"/>
  <c r="L87" i="1"/>
  <c r="M87" i="1"/>
  <c r="L103" i="1"/>
  <c r="K103" i="1"/>
  <c r="K84" i="1"/>
  <c r="L90" i="1"/>
  <c r="M90" i="1"/>
  <c r="K90" i="1"/>
  <c r="L97" i="1"/>
  <c r="M97" i="1"/>
  <c r="M79" i="1"/>
  <c r="L79" i="1"/>
  <c r="K93" i="1"/>
  <c r="K87" i="1"/>
  <c r="L95" i="1"/>
  <c r="M95" i="1"/>
  <c r="M103" i="1"/>
  <c r="M126" i="1"/>
  <c r="K126" i="1"/>
  <c r="M106" i="1"/>
  <c r="L106" i="1"/>
  <c r="M92" i="1"/>
  <c r="K94" i="1"/>
  <c r="M94" i="1"/>
  <c r="L94" i="1"/>
  <c r="M83" i="1"/>
  <c r="L83" i="1"/>
  <c r="L88" i="1"/>
  <c r="K88" i="1"/>
  <c r="K106" i="1"/>
  <c r="M110" i="1"/>
  <c r="K110" i="1"/>
  <c r="K119" i="1"/>
  <c r="M119" i="1"/>
  <c r="M120" i="1"/>
  <c r="M121" i="1"/>
  <c r="M113" i="1"/>
  <c r="L113" i="1"/>
  <c r="L108" i="1"/>
  <c r="P128" i="1"/>
  <c r="M109" i="1"/>
  <c r="O128" i="1"/>
  <c r="J55" i="1"/>
  <c r="I55" i="1"/>
  <c r="H55" i="1"/>
  <c r="Q52" i="1" l="1"/>
  <c r="T54" i="1"/>
  <c r="S54" i="1"/>
  <c r="Q56" i="1"/>
  <c r="S52" i="1"/>
  <c r="R52" i="1"/>
  <c r="Q128" i="1"/>
  <c r="R128" i="1"/>
  <c r="P91" i="1"/>
  <c r="O98" i="1"/>
  <c r="R98" i="1" s="1"/>
  <c r="O92" i="1"/>
  <c r="O107" i="1"/>
  <c r="T107" i="1" s="1"/>
  <c r="P96" i="1"/>
  <c r="O109" i="1"/>
  <c r="P124" i="1"/>
  <c r="P82" i="1"/>
  <c r="P78" i="1"/>
  <c r="P80" i="1"/>
  <c r="P86" i="1"/>
  <c r="O91" i="1"/>
  <c r="T91" i="1" s="1"/>
  <c r="P109" i="1"/>
  <c r="O80" i="1"/>
  <c r="T80" i="1" s="1"/>
  <c r="O82" i="1"/>
  <c r="T128" i="1"/>
  <c r="O113" i="1"/>
  <c r="R113" i="1" s="1"/>
  <c r="O78" i="1"/>
  <c r="O97" i="1"/>
  <c r="R97" i="1" s="1"/>
  <c r="P89" i="1"/>
  <c r="O96" i="1"/>
  <c r="T96" i="1" s="1"/>
  <c r="O89" i="1"/>
  <c r="O111" i="1"/>
  <c r="S111" i="1" s="1"/>
  <c r="S128" i="1"/>
  <c r="O112" i="1"/>
  <c r="S112" i="1" s="1"/>
  <c r="P121" i="1"/>
  <c r="O124" i="1"/>
  <c r="O122" i="1"/>
  <c r="R122" i="1" s="1"/>
  <c r="P122" i="1"/>
  <c r="P120" i="1"/>
  <c r="O120" i="1"/>
  <c r="P112" i="1"/>
  <c r="P111" i="1"/>
  <c r="P107" i="1"/>
  <c r="O95" i="1"/>
  <c r="R95" i="1" s="1"/>
  <c r="P97" i="1"/>
  <c r="P95" i="1"/>
  <c r="P98" i="1"/>
  <c r="O86" i="1"/>
  <c r="P119" i="1"/>
  <c r="O119" i="1"/>
  <c r="P94" i="1"/>
  <c r="O94" i="1"/>
  <c r="P84" i="1"/>
  <c r="O84" i="1"/>
  <c r="R84" i="1" s="1"/>
  <c r="O83" i="1"/>
  <c r="R83" i="1" s="1"/>
  <c r="P79" i="1"/>
  <c r="O88" i="1"/>
  <c r="T88" i="1" s="1"/>
  <c r="P88" i="1"/>
  <c r="P93" i="1"/>
  <c r="O93" i="1"/>
  <c r="R93" i="1" s="1"/>
  <c r="O79" i="1"/>
  <c r="R79" i="1" s="1"/>
  <c r="O106" i="1"/>
  <c r="S106" i="1" s="1"/>
  <c r="P106" i="1"/>
  <c r="O108" i="1"/>
  <c r="P83" i="1"/>
  <c r="P113" i="1"/>
  <c r="O121" i="1"/>
  <c r="T121" i="1" s="1"/>
  <c r="O110" i="1"/>
  <c r="S110" i="1" s="1"/>
  <c r="P110" i="1"/>
  <c r="P108" i="1"/>
  <c r="O126" i="1"/>
  <c r="P126" i="1"/>
  <c r="P87" i="1"/>
  <c r="O87" i="1"/>
  <c r="S87" i="1" s="1"/>
  <c r="P92" i="1"/>
  <c r="P90" i="1"/>
  <c r="O90" i="1"/>
  <c r="S90" i="1" s="1"/>
  <c r="O103" i="1"/>
  <c r="P103" i="1"/>
  <c r="AJ69" i="1"/>
  <c r="F9" i="1" s="1"/>
  <c r="AJ67" i="1"/>
  <c r="F7" i="1" s="1"/>
  <c r="AJ68" i="1"/>
  <c r="F8" i="1" s="1"/>
  <c r="AI68" i="1"/>
  <c r="E8" i="1" s="1"/>
  <c r="E7" i="1"/>
  <c r="AC200" i="1"/>
  <c r="AB200" i="1"/>
  <c r="AC212" i="1"/>
  <c r="AB212" i="1"/>
  <c r="AD93" i="1"/>
  <c r="AC93" i="1"/>
  <c r="AA149" i="1"/>
  <c r="E115" i="1" s="1"/>
  <c r="AA146" i="1"/>
  <c r="E114" i="1" s="1"/>
  <c r="AI69" i="1"/>
  <c r="E9" i="1" s="1"/>
  <c r="AD69" i="1"/>
  <c r="AC69" i="1"/>
  <c r="AB19" i="1"/>
  <c r="AC19" i="1" s="1"/>
  <c r="F13" i="1" s="1"/>
  <c r="AB18" i="1"/>
  <c r="S119" i="1" l="1"/>
  <c r="Q107" i="1"/>
  <c r="R86" i="1"/>
  <c r="AC18" i="1"/>
  <c r="E13" i="1" s="1"/>
  <c r="T124" i="1"/>
  <c r="S103" i="1"/>
  <c r="Q88" i="1"/>
  <c r="Q83" i="1"/>
  <c r="K7" i="1"/>
  <c r="L7" i="1"/>
  <c r="M7" i="1"/>
  <c r="L8" i="1"/>
  <c r="M8" i="1"/>
  <c r="L9" i="1"/>
  <c r="M9" i="1"/>
  <c r="Q113" i="1"/>
  <c r="Q103" i="1"/>
  <c r="Q87" i="1"/>
  <c r="Q93" i="1"/>
  <c r="Q91" i="1"/>
  <c r="Q90" i="1"/>
  <c r="Q79" i="1"/>
  <c r="Q84" i="1"/>
  <c r="Q98" i="1"/>
  <c r="Q86" i="1"/>
  <c r="Q106" i="1"/>
  <c r="Q112" i="1"/>
  <c r="Q110" i="1"/>
  <c r="Q111" i="1"/>
  <c r="Q92" i="1"/>
  <c r="Q108" i="1"/>
  <c r="Q95" i="1"/>
  <c r="Q80" i="1"/>
  <c r="R92" i="1"/>
  <c r="Q94" i="1"/>
  <c r="Q97" i="1"/>
  <c r="S89" i="1"/>
  <c r="Q78" i="1"/>
  <c r="Q82" i="1"/>
  <c r="Q109" i="1"/>
  <c r="Q96" i="1"/>
  <c r="Q89" i="1"/>
  <c r="Q124" i="1"/>
  <c r="S126" i="1"/>
  <c r="Q121" i="1"/>
  <c r="Q120" i="1"/>
  <c r="Q126" i="1"/>
  <c r="Q119" i="1"/>
  <c r="Q122" i="1"/>
  <c r="S109" i="1"/>
  <c r="T78" i="1"/>
  <c r="R82" i="1"/>
  <c r="S98" i="1"/>
  <c r="T98" i="1"/>
  <c r="T92" i="1"/>
  <c r="T109" i="1"/>
  <c r="S92" i="1"/>
  <c r="S107" i="1"/>
  <c r="R107" i="1"/>
  <c r="R109" i="1"/>
  <c r="AB146" i="1"/>
  <c r="F43" i="1" s="1"/>
  <c r="R124" i="1"/>
  <c r="S97" i="1"/>
  <c r="AF93" i="1"/>
  <c r="F27" i="1" s="1"/>
  <c r="S78" i="1"/>
  <c r="R78" i="1"/>
  <c r="S82" i="1"/>
  <c r="S91" i="1"/>
  <c r="S96" i="1"/>
  <c r="T89" i="1"/>
  <c r="S80" i="1"/>
  <c r="R91" i="1"/>
  <c r="R96" i="1"/>
  <c r="AF69" i="1"/>
  <c r="E43" i="1"/>
  <c r="R80" i="1"/>
  <c r="S95" i="1"/>
  <c r="T122" i="1"/>
  <c r="T112" i="1"/>
  <c r="S113" i="1"/>
  <c r="T82" i="1"/>
  <c r="T113" i="1"/>
  <c r="AB149" i="1"/>
  <c r="F44" i="1" s="1"/>
  <c r="R103" i="1"/>
  <c r="T97" i="1"/>
  <c r="S124" i="1"/>
  <c r="R89" i="1"/>
  <c r="E44" i="1"/>
  <c r="T103" i="1"/>
  <c r="M114" i="1"/>
  <c r="K114" i="1"/>
  <c r="L114" i="1"/>
  <c r="R87" i="1"/>
  <c r="T111" i="1"/>
  <c r="S88" i="1"/>
  <c r="R111" i="1"/>
  <c r="T119" i="1"/>
  <c r="L115" i="1"/>
  <c r="K115" i="1"/>
  <c r="M115" i="1"/>
  <c r="AE212" i="1"/>
  <c r="R88" i="1"/>
  <c r="R119" i="1"/>
  <c r="R112" i="1"/>
  <c r="T126" i="1"/>
  <c r="R126" i="1"/>
  <c r="S122" i="1"/>
  <c r="S120" i="1"/>
  <c r="R120" i="1"/>
  <c r="T120" i="1"/>
  <c r="T95" i="1"/>
  <c r="T94" i="1"/>
  <c r="S94" i="1"/>
  <c r="R94" i="1"/>
  <c r="S86" i="1"/>
  <c r="T86" i="1"/>
  <c r="T79" i="1"/>
  <c r="S79" i="1"/>
  <c r="T83" i="1"/>
  <c r="S83" i="1"/>
  <c r="S84" i="1"/>
  <c r="T84" i="1"/>
  <c r="R90" i="1"/>
  <c r="S121" i="1"/>
  <c r="R121" i="1"/>
  <c r="R106" i="1"/>
  <c r="T110" i="1"/>
  <c r="T90" i="1"/>
  <c r="T108" i="1"/>
  <c r="R108" i="1"/>
  <c r="T87" i="1"/>
  <c r="R110" i="1"/>
  <c r="T93" i="1"/>
  <c r="S93" i="1"/>
  <c r="T106" i="1"/>
  <c r="S108" i="1"/>
  <c r="AE200" i="1"/>
  <c r="F53" i="1" s="1"/>
  <c r="AD200" i="1"/>
  <c r="E53" i="1" s="1"/>
  <c r="AD212" i="1"/>
  <c r="AE93" i="1"/>
  <c r="E27" i="1" s="1"/>
  <c r="AE69" i="1"/>
  <c r="AD88" i="1"/>
  <c r="AC88" i="1"/>
  <c r="E38" i="1"/>
  <c r="AB119" i="1"/>
  <c r="F38" i="1" s="1"/>
  <c r="AC79" i="1"/>
  <c r="AD79" i="1"/>
  <c r="AC78" i="1"/>
  <c r="AD78" i="1"/>
  <c r="AC77" i="1"/>
  <c r="AD77" i="1"/>
  <c r="K68" i="1" l="1"/>
  <c r="M68" i="1"/>
  <c r="L68" i="1"/>
  <c r="M13" i="1"/>
  <c r="L13" i="1"/>
  <c r="P9" i="1"/>
  <c r="O9" i="1"/>
  <c r="T9" i="1" s="1"/>
  <c r="O7" i="1"/>
  <c r="L27" i="1"/>
  <c r="M27" i="1"/>
  <c r="O8" i="1"/>
  <c r="T8" i="1" s="1"/>
  <c r="P8" i="1"/>
  <c r="P7" i="1"/>
  <c r="AE78" i="1"/>
  <c r="AE88" i="1"/>
  <c r="E23" i="1" s="1"/>
  <c r="AE79" i="1"/>
  <c r="P114" i="1"/>
  <c r="O114" i="1"/>
  <c r="P115" i="1"/>
  <c r="O115" i="1"/>
  <c r="S115" i="1" s="1"/>
  <c r="AF78" i="1"/>
  <c r="AE77" i="1"/>
  <c r="AF77" i="1"/>
  <c r="AF79" i="1"/>
  <c r="AF88" i="1"/>
  <c r="F23" i="1" s="1"/>
  <c r="J53" i="1"/>
  <c r="M53" i="1" s="1"/>
  <c r="I53" i="1"/>
  <c r="L53" i="1" s="1"/>
  <c r="J44" i="1"/>
  <c r="M44" i="1" s="1"/>
  <c r="J43" i="1"/>
  <c r="M43" i="1" s="1"/>
  <c r="I44" i="1"/>
  <c r="L44" i="1" s="1"/>
  <c r="I43" i="1"/>
  <c r="L43" i="1" s="1"/>
  <c r="H44" i="1"/>
  <c r="H43" i="1"/>
  <c r="J38" i="1"/>
  <c r="M38" i="1" s="1"/>
  <c r="I38" i="1"/>
  <c r="L38" i="1" s="1"/>
  <c r="H38" i="1"/>
  <c r="O53" i="1" l="1"/>
  <c r="S53" i="1" s="1"/>
  <c r="P53" i="1"/>
  <c r="O68" i="1"/>
  <c r="P68" i="1"/>
  <c r="P13" i="1"/>
  <c r="O13" i="1"/>
  <c r="S13" i="1" s="1"/>
  <c r="S7" i="1"/>
  <c r="R9" i="1"/>
  <c r="R7" i="1"/>
  <c r="R8" i="1"/>
  <c r="Q8" i="1"/>
  <c r="S8" i="1"/>
  <c r="T7" i="1"/>
  <c r="T68" i="1" s="1"/>
  <c r="P38" i="1"/>
  <c r="O38" i="1"/>
  <c r="O43" i="1"/>
  <c r="S43" i="1" s="1"/>
  <c r="P43" i="1"/>
  <c r="O44" i="1"/>
  <c r="R44" i="1" s="1"/>
  <c r="P44" i="1"/>
  <c r="L23" i="1"/>
  <c r="M23" i="1"/>
  <c r="S9" i="1"/>
  <c r="Q9" i="1"/>
  <c r="O27" i="1"/>
  <c r="R27" i="1" s="1"/>
  <c r="P27" i="1"/>
  <c r="Q7" i="1"/>
  <c r="Q115" i="1"/>
  <c r="Q114" i="1"/>
  <c r="R115" i="1"/>
  <c r="T115" i="1"/>
  <c r="S114" i="1"/>
  <c r="T114" i="1"/>
  <c r="R114" i="1"/>
  <c r="R53" i="1" l="1"/>
  <c r="Q53" i="1"/>
  <c r="T53" i="1"/>
  <c r="S68" i="1"/>
  <c r="Q68" i="1"/>
  <c r="R68" i="1"/>
  <c r="Q13" i="1"/>
  <c r="T13" i="1"/>
  <c r="R13" i="1"/>
  <c r="Q43" i="1"/>
  <c r="Q44" i="1"/>
  <c r="R38" i="1"/>
  <c r="T27" i="1"/>
  <c r="S38" i="1"/>
  <c r="T38" i="1"/>
  <c r="S27" i="1"/>
  <c r="T43" i="1"/>
  <c r="Q27" i="1"/>
  <c r="R43" i="1"/>
  <c r="T44" i="1"/>
  <c r="O23" i="1"/>
  <c r="P23" i="1"/>
  <c r="S44" i="1"/>
  <c r="Q38" i="1"/>
  <c r="J57" i="1"/>
  <c r="M57" i="1" s="1"/>
  <c r="J49" i="1"/>
  <c r="J48" i="1"/>
  <c r="M74" i="1" l="1"/>
  <c r="T23" i="1"/>
  <c r="Q23" i="1"/>
  <c r="R23" i="1"/>
  <c r="S23" i="1"/>
  <c r="I57" i="1"/>
  <c r="L57" i="1" s="1"/>
  <c r="I49" i="1"/>
  <c r="I48" i="1"/>
  <c r="L74" i="1" l="1"/>
  <c r="J51" i="1"/>
  <c r="J50" i="1"/>
  <c r="I51" i="1" l="1"/>
  <c r="I50" i="1"/>
  <c r="H51" i="1" l="1"/>
  <c r="H50" i="1"/>
  <c r="E51" i="1"/>
  <c r="E50" i="1"/>
  <c r="F51" i="1"/>
  <c r="K51" i="1" s="1"/>
  <c r="AD110" i="1"/>
  <c r="F50" i="1"/>
  <c r="K50" i="1" s="1"/>
  <c r="AD112" i="1"/>
  <c r="AC112" i="1"/>
  <c r="AD111" i="1"/>
  <c r="AC111" i="1"/>
  <c r="AC110" i="1"/>
  <c r="L51" i="1" l="1"/>
  <c r="M51" i="1"/>
  <c r="L50" i="1"/>
  <c r="M50" i="1"/>
  <c r="AF110" i="1"/>
  <c r="F35" i="1" s="1"/>
  <c r="AF111" i="1"/>
  <c r="F36" i="1" s="1"/>
  <c r="AF112" i="1"/>
  <c r="F37" i="1" s="1"/>
  <c r="AE110" i="1"/>
  <c r="E35" i="1" s="1"/>
  <c r="AE112" i="1"/>
  <c r="E37" i="1" s="1"/>
  <c r="AE111" i="1"/>
  <c r="E36" i="1" s="1"/>
  <c r="P50" i="1" l="1"/>
  <c r="P51" i="1"/>
  <c r="O51" i="1"/>
  <c r="T51" i="1" s="1"/>
  <c r="O50" i="1"/>
  <c r="T50" i="1" s="1"/>
  <c r="L36" i="1"/>
  <c r="M36" i="1"/>
  <c r="L37" i="1"/>
  <c r="M37" i="1"/>
  <c r="L35" i="1"/>
  <c r="M35" i="1"/>
  <c r="AB131" i="1"/>
  <c r="AB44" i="1"/>
  <c r="AB43" i="1"/>
  <c r="AC43" i="1" s="1"/>
  <c r="AB125" i="1"/>
  <c r="AB34" i="1"/>
  <c r="AB33" i="1"/>
  <c r="AC33" i="1" s="1"/>
  <c r="S51" i="1" l="1"/>
  <c r="Q51" i="1"/>
  <c r="R50" i="1"/>
  <c r="Q50" i="1"/>
  <c r="R51" i="1"/>
  <c r="S50" i="1"/>
  <c r="P37" i="1"/>
  <c r="O37" i="1"/>
  <c r="T37" i="1" s="1"/>
  <c r="O36" i="1"/>
  <c r="S36" i="1" s="1"/>
  <c r="P36" i="1"/>
  <c r="O35" i="1"/>
  <c r="T35" i="1" s="1"/>
  <c r="P35" i="1"/>
  <c r="Q35" i="1" s="1"/>
  <c r="AC44" i="1"/>
  <c r="AC34" i="1"/>
  <c r="I42" i="1"/>
  <c r="R35" i="1" l="1"/>
  <c r="S37" i="1"/>
  <c r="R36" i="1"/>
  <c r="Q36" i="1"/>
  <c r="R37" i="1"/>
  <c r="T36" i="1"/>
  <c r="S35" i="1"/>
  <c r="Q37" i="1"/>
  <c r="AD67" i="1"/>
  <c r="AD68" i="1"/>
  <c r="AC67" i="1"/>
  <c r="AC68" i="1"/>
  <c r="AC209" i="1"/>
  <c r="AB209" i="1"/>
  <c r="E49" i="1"/>
  <c r="E48" i="1"/>
  <c r="F49" i="1"/>
  <c r="K49" i="1" s="1"/>
  <c r="F48" i="1"/>
  <c r="K48" i="1" s="1"/>
  <c r="K59" i="1" s="1"/>
  <c r="AB178" i="1"/>
  <c r="E41" i="1"/>
  <c r="E42" i="1"/>
  <c r="AB143" i="1"/>
  <c r="F42" i="1" s="1"/>
  <c r="AB140" i="1"/>
  <c r="AB137" i="1"/>
  <c r="F41" i="1" s="1"/>
  <c r="E40" i="1"/>
  <c r="AB134" i="1"/>
  <c r="F40" i="1" s="1"/>
  <c r="AB128" i="1"/>
  <c r="E39" i="1"/>
  <c r="AB122" i="1"/>
  <c r="F39" i="1" s="1"/>
  <c r="AB59" i="1"/>
  <c r="AB58" i="1"/>
  <c r="AC58" i="1" s="1"/>
  <c r="AB54" i="1"/>
  <c r="AB53" i="1"/>
  <c r="AC53" i="1" s="1"/>
  <c r="E22" i="1" s="1"/>
  <c r="AB39" i="1"/>
  <c r="AB29" i="1"/>
  <c r="AB38" i="1"/>
  <c r="AB28" i="1"/>
  <c r="AC28" i="1" s="1"/>
  <c r="E21" i="1" s="1"/>
  <c r="AC109" i="1"/>
  <c r="AD108" i="1"/>
  <c r="AD107" i="1"/>
  <c r="AC107" i="1"/>
  <c r="AB106" i="1"/>
  <c r="AB105" i="1"/>
  <c r="AD104" i="1"/>
  <c r="AC104" i="1"/>
  <c r="AD90" i="1"/>
  <c r="AD91" i="1"/>
  <c r="AD89" i="1"/>
  <c r="AC90" i="1"/>
  <c r="AC91" i="1"/>
  <c r="AC89" i="1"/>
  <c r="AD81" i="1"/>
  <c r="AD82" i="1"/>
  <c r="AD71" i="1"/>
  <c r="AD72" i="1"/>
  <c r="AD73" i="1"/>
  <c r="AD74" i="1"/>
  <c r="AD75" i="1"/>
  <c r="AD76" i="1"/>
  <c r="AD80" i="1"/>
  <c r="AC81" i="1"/>
  <c r="AC82" i="1"/>
  <c r="AC71" i="1"/>
  <c r="AC72" i="1"/>
  <c r="AC73" i="1"/>
  <c r="AC74" i="1"/>
  <c r="AC75" i="1"/>
  <c r="AC76" i="1"/>
  <c r="AC80" i="1"/>
  <c r="J42" i="1"/>
  <c r="AC29" i="1" l="1"/>
  <c r="F21" i="1" s="1"/>
  <c r="M21" i="1" s="1"/>
  <c r="L49" i="1"/>
  <c r="M49" i="1"/>
  <c r="M42" i="1"/>
  <c r="L42" i="1"/>
  <c r="M48" i="1"/>
  <c r="L48" i="1"/>
  <c r="AD106" i="1"/>
  <c r="E105" i="1"/>
  <c r="AD105" i="1"/>
  <c r="E104" i="1"/>
  <c r="AC39" i="1"/>
  <c r="AC54" i="1"/>
  <c r="F22" i="1" s="1"/>
  <c r="AF68" i="1"/>
  <c r="AE209" i="1"/>
  <c r="F55" i="1" s="1"/>
  <c r="AE91" i="1"/>
  <c r="E26" i="1" s="1"/>
  <c r="AE104" i="1"/>
  <c r="E32" i="1" s="1"/>
  <c r="AE107" i="1"/>
  <c r="AE90" i="1"/>
  <c r="E25" i="1" s="1"/>
  <c r="AC106" i="1"/>
  <c r="AE67" i="1"/>
  <c r="AE89" i="1"/>
  <c r="E24" i="1" s="1"/>
  <c r="AC59" i="1"/>
  <c r="AE73" i="1"/>
  <c r="E17" i="1" s="1"/>
  <c r="AE82" i="1"/>
  <c r="E20" i="1" s="1"/>
  <c r="AE72" i="1"/>
  <c r="E16" i="1" s="1"/>
  <c r="AE75" i="1"/>
  <c r="AE81" i="1"/>
  <c r="E19" i="1" s="1"/>
  <c r="AE71" i="1"/>
  <c r="E15" i="1" s="1"/>
  <c r="AE68" i="1"/>
  <c r="AF67" i="1"/>
  <c r="AE76" i="1"/>
  <c r="AE74" i="1"/>
  <c r="AE80" i="1"/>
  <c r="E18" i="1" s="1"/>
  <c r="AD209" i="1"/>
  <c r="E55" i="1" s="1"/>
  <c r="AF75" i="1"/>
  <c r="AF90" i="1"/>
  <c r="F25" i="1" s="1"/>
  <c r="AF104" i="1"/>
  <c r="F32" i="1" s="1"/>
  <c r="AF74" i="1"/>
  <c r="AC38" i="1"/>
  <c r="AF76" i="1"/>
  <c r="AF107" i="1"/>
  <c r="AD109" i="1"/>
  <c r="AC108" i="1"/>
  <c r="AE108" i="1" s="1"/>
  <c r="AC105" i="1"/>
  <c r="AF89" i="1"/>
  <c r="F24" i="1" s="1"/>
  <c r="AF91" i="1"/>
  <c r="F26" i="1" s="1"/>
  <c r="AF71" i="1"/>
  <c r="F15" i="1" s="1"/>
  <c r="AF72" i="1"/>
  <c r="F16" i="1" s="1"/>
  <c r="AF82" i="1"/>
  <c r="F20" i="1" s="1"/>
  <c r="AF81" i="1"/>
  <c r="F19" i="1" s="1"/>
  <c r="AF73" i="1"/>
  <c r="F17" i="1" s="1"/>
  <c r="AF80" i="1"/>
  <c r="F18" i="1" s="1"/>
  <c r="H42" i="1"/>
  <c r="H41" i="1"/>
  <c r="J41" i="1"/>
  <c r="M41" i="1" s="1"/>
  <c r="I41" i="1"/>
  <c r="L41" i="1" s="1"/>
  <c r="H57" i="1"/>
  <c r="J40" i="1"/>
  <c r="M40" i="1" s="1"/>
  <c r="L59" i="1" l="1"/>
  <c r="M65" i="1"/>
  <c r="M59" i="1"/>
  <c r="P57" i="1"/>
  <c r="O57" i="1"/>
  <c r="K74" i="1"/>
  <c r="M55" i="1"/>
  <c r="L55" i="1"/>
  <c r="L65" i="1"/>
  <c r="O42" i="1"/>
  <c r="R42" i="1" s="1"/>
  <c r="P42" i="1"/>
  <c r="O41" i="1"/>
  <c r="S41" i="1" s="1"/>
  <c r="P41" i="1"/>
  <c r="L25" i="1"/>
  <c r="M25" i="1"/>
  <c r="L21" i="1"/>
  <c r="L17" i="1"/>
  <c r="M17" i="1"/>
  <c r="L32" i="1"/>
  <c r="M32" i="1"/>
  <c r="M22" i="1"/>
  <c r="M63" i="1" s="1"/>
  <c r="L18" i="1"/>
  <c r="M18" i="1"/>
  <c r="M26" i="1"/>
  <c r="L26" i="1"/>
  <c r="L22" i="1"/>
  <c r="L15" i="1"/>
  <c r="M15" i="1"/>
  <c r="L19" i="1"/>
  <c r="M19" i="1"/>
  <c r="L20" i="1"/>
  <c r="M20" i="1"/>
  <c r="L24" i="1"/>
  <c r="M24" i="1"/>
  <c r="L16" i="1"/>
  <c r="M16" i="1"/>
  <c r="AF106" i="1"/>
  <c r="F34" i="1" s="1"/>
  <c r="M104" i="1"/>
  <c r="L104" i="1"/>
  <c r="K104" i="1"/>
  <c r="L105" i="1"/>
  <c r="M105" i="1"/>
  <c r="K105" i="1"/>
  <c r="AE106" i="1"/>
  <c r="E34" i="1" s="1"/>
  <c r="AE109" i="1"/>
  <c r="AF105" i="1"/>
  <c r="F33" i="1" s="1"/>
  <c r="AE105" i="1"/>
  <c r="E33" i="1" s="1"/>
  <c r="AF109" i="1"/>
  <c r="AF108" i="1"/>
  <c r="AB9" i="1"/>
  <c r="AC9" i="1" s="1"/>
  <c r="F11" i="1" s="1"/>
  <c r="E11" i="1"/>
  <c r="P55" i="1" l="1"/>
  <c r="O55" i="1"/>
  <c r="R55" i="1" s="1"/>
  <c r="K73" i="1"/>
  <c r="K72" i="1"/>
  <c r="T55" i="1"/>
  <c r="O74" i="1"/>
  <c r="T57" i="1"/>
  <c r="T74" i="1" s="1"/>
  <c r="S57" i="1"/>
  <c r="S74" i="1" s="1"/>
  <c r="K69" i="1"/>
  <c r="K63" i="1"/>
  <c r="R57" i="1"/>
  <c r="R74" i="1" s="1"/>
  <c r="S55" i="1"/>
  <c r="Q57" i="1"/>
  <c r="Q74" i="1" s="1"/>
  <c r="P74" i="1"/>
  <c r="Q41" i="1"/>
  <c r="Q42" i="1"/>
  <c r="T42" i="1"/>
  <c r="L63" i="1"/>
  <c r="L73" i="1"/>
  <c r="L72" i="1"/>
  <c r="M73" i="1"/>
  <c r="M72" i="1"/>
  <c r="M69" i="1"/>
  <c r="L69" i="1"/>
  <c r="R41" i="1"/>
  <c r="T41" i="1"/>
  <c r="S42" i="1"/>
  <c r="O22" i="1"/>
  <c r="R22" i="1" s="1"/>
  <c r="O24" i="1"/>
  <c r="P24" i="1"/>
  <c r="O21" i="1"/>
  <c r="P21" i="1"/>
  <c r="O17" i="1"/>
  <c r="T17" i="1" s="1"/>
  <c r="P17" i="1"/>
  <c r="P25" i="1"/>
  <c r="O25" i="1"/>
  <c r="R25" i="1" s="1"/>
  <c r="P22" i="1"/>
  <c r="O26" i="1"/>
  <c r="T26" i="1" s="1"/>
  <c r="P26" i="1"/>
  <c r="O15" i="1"/>
  <c r="P15" i="1"/>
  <c r="P18" i="1"/>
  <c r="O18" i="1"/>
  <c r="R18" i="1" s="1"/>
  <c r="O32" i="1"/>
  <c r="T32" i="1" s="1"/>
  <c r="P32" i="1"/>
  <c r="O16" i="1"/>
  <c r="R16" i="1" s="1"/>
  <c r="P16" i="1"/>
  <c r="O20" i="1"/>
  <c r="R20" i="1" s="1"/>
  <c r="P20" i="1"/>
  <c r="L33" i="1"/>
  <c r="M33" i="1"/>
  <c r="K70" i="1"/>
  <c r="L34" i="1"/>
  <c r="M34" i="1"/>
  <c r="O19" i="1"/>
  <c r="S19" i="1" s="1"/>
  <c r="P19" i="1"/>
  <c r="P104" i="1"/>
  <c r="O104" i="1"/>
  <c r="P105" i="1"/>
  <c r="O105" i="1"/>
  <c r="S105" i="1" s="1"/>
  <c r="L11" i="1"/>
  <c r="L62" i="1" s="1"/>
  <c r="M11" i="1"/>
  <c r="M62" i="1" s="1"/>
  <c r="H40" i="1"/>
  <c r="I40" i="1"/>
  <c r="L40" i="1" s="1"/>
  <c r="K67" i="1" l="1"/>
  <c r="K62" i="1"/>
  <c r="Q55" i="1"/>
  <c r="M70" i="1"/>
  <c r="L67" i="1"/>
  <c r="P72" i="1"/>
  <c r="P73" i="1"/>
  <c r="O63" i="1"/>
  <c r="M67" i="1"/>
  <c r="L70" i="1"/>
  <c r="P69" i="1"/>
  <c r="S24" i="1"/>
  <c r="O72" i="1"/>
  <c r="O73" i="1"/>
  <c r="O69" i="1"/>
  <c r="P63" i="1"/>
  <c r="S22" i="1"/>
  <c r="T22" i="1"/>
  <c r="T15" i="1"/>
  <c r="R24" i="1"/>
  <c r="T24" i="1"/>
  <c r="S18" i="1"/>
  <c r="R26" i="1"/>
  <c r="Q26" i="1"/>
  <c r="S32" i="1"/>
  <c r="S17" i="1"/>
  <c r="Q17" i="1"/>
  <c r="T25" i="1"/>
  <c r="S25" i="1"/>
  <c r="Q19" i="1"/>
  <c r="Q24" i="1"/>
  <c r="S16" i="1"/>
  <c r="T16" i="1"/>
  <c r="R32" i="1"/>
  <c r="T18" i="1"/>
  <c r="Q16" i="1"/>
  <c r="Q21" i="1"/>
  <c r="Q22" i="1"/>
  <c r="T21" i="1"/>
  <c r="T19" i="1"/>
  <c r="S21" i="1"/>
  <c r="R19" i="1"/>
  <c r="Q32" i="1"/>
  <c r="R21" i="1"/>
  <c r="O34" i="1"/>
  <c r="R34" i="1" s="1"/>
  <c r="P34" i="1"/>
  <c r="R15" i="1"/>
  <c r="T20" i="1"/>
  <c r="Q15" i="1"/>
  <c r="S26" i="1"/>
  <c r="S20" i="1"/>
  <c r="P33" i="1"/>
  <c r="O33" i="1"/>
  <c r="S33" i="1" s="1"/>
  <c r="Q18" i="1"/>
  <c r="S15" i="1"/>
  <c r="Q25" i="1"/>
  <c r="O40" i="1"/>
  <c r="R40" i="1" s="1"/>
  <c r="P40" i="1"/>
  <c r="Q20" i="1"/>
  <c r="R17" i="1"/>
  <c r="S104" i="1"/>
  <c r="Q105" i="1"/>
  <c r="Q104" i="1"/>
  <c r="T105" i="1"/>
  <c r="R105" i="1"/>
  <c r="R104" i="1"/>
  <c r="T104" i="1"/>
  <c r="P11" i="1"/>
  <c r="P62" i="1" s="1"/>
  <c r="O11" i="1"/>
  <c r="O62" i="1" s="1"/>
  <c r="H49" i="1"/>
  <c r="H48" i="1"/>
  <c r="I39" i="1"/>
  <c r="J39" i="1"/>
  <c r="M39" i="1" s="1"/>
  <c r="H39" i="1"/>
  <c r="K64" i="1" l="1"/>
  <c r="K61" i="1"/>
  <c r="K60" i="1"/>
  <c r="K65" i="1"/>
  <c r="O49" i="1"/>
  <c r="P49" i="1"/>
  <c r="P67" i="1"/>
  <c r="P48" i="1"/>
  <c r="S72" i="1"/>
  <c r="S73" i="1"/>
  <c r="P70" i="1"/>
  <c r="R73" i="1"/>
  <c r="R72" i="1"/>
  <c r="R63" i="1"/>
  <c r="Q63" i="1"/>
  <c r="O67" i="1"/>
  <c r="T63" i="1"/>
  <c r="R69" i="1"/>
  <c r="T72" i="1"/>
  <c r="T73" i="1"/>
  <c r="O70" i="1"/>
  <c r="Q73" i="1"/>
  <c r="Q72" i="1"/>
  <c r="M64" i="1"/>
  <c r="M61" i="1"/>
  <c r="S69" i="1"/>
  <c r="S63" i="1"/>
  <c r="Q69" i="1"/>
  <c r="T69" i="1"/>
  <c r="M60" i="1"/>
  <c r="Q34" i="1"/>
  <c r="T34" i="1"/>
  <c r="Q11" i="1"/>
  <c r="Q62" i="1" s="1"/>
  <c r="R33" i="1"/>
  <c r="R70" i="1" s="1"/>
  <c r="S34" i="1"/>
  <c r="S70" i="1" s="1"/>
  <c r="Q40" i="1"/>
  <c r="T33" i="1"/>
  <c r="O48" i="1"/>
  <c r="L39" i="1"/>
  <c r="S40" i="1"/>
  <c r="T40" i="1"/>
  <c r="Q33" i="1"/>
  <c r="T11" i="1"/>
  <c r="T62" i="1" s="1"/>
  <c r="S11" i="1"/>
  <c r="S62" i="1" s="1"/>
  <c r="R11" i="1"/>
  <c r="R62" i="1" s="1"/>
  <c r="Q70" i="1" l="1"/>
  <c r="T67" i="1"/>
  <c r="R67" i="1"/>
  <c r="L64" i="1"/>
  <c r="L61" i="1"/>
  <c r="S67" i="1"/>
  <c r="T70" i="1"/>
  <c r="Q67" i="1"/>
  <c r="P65" i="1"/>
  <c r="R48" i="1"/>
  <c r="O65" i="1"/>
  <c r="L60" i="1"/>
  <c r="O39" i="1"/>
  <c r="S49" i="1"/>
  <c r="T49" i="1"/>
  <c r="S48" i="1"/>
  <c r="S65" i="1" s="1"/>
  <c r="T48" i="1"/>
  <c r="P39" i="1"/>
  <c r="Q48" i="1"/>
  <c r="R49" i="1"/>
  <c r="Q49" i="1"/>
  <c r="R65" i="1" l="1"/>
  <c r="O64" i="1"/>
  <c r="O61" i="1"/>
  <c r="O59" i="1"/>
  <c r="Q65" i="1"/>
  <c r="P64" i="1"/>
  <c r="P61" i="1"/>
  <c r="P59" i="1"/>
  <c r="T65" i="1"/>
  <c r="P60" i="1"/>
  <c r="O60" i="1"/>
  <c r="T39" i="1"/>
  <c r="S39" i="1"/>
  <c r="R39" i="1"/>
  <c r="Q39" i="1"/>
  <c r="S64" i="1" l="1"/>
  <c r="S61" i="1"/>
  <c r="S59" i="1"/>
  <c r="T64" i="1"/>
  <c r="T61" i="1"/>
  <c r="T59" i="1"/>
  <c r="Q64" i="1"/>
  <c r="Q61" i="1"/>
  <c r="Q59" i="1"/>
  <c r="R64" i="1"/>
  <c r="R61" i="1"/>
  <c r="R59" i="1"/>
  <c r="T60" i="1"/>
  <c r="Q60" i="1"/>
  <c r="R60" i="1"/>
  <c r="S60" i="1"/>
</calcChain>
</file>

<file path=xl/sharedStrings.xml><?xml version="1.0" encoding="utf-8"?>
<sst xmlns="http://schemas.openxmlformats.org/spreadsheetml/2006/main" count="890" uniqueCount="275">
  <si>
    <t>Benchmarking observable</t>
  </si>
  <si>
    <t>Error</t>
  </si>
  <si>
    <t>Unit</t>
  </si>
  <si>
    <r>
      <t>cm</t>
    </r>
    <r>
      <rPr>
        <vertAlign val="superscript"/>
        <sz val="11"/>
        <color theme="1"/>
        <rFont val="Calibri"/>
        <family val="2"/>
        <scheme val="minor"/>
      </rPr>
      <t>-1</t>
    </r>
  </si>
  <si>
    <t>B3LYP-D3</t>
  </si>
  <si>
    <t>PBE0-D3</t>
  </si>
  <si>
    <t>M06-2X</t>
  </si>
  <si>
    <t>basis set for all: def2-QZVP</t>
  </si>
  <si>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</si>
  <si>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t>MHz</t>
  </si>
  <si>
    <r>
      <t>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</si>
  <si>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three methods</t>
    </r>
  </si>
  <si>
    <r>
      <rPr>
        <sz val="11"/>
        <color theme="1"/>
        <rFont val="Symbol"/>
        <family val="1"/>
        <charset val="2"/>
      </rPr>
      <t>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</si>
  <si>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t>Value</t>
  </si>
  <si>
    <r>
      <rPr>
        <sz val="11"/>
        <color theme="1"/>
        <rFont val="Symbol"/>
        <family val="1"/>
        <charset val="2"/>
      </rPr>
      <t>w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</si>
  <si>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t>Monomer rotational constants</t>
  </si>
  <si>
    <t>Experimental value / MHz</t>
  </si>
  <si>
    <t>Upper bound / MHz</t>
  </si>
  <si>
    <t>Lower bound / MHz</t>
  </si>
  <si>
    <t>Average</t>
  </si>
  <si>
    <t>Error interval</t>
  </si>
  <si>
    <t>Structure</t>
  </si>
  <si>
    <t>A</t>
  </si>
  <si>
    <t>B</t>
  </si>
  <si>
    <t>C</t>
  </si>
  <si>
    <t>Complex rotational constants</t>
  </si>
  <si>
    <t>Global modifier upper bound</t>
  </si>
  <si>
    <t>Global modifier lower bound</t>
  </si>
  <si>
    <t>Global modifier for off-diagonal anharmonicity: 20 % of diagonal anharmonicity</t>
  </si>
  <si>
    <t>Harmonic complexation shifts</t>
  </si>
  <si>
    <r>
      <t>Experimental downshift / cm</t>
    </r>
    <r>
      <rPr>
        <vertAlign val="superscript"/>
        <sz val="11"/>
        <color theme="1"/>
        <rFont val="Calibri"/>
        <family val="2"/>
        <scheme val="minor"/>
      </rPr>
      <t>-1</t>
    </r>
  </si>
  <si>
    <t>Global modifier anharmonic correction</t>
  </si>
  <si>
    <t>Error after anharmonicity correction</t>
  </si>
  <si>
    <t>Harmonic isomer splittings</t>
  </si>
  <si>
    <t>Structures</t>
  </si>
  <si>
    <r>
      <t>Experimental splitting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</si>
  <si>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Harmonic D</t>
    </r>
    <r>
      <rPr>
        <vertAlign val="subscript"/>
        <sz val="11"/>
        <color theme="1"/>
        <rFont val="Calibri"/>
        <family val="2"/>
        <scheme val="minor"/>
      </rPr>
      <t>0</t>
    </r>
  </si>
  <si>
    <t>Global modifier upper limit</t>
  </si>
  <si>
    <t>Global modifier lower limit</t>
  </si>
  <si>
    <r>
      <t>Experimental value / 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</si>
  <si>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Upper limit / kJ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</si>
  <si>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Lower limit / kJ mol</t>
    </r>
    <r>
      <rPr>
        <vertAlign val="superscript"/>
        <sz val="11"/>
        <color theme="1"/>
        <rFont val="Calibri"/>
        <family val="2"/>
        <scheme val="minor"/>
      </rPr>
      <t>-1</t>
    </r>
  </si>
  <si>
    <t>#</t>
  </si>
  <si>
    <t>HF monomer harmonic HF stretching band centre</t>
  </si>
  <si>
    <r>
      <t xml:space="preserve">Normalised to 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</si>
  <si>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r>
      <t>First overtone / cm</t>
    </r>
    <r>
      <rPr>
        <vertAlign val="superscript"/>
        <sz val="11"/>
        <color theme="1"/>
        <rFont val="Calibri"/>
        <family val="2"/>
        <scheme val="minor"/>
      </rPr>
      <t>-1</t>
    </r>
  </si>
  <si>
    <t>Equilibrium rotational constant of the HF monomer</t>
  </si>
  <si>
    <t>HF monomer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</si>
  <si>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</si>
  <si>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cm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</si>
  <si>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MHz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</si>
  <si>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/ MHz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</si>
  <si>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energies</t>
    </r>
  </si>
  <si>
    <r>
      <t xml:space="preserve">Standard deviation 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of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</si>
  <si>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observables (without diatomics)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</si>
  <si>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(polyatomic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</si>
  <si>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(diatomic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</si>
  <si>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vibrations (without diatomics</t>
    </r>
    <r>
      <rPr>
        <sz val="11"/>
        <color theme="1"/>
        <rFont val="Calibri"/>
        <family val="2"/>
        <scheme val="minor"/>
      </rPr>
      <t>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</si>
  <si>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(downshifts)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</si>
  <si>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vibrations (isomer splittings)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</si>
  <si>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(diatomic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</si>
  <si>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(polyatomic monomers)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</si>
  <si>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rotational constants (polyatomic complexes)</t>
    </r>
  </si>
  <si>
    <t>Experimental value (harmonic back-correction)</t>
  </si>
  <si>
    <t>Experimental value (anharmonic)</t>
  </si>
  <si>
    <t>References</t>
  </si>
  <si>
    <t>Oswald et al.; 2018; DOI:10.1021/acs.jpca.8b00334</t>
  </si>
  <si>
    <t>Freytes et al; 2002; DOI:10.1016/S0301-0104(02)00507-4</t>
  </si>
  <si>
    <t>Lange et al.; 2001; DOI: 10.1021/jp003277u</t>
  </si>
  <si>
    <t xml:space="preserve">Suhm and Kollipost; 2013;  DOI:10.1039/C3CP51515J </t>
  </si>
  <si>
    <t>Bendtsen and Rasmussen; 2000; https://doi.org/10.1002/1097-4555(200005)31:5&lt;433::AID-JRS554&gt;3.0.CO;2-T</t>
  </si>
  <si>
    <r>
      <t>First hot band / cm</t>
    </r>
    <r>
      <rPr>
        <vertAlign val="superscript"/>
        <sz val="11"/>
        <color theme="1"/>
        <rFont val="Calibri"/>
        <family val="2"/>
        <scheme val="minor"/>
      </rPr>
      <t>-1</t>
    </r>
  </si>
  <si>
    <t>Martinez and Bermejo; 2013; DOI 10.1002/jrs.4245</t>
  </si>
  <si>
    <t>Alternative approach via fitting of several vibrational states measured with CARS</t>
  </si>
  <si>
    <t>Orlov et al.; 1997; DOI:10.1006/jmsp.1997.7365</t>
  </si>
  <si>
    <t>Morita and Nagakura; 1972; DOI:10.1016/0022-2852(72)90122-1</t>
  </si>
  <si>
    <t>Guelachvili; 1976; DOI:10.1016/0030-4018(76)90408-9</t>
  </si>
  <si>
    <t>Lofthus and Krupenie; 1977; DOI:10.1063/1.555546</t>
  </si>
  <si>
    <t>Quantity</t>
  </si>
  <si>
    <t>Irikura; 2007; DOI:10.1063/1.2436891</t>
  </si>
  <si>
    <r>
      <t>Alternative approach to obtain 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for diatomics via fitting of several B</t>
    </r>
    <r>
      <rPr>
        <vertAlign val="subscript"/>
        <sz val="11"/>
        <color theme="1"/>
        <rFont val="Calibri"/>
        <family val="2"/>
        <scheme val="minor"/>
      </rPr>
      <t>v</t>
    </r>
  </si>
  <si>
    <t>Shahi and Arunan; 2015; DOI: 10.1021/acs.jpca.5b03240</t>
  </si>
  <si>
    <t>Xu et al.; 1995; DOI:10.1063/1.469968</t>
  </si>
  <si>
    <t>Lerner et al; 1957; DOI:10.1063/1.1743367</t>
  </si>
  <si>
    <t>van Eijck et al., 1981; DOI:10.1016/0022-2852(81)90294-0</t>
  </si>
  <si>
    <t>Soper et al.; 1982; DOI:10.1063/1.442778</t>
  </si>
  <si>
    <t>Suhm et al.; 1992; DOI:10.1063/1.463794 ; Hippler et al.; 2007; DOI: 10.1021/jp076894s</t>
  </si>
  <si>
    <t>Dyke et al.; 1972; DOI:10.1063/1.1677553</t>
  </si>
  <si>
    <t>Oswald et al.; 2019; in preparation</t>
  </si>
  <si>
    <t>Oswald et al.; 2019; DOI:10.1002/anie.201813881</t>
  </si>
  <si>
    <t>Lovejoy and Nesbitt; 1987; DOI:10.1063/1.452026</t>
  </si>
  <si>
    <t>Oswald; 2019; PhD thesis; http://hdl.handle.net/11858/00-1735-0000-002E-E5E0-3</t>
  </si>
  <si>
    <t>Oswald and Suhm; 2017; DOI:10.1002/anie.201705301</t>
  </si>
  <si>
    <t>Kollipost et al.; 2012; DOI:10.1063/1.4704827</t>
  </si>
  <si>
    <t xml:space="preserve">Goubet et al.; 2015;  DOI:10.1039/C4CP05684A </t>
  </si>
  <si>
    <t>Bohac et al.; 1992; DOI:10.1063/1.462578</t>
  </si>
  <si>
    <t>Bemish; 1994; DOI:10.1063/1.467977</t>
  </si>
  <si>
    <t>Klopper et al.; 1998; DOI:10.1063/1.476470</t>
  </si>
  <si>
    <t>Talley et al.; 1950; DOI:10.1103/PhysRev.77.529</t>
  </si>
  <si>
    <t>Alternative approach via fitting of several vibrational states</t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</si>
  <si>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rotational constants (without diatomics)</t>
    </r>
  </si>
  <si>
    <t xml:space="preserve">Irikura; 2007; DOI:10.1063/1.2436891; Shimauchi et al.; 1995; DOI:10.1143/JJAP.34.L1689
</t>
  </si>
  <si>
    <t>Rouillé et al; 1992; DOI:10.1016/0022-2852(92)90215-A</t>
  </si>
  <si>
    <t>Lafferty et al.; 1987; DOI10.1016/0022-2852(87)90290-6</t>
  </si>
  <si>
    <t>Farrell; 1996; DOI:10.1063/1.471677</t>
  </si>
  <si>
    <r>
      <t>x</t>
    </r>
    <r>
      <rPr>
        <vertAlign val="subscript"/>
        <sz val="11"/>
        <color theme="1"/>
        <rFont val="Calibri"/>
        <family val="2"/>
        <scheme val="minor"/>
      </rPr>
      <t>1,1</t>
    </r>
    <r>
      <rPr>
        <sz val="11"/>
        <color theme="1"/>
        <rFont val="Calibri"/>
        <family val="2"/>
        <scheme val="minor"/>
      </rPr>
      <t xml:space="preserve"> / cm-1</t>
    </r>
  </si>
  <si>
    <t>Talley et al.; 1950; DOI:10.1103/PhysRev.77.529;  Ram et al.; 1996; DOI:10.1086/192277; Cazzoni and Puzzarini; 2005; DOI:10.1016/j.jms.2005.01.001</t>
  </si>
  <si>
    <t>Zhang et al.; 2017; DOI:10.1063/1.4989863</t>
  </si>
  <si>
    <t>Goroya et al.; 2014; DOI:10.1063/1.4872367</t>
  </si>
  <si>
    <t>R2: Rotational constants polyatomic complexes</t>
  </si>
  <si>
    <t>S1: H-bond induced spectral downshifts</t>
  </si>
  <si>
    <t>S2: Isomer wavenumber splittings</t>
  </si>
  <si>
    <t>E1: Dissociation energies</t>
  </si>
  <si>
    <t>E2: Energy differences between isomers</t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</si>
  <si>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observables (with diatomics)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</si>
  <si>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dissciation energies</t>
    </r>
  </si>
  <si>
    <r>
      <t xml:space="preserve">Average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(x) for all relative energies</t>
    </r>
  </si>
  <si>
    <r>
      <t xml:space="preserve">Ratio of standard deviation and average of </t>
    </r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(x) </t>
    </r>
  </si>
  <si>
    <t>tHPtHP dimer acceptor OH vibration</t>
  </si>
  <si>
    <t>tHPtHP dimer donor OH vibration</t>
  </si>
  <si>
    <t>Scharge et al.; 2007; DOI: 10.1039/b705498j</t>
  </si>
  <si>
    <t>gTEgTE dimer acceptor OH vibration</t>
  </si>
  <si>
    <t>gTEgTE dimer donor OH vibration</t>
  </si>
  <si>
    <t>gTEgTE dimer</t>
  </si>
  <si>
    <t>Thomas and Xu; 2014; DOI:10.1021/jz500718f</t>
  </si>
  <si>
    <t>Harmonic OH stretching downshift from tHP to tHPtHP dimer acceptor</t>
  </si>
  <si>
    <t>Harmonic OH stretching downshift from tHP to tHPtHP dimer donor</t>
  </si>
  <si>
    <t>gTE monomer harmonic OH stretching band centre</t>
  </si>
  <si>
    <r>
      <t>NN</t>
    </r>
    <r>
      <rPr>
        <sz val="11"/>
        <color theme="1"/>
        <rFont val="Calibri"/>
        <family val="2"/>
        <scheme val="minor"/>
      </rPr>
      <t xml:space="preserve"> monomer harmonic NN stretching band centre</t>
    </r>
  </si>
  <si>
    <r>
      <t>OO</t>
    </r>
    <r>
      <rPr>
        <sz val="11"/>
        <color theme="1"/>
        <rFont val="Calibri"/>
        <family val="2"/>
        <scheme val="minor"/>
      </rPr>
      <t xml:space="preserve"> monomer harmonic OO stretching band centre</t>
    </r>
  </si>
  <si>
    <t>dHF monomer harmonic DF stretching band centre</t>
  </si>
  <si>
    <r>
      <t>Equilibrium rotational constant of the NN</t>
    </r>
    <r>
      <rPr>
        <sz val="11"/>
        <color theme="1"/>
        <rFont val="Calibri"/>
        <family val="2"/>
        <scheme val="minor"/>
      </rPr>
      <t xml:space="preserve"> monomer</t>
    </r>
  </si>
  <si>
    <r>
      <t>Equilibrium rotational constant of the OO</t>
    </r>
    <r>
      <rPr>
        <sz val="11"/>
        <color theme="1"/>
        <rFont val="Calibri"/>
        <family val="2"/>
        <scheme val="minor"/>
      </rPr>
      <t xml:space="preserve"> monomer</t>
    </r>
  </si>
  <si>
    <t>Equilibrium rotational constant of the dHF monomer</t>
  </si>
  <si>
    <t>FA monomer harmonic OH stretching band centre</t>
  </si>
  <si>
    <t>dFA monomer harmonic OD stretching band centre</t>
  </si>
  <si>
    <t>AA monomer harmonic OH stretching band centre</t>
  </si>
  <si>
    <t>dAA monomer harmonic OD stretching band centre</t>
  </si>
  <si>
    <t>tHP monomer harmonic OH stretching band centre</t>
  </si>
  <si>
    <t>gHP monomer harmonic OH stretching band centre</t>
  </si>
  <si>
    <t>Equilibrium rotational A constant of the tHP monomer</t>
  </si>
  <si>
    <t>Equilibrium rotational B constant of the tHP monomer</t>
  </si>
  <si>
    <t>Equilibrium rotational C constant of the tHP monomer</t>
  </si>
  <si>
    <t>Equilibrium rotational A constant of the FA monomer</t>
  </si>
  <si>
    <t>Equilibrium rotational B constant of the FA monomer</t>
  </si>
  <si>
    <t>Equilibrium rotational C constant of the FA monomer</t>
  </si>
  <si>
    <t>Equilibrium rotational B constant of the HFNN dimer</t>
  </si>
  <si>
    <t>Equilibrium rotational B constant of the HFHF dimer</t>
  </si>
  <si>
    <t>Equilibrium rotational B constant of the HFdHF dimer</t>
  </si>
  <si>
    <t>Equilibrium rotational A constant of the tHPNN dimer</t>
  </si>
  <si>
    <t>Equilibrium rotational B constant of the tHPNN dimer</t>
  </si>
  <si>
    <t>Equilibrium rotational C constant of the tHPNN dimer</t>
  </si>
  <si>
    <r>
      <t>Equilibrium rotational A constant of the tHPtHP</t>
    </r>
    <r>
      <rPr>
        <sz val="11"/>
        <color theme="1"/>
        <rFont val="Calibri"/>
        <family val="2"/>
        <scheme val="minor"/>
      </rPr>
      <t xml:space="preserve"> dimer</t>
    </r>
  </si>
  <si>
    <t>Equilibrium rotational B constant of the tHPtHP dimer</t>
  </si>
  <si>
    <t>Equilibrium rotational C constant of the tHPtHP dimer</t>
  </si>
  <si>
    <r>
      <t>Equilibrium rotational A constant of the gHPgHPgHP</t>
    </r>
    <r>
      <rPr>
        <sz val="11"/>
        <color theme="1"/>
        <rFont val="Calibri"/>
        <family val="2"/>
        <scheme val="minor"/>
      </rPr>
      <t xml:space="preserve"> trimer</t>
    </r>
  </si>
  <si>
    <t>Equilibrium rotational B constant of the gHPgHPgHP trimer</t>
  </si>
  <si>
    <t>Equilibrium rotational C constant of the gHPgHPgHP trimer</t>
  </si>
  <si>
    <t>Equilibrium rotational A constant of the FAFA dimer (with Coriolis coupling)</t>
  </si>
  <si>
    <t>Equilibrium rotational B constant of the FAFA dimer (with Coriolis coupling)</t>
  </si>
  <si>
    <t>Equilibrium rotational C constant of the FAFA dimer (with Coriolis coupling)</t>
  </si>
  <si>
    <t>Molecule abbreviations</t>
  </si>
  <si>
    <t>Nitrogen - NN</t>
  </si>
  <si>
    <t>Oxygen - OO</t>
  </si>
  <si>
    <t>Hydrogen fluoride - HF</t>
  </si>
  <si>
    <t>Formic acid - FA</t>
  </si>
  <si>
    <t>Acetic acid - AA</t>
  </si>
  <si>
    <t>Trifluoroethanol - TE</t>
  </si>
  <si>
    <t>Hexafluoroisopropanol - HP</t>
  </si>
  <si>
    <t>Additional information in molecule abbreviations</t>
  </si>
  <si>
    <t>d - deuterated</t>
  </si>
  <si>
    <t>t - trans conformation</t>
  </si>
  <si>
    <t>g - gauche conformation</t>
  </si>
  <si>
    <t>Harmonic HF stretching downshift from HF to HFNN</t>
  </si>
  <si>
    <t>Harmonic HF stretching downshift from HF to HFHF dimer acceptor</t>
  </si>
  <si>
    <t>Harmonic HF stretching downshift from HF to HFHF dimer donor</t>
  </si>
  <si>
    <t>hydrogen bonded clusters are abbreviated in donor-acceptor sequence</t>
  </si>
  <si>
    <t>Harmonic DF stretching downshift from DF to HFdHF dimer donor</t>
  </si>
  <si>
    <t xml:space="preserve">dHFHF dimer </t>
  </si>
  <si>
    <t xml:space="preserve">HFdHF dimer </t>
  </si>
  <si>
    <t xml:space="preserve">HFHF dimer </t>
  </si>
  <si>
    <t>dHFHF</t>
  </si>
  <si>
    <t>HFdHF</t>
  </si>
  <si>
    <t>dHFHF - HFdHF</t>
  </si>
  <si>
    <t>Harmonic OH stretching downshift from FA to FANN dimer</t>
  </si>
  <si>
    <t>Harmonic OH stretching downshift from tHP to tHPNN dimer</t>
  </si>
  <si>
    <t>Harmonic OH stretching downshift from FA to FAOO dimer</t>
  </si>
  <si>
    <t>Harmonic OH stretching downshift from tHP to tHPOO dimer</t>
  </si>
  <si>
    <t>Harmonic wavenumber splitting between tHPtHPNN trimer acceptor OH vibrations</t>
  </si>
  <si>
    <t>Harmonic wavenumber splitting between tHPtHPNN donor OH vibrations</t>
  </si>
  <si>
    <t>Harmonic wavenumber splitting between gHPgHPgHP trimer low frequency OH vibrations</t>
  </si>
  <si>
    <t>Harmonic wavenumber splitting between gHPgHPgHP trimer high frequency OH vibrations</t>
  </si>
  <si>
    <t>Absolute dissociation energy of the FAFA dimer</t>
  </si>
  <si>
    <t>Absolute dissociation energy of the HFHF dimer</t>
  </si>
  <si>
    <t>Absolute dissociation energy of the HFNN dimer</t>
  </si>
  <si>
    <t>Absolute dissociation energy of the HFdHF dimer</t>
  </si>
  <si>
    <t>Harmonically zero-point-corrected energy difference between tHPtHPNN conformers</t>
  </si>
  <si>
    <t>dHF monomer harmonic HF stretching band centre</t>
  </si>
  <si>
    <t>NN monomer harmonic NN stretching band centre</t>
  </si>
  <si>
    <t>OO monomer harmonic OO stretching band centre</t>
  </si>
  <si>
    <r>
      <t>NN</t>
    </r>
    <r>
      <rPr>
        <sz val="11"/>
        <color theme="1"/>
        <rFont val="Calibri"/>
        <family val="2"/>
        <scheme val="minor"/>
      </rPr>
      <t xml:space="preserve"> monomer</t>
    </r>
  </si>
  <si>
    <r>
      <t>OO</t>
    </r>
    <r>
      <rPr>
        <sz val="11"/>
        <color theme="1"/>
        <rFont val="Calibri"/>
        <family val="2"/>
        <scheme val="minor"/>
      </rPr>
      <t xml:space="preserve"> monomer</t>
    </r>
  </si>
  <si>
    <t>dHF monomer</t>
  </si>
  <si>
    <t>tHP monomer</t>
  </si>
  <si>
    <t>gTE monomer</t>
  </si>
  <si>
    <t>FA monomer</t>
  </si>
  <si>
    <t>AA monomer</t>
  </si>
  <si>
    <t>HFNN dimer</t>
  </si>
  <si>
    <t>tHPNN dimer</t>
  </si>
  <si>
    <t>tHPtHP dimer</t>
  </si>
  <si>
    <t>gHPtHP dimer</t>
  </si>
  <si>
    <r>
      <t xml:space="preserve">gHPgHPgHP </t>
    </r>
    <r>
      <rPr>
        <sz val="11"/>
        <color theme="1"/>
        <rFont val="Calibri"/>
        <family val="2"/>
        <scheme val="minor"/>
      </rPr>
      <t>trimer</t>
    </r>
  </si>
  <si>
    <t>FAFA dimer (with Coriolis coupling)</t>
  </si>
  <si>
    <t>FAFA dimer (without Coriolis coupling)</t>
  </si>
  <si>
    <t>FANN dimer</t>
  </si>
  <si>
    <t>dFANN dimer</t>
  </si>
  <si>
    <t>AANN dimer</t>
  </si>
  <si>
    <t xml:space="preserve">dAANN dimer </t>
  </si>
  <si>
    <t>FAOO dimer</t>
  </si>
  <si>
    <t xml:space="preserve">AAOO dimer </t>
  </si>
  <si>
    <t>tHPOO dimer</t>
  </si>
  <si>
    <t>HFHF dimer acceptor vibration</t>
  </si>
  <si>
    <t>HFHF dimer donor vibration</t>
  </si>
  <si>
    <t>HFdHF dimer acceptor DF vibration</t>
  </si>
  <si>
    <t>dHFHF dimer donor DF vibration</t>
  </si>
  <si>
    <t>tHP and gHP monomer OH stretching vibrations</t>
  </si>
  <si>
    <t>tHPtHPNN acceptor OH vibrations</t>
  </si>
  <si>
    <t>tHPtHPNN donor OH vibrations</t>
  </si>
  <si>
    <t>gHPgHPgHP high frequency OH vibrations</t>
  </si>
  <si>
    <t>gHPgHPgHP low frequency OH vibrations</t>
  </si>
  <si>
    <t>FAFA dimer</t>
  </si>
  <si>
    <t>AAAA dimer</t>
  </si>
  <si>
    <t>HFHF dimer</t>
  </si>
  <si>
    <t>HFNN</t>
  </si>
  <si>
    <t>R2: HFHF</t>
  </si>
  <si>
    <t>R2: HFNN</t>
  </si>
  <si>
    <t>R2: HFdHF</t>
  </si>
  <si>
    <t>R2: tHPNN</t>
  </si>
  <si>
    <t>R2: tHPtHP</t>
  </si>
  <si>
    <t>R2: gHPgHPgHP</t>
  </si>
  <si>
    <t>R2: FAFA</t>
  </si>
  <si>
    <t>S1: HFNN</t>
  </si>
  <si>
    <t>S1: HFHF</t>
  </si>
  <si>
    <t>S1: HFdHF</t>
  </si>
  <si>
    <t>S1: tHPtHP</t>
  </si>
  <si>
    <t>S1: FANN</t>
  </si>
  <si>
    <t>S1: tHPNN</t>
  </si>
  <si>
    <t>S1: FAOO</t>
  </si>
  <si>
    <t>S1: tHPOO</t>
  </si>
  <si>
    <t>E1: HFHF</t>
  </si>
  <si>
    <t>E1: HFNN</t>
  </si>
  <si>
    <t>S2: tHPtHPNN</t>
  </si>
  <si>
    <t>S2: gHPgHPgHP</t>
  </si>
  <si>
    <t>E1: FAFA</t>
  </si>
  <si>
    <t>E1: HFdHF</t>
  </si>
  <si>
    <t>E2: tHPtHPNN</t>
  </si>
  <si>
    <t>Experimental values and respective error bar calculations</t>
  </si>
  <si>
    <t>R1D: Rotational constants diatomics</t>
  </si>
  <si>
    <t>R1P: Rotational constants polyatomic monomers</t>
  </si>
  <si>
    <t>V1D: Vibrational monomer band centre positions diatomics</t>
  </si>
  <si>
    <t>V1P: Vibrational monomer band centre positions polyatomics</t>
  </si>
  <si>
    <t>R1D: NN</t>
  </si>
  <si>
    <t>R1D: OO</t>
  </si>
  <si>
    <t>R1D: HF</t>
  </si>
  <si>
    <t>R1D: dHF</t>
  </si>
  <si>
    <t>V1D: NN</t>
  </si>
  <si>
    <t>V1D: OO</t>
  </si>
  <si>
    <t>V1D: HF</t>
  </si>
  <si>
    <t>V1D: dHF</t>
  </si>
  <si>
    <t>R1P: FA</t>
  </si>
  <si>
    <t>R1P: tHP</t>
  </si>
  <si>
    <t>V1P: FA</t>
  </si>
  <si>
    <t>V1P: tHP</t>
  </si>
  <si>
    <t>Difference between absolute dissociation energies of dHFHF and HFdHF dimers</t>
  </si>
  <si>
    <t>E2: dHFHF HFdHF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</si>
</sst>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1" fontId="0" fillId="0" borderId="0" xfId="0" applyNumberFormat="1"/>
    <xf numFmtId="1" fontId="0" fillId="3" borderId="0" xfId="0" applyNumberFormat="1" applyFill="1"/>
    <xf numFmtId="164" fontId="0" fillId="3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" fontId="0" fillId="5" borderId="0" xfId="0" applyNumberFormat="1" applyFill="1"/>
    <xf numFmtId="164" fontId="0" fillId="5" borderId="0" xfId="0" applyNumberFormat="1" applyFill="1"/>
    <xf numFmtId="164" fontId="4" fillId="4" borderId="0" xfId="0" applyNumberFormat="1" applyFont="1" applyFill="1"/>
    <xf numFmtId="0" fontId="0" fillId="0" borderId="0" xfId="0" applyFill="1"/>
    <xf numFmtId="1" fontId="0" fillId="6" borderId="0" xfId="0" applyNumberFormat="1" applyFill="1"/>
    <xf numFmtId="0" fontId="0" fillId="7" borderId="0" xfId="0" applyFill="1"/>
    <xf numFmtId="164" fontId="0" fillId="7" borderId="0" xfId="0" applyNumberFormat="1" applyFill="1"/>
    <xf numFmtId="2" fontId="0" fillId="7" borderId="0" xfId="0" applyNumberFormat="1" applyFill="1"/>
    <xf numFmtId="164" fontId="0" fillId="0" borderId="0" xfId="0" applyNumberFormat="1" applyFill="1"/>
    <xf numFmtId="164" fontId="0" fillId="6" borderId="0" xfId="0" applyNumberForma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1" fontId="0" fillId="0" borderId="0" xfId="0" applyNumberFormat="1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164" fontId="0" fillId="13" borderId="0" xfId="0" applyNumberFormat="1" applyFill="1"/>
    <xf numFmtId="164" fontId="0" fillId="11" borderId="0" xfId="0" applyNumberFormat="1" applyFill="1"/>
    <xf numFmtId="164" fontId="0" fillId="12" borderId="0" xfId="0" applyNumberFormat="1" applyFill="1"/>
    <xf numFmtId="164" fontId="0" fillId="9" borderId="0" xfId="0" applyNumberFormat="1" applyFill="1"/>
    <xf numFmtId="164" fontId="0" fillId="10" borderId="0" xfId="0" applyNumberFormat="1" applyFill="1"/>
    <xf numFmtId="164" fontId="0" fillId="14" borderId="0" xfId="0" applyNumberFormat="1" applyFill="1"/>
    <xf numFmtId="164" fontId="0" fillId="15" borderId="0" xfId="0" applyNumberFormat="1" applyFill="1"/>
    <xf numFmtId="0" fontId="0" fillId="0" borderId="0" xfId="0" applyAlignment="1"/>
    <xf numFmtId="0" fontId="0" fillId="6" borderId="0" xfId="0" applyFill="1"/>
    <xf numFmtId="0" fontId="0" fillId="0" borderId="0" xfId="0" applyAlignment="1">
      <alignment wrapText="1"/>
    </xf>
    <xf numFmtId="164" fontId="0" fillId="8" borderId="0" xfId="0" applyNumberFormat="1" applyFill="1"/>
    <xf numFmtId="1" fontId="0" fillId="12" borderId="0" xfId="0" applyNumberFormat="1" applyFill="1"/>
    <xf numFmtId="165" fontId="0" fillId="12" borderId="0" xfId="0" applyNumberFormat="1" applyFill="1"/>
    <xf numFmtId="1" fontId="0" fillId="14" borderId="0" xfId="0" applyNumberFormat="1" applyFill="1"/>
    <xf numFmtId="1" fontId="0" fillId="15" borderId="0" xfId="0" applyNumberFormat="1" applyFill="1"/>
    <xf numFmtId="166" fontId="0" fillId="15" borderId="0" xfId="0" applyNumberFormat="1" applyFill="1"/>
    <xf numFmtId="0" fontId="0" fillId="16" borderId="0" xfId="0" applyFill="1"/>
    <xf numFmtId="164" fontId="0" fillId="16" borderId="0" xfId="0" applyNumberFormat="1" applyFill="1"/>
    <xf numFmtId="1" fontId="0" fillId="0" borderId="0" xfId="0" applyNumberFormat="1" applyFill="1" applyAlignment="1"/>
    <xf numFmtId="1" fontId="0" fillId="13" borderId="0" xfId="0" applyNumberFormat="1" applyFill="1"/>
    <xf numFmtId="1" fontId="0" fillId="11" borderId="0" xfId="0" applyNumberFormat="1" applyFill="1"/>
    <xf numFmtId="1" fontId="0" fillId="9" borderId="0" xfId="0" applyNumberFormat="1" applyFill="1"/>
    <xf numFmtId="1" fontId="0" fillId="10" borderId="0" xfId="0" applyNumberFormat="1" applyFill="1"/>
    <xf numFmtId="1" fontId="0" fillId="8" borderId="0" xfId="0" applyNumberFormat="1" applyFill="1"/>
    <xf numFmtId="1" fontId="0" fillId="16" borderId="0" xfId="0" applyNumberFormat="1" applyFill="1"/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217"/>
  <sheetViews>
    <sheetView tabSelected="1" topLeftCell="E46" zoomScale="90" zoomScaleNormal="90" workbookViewId="0">
      <selection activeCell="O66" sqref="O66:P66"/>
    </sheetView>
  </sheetViews>
  <sheetFormatPr defaultRowHeight="15" x14ac:dyDescent="0.25"/>
  <cols>
    <col min="1" max="1" width="65.85546875" customWidth="1"/>
    <col min="2" max="2" width="5.7109375" customWidth="1"/>
    <col min="3" max="3" width="8.5703125" customWidth="1"/>
    <col min="4" max="4" width="80.85546875" customWidth="1"/>
    <col min="5" max="5" width="44" customWidth="1"/>
    <col min="6" max="6" width="5.7109375" customWidth="1"/>
    <col min="7" max="7" width="7.85546875" customWidth="1"/>
    <col min="8" max="8" width="12.85546875" customWidth="1"/>
    <col min="9" max="9" width="12.140625" customWidth="1"/>
    <col min="10" max="10" width="13.5703125" customWidth="1"/>
    <col min="11" max="11" width="12.7109375" customWidth="1"/>
    <col min="12" max="12" width="12.42578125" customWidth="1"/>
    <col min="13" max="13" width="13.140625" customWidth="1"/>
    <col min="14" max="14" width="24.7109375" style="2" customWidth="1"/>
    <col min="15" max="15" width="34.42578125" style="2" customWidth="1"/>
    <col min="16" max="16" width="28.5703125" style="2" customWidth="1"/>
    <col min="17" max="17" width="45" style="1" customWidth="1"/>
    <col min="18" max="18" width="27.140625" style="1" customWidth="1"/>
    <col min="19" max="19" width="41.42578125" style="1" customWidth="1"/>
    <col min="20" max="20" width="16.140625" style="1" customWidth="1"/>
    <col min="21" max="21" width="23.7109375" customWidth="1"/>
    <col min="22" max="22" width="13.140625" customWidth="1"/>
    <col min="25" max="25" width="45.7109375" customWidth="1"/>
    <col min="26" max="26" width="53.7109375" customWidth="1"/>
    <col min="27" max="27" width="58.5703125" customWidth="1"/>
    <col min="28" max="28" width="34.7109375" customWidth="1"/>
    <col min="29" max="29" width="21.7109375" customWidth="1"/>
    <col min="30" max="30" width="79.5703125" customWidth="1"/>
    <col min="31" max="31" width="21.28515625" customWidth="1"/>
    <col min="32" max="32" width="22" customWidth="1"/>
    <col min="33" max="33" width="13.28515625" customWidth="1"/>
    <col min="34" max="34" width="15.28515625" customWidth="1"/>
    <col min="35" max="35" width="19.140625" customWidth="1"/>
    <col min="36" max="36" width="22.85546875" customWidth="1"/>
    <col min="37" max="37" width="14.28515625" customWidth="1"/>
    <col min="38" max="38" width="16.85546875" customWidth="1"/>
    <col min="39" max="39" width="14.5703125" customWidth="1"/>
  </cols>
  <sheetData>
    <row r="3" spans="1:31" x14ac:dyDescent="0.25">
      <c r="Y3" s="57" t="s">
        <v>256</v>
      </c>
      <c r="Z3" s="57"/>
      <c r="AA3" s="57"/>
      <c r="AB3" s="57"/>
      <c r="AC3" s="57"/>
      <c r="AD3" s="57"/>
      <c r="AE3" s="57"/>
    </row>
    <row r="4" spans="1:31" ht="17.25" x14ac:dyDescent="0.25">
      <c r="K4" s="52" t="s">
        <v>8</v>
      </c>
      <c r="L4" s="52"/>
      <c r="M4" s="52"/>
      <c r="N4" s="52"/>
      <c r="O4" s="52"/>
      <c r="P4" s="52"/>
      <c r="Q4" s="52"/>
      <c r="R4" s="52"/>
      <c r="S4" s="52"/>
      <c r="T4" s="52"/>
    </row>
    <row r="5" spans="1:31" ht="17.25" x14ac:dyDescent="0.25">
      <c r="K5" s="51" t="s">
        <v>7</v>
      </c>
      <c r="L5" s="51"/>
      <c r="M5" s="51"/>
      <c r="N5" s="44"/>
      <c r="O5" s="1"/>
      <c r="P5" s="1"/>
      <c r="R5" s="53" t="s">
        <v>44</v>
      </c>
      <c r="S5" s="53"/>
      <c r="T5" s="53"/>
      <c r="AD5" s="12" t="s">
        <v>28</v>
      </c>
      <c r="AE5" s="12">
        <v>0.2</v>
      </c>
    </row>
    <row r="6" spans="1:31" ht="17.25" x14ac:dyDescent="0.25">
      <c r="C6" t="s">
        <v>42</v>
      </c>
      <c r="D6" s="10" t="s">
        <v>0</v>
      </c>
      <c r="E6" s="10" t="s">
        <v>63</v>
      </c>
      <c r="F6" s="10" t="s">
        <v>1</v>
      </c>
      <c r="G6" s="10" t="s">
        <v>2</v>
      </c>
      <c r="H6" s="5" t="s">
        <v>4</v>
      </c>
      <c r="I6" s="7" t="s">
        <v>5</v>
      </c>
      <c r="J6" s="3" t="s">
        <v>6</v>
      </c>
      <c r="K6" s="6" t="s">
        <v>4</v>
      </c>
      <c r="L6" s="8" t="s">
        <v>5</v>
      </c>
      <c r="M6" s="4" t="s">
        <v>6</v>
      </c>
      <c r="N6" s="10" t="s">
        <v>0</v>
      </c>
      <c r="O6" s="15" t="s">
        <v>11</v>
      </c>
      <c r="P6" t="s">
        <v>53</v>
      </c>
      <c r="Q6" s="15" t="s">
        <v>117</v>
      </c>
      <c r="R6" s="6" t="s">
        <v>4</v>
      </c>
      <c r="S6" s="8" t="s">
        <v>5</v>
      </c>
      <c r="T6" s="4" t="s">
        <v>6</v>
      </c>
      <c r="U6" s="10" t="s">
        <v>0</v>
      </c>
      <c r="Y6" s="56" t="s">
        <v>198</v>
      </c>
      <c r="Z6" s="56"/>
      <c r="AA6" s="56"/>
      <c r="AB6" s="56"/>
      <c r="AC6" s="56"/>
      <c r="AD6" t="s">
        <v>73</v>
      </c>
    </row>
    <row r="7" spans="1:31" ht="18.75" x14ac:dyDescent="0.35">
      <c r="C7">
        <v>1</v>
      </c>
      <c r="D7" s="21" t="s">
        <v>131</v>
      </c>
      <c r="E7" s="2">
        <f>AI67</f>
        <v>59905.75810663779</v>
      </c>
      <c r="F7" s="2">
        <f>AJ67+0.5</f>
        <v>1.0396264244</v>
      </c>
      <c r="G7" t="s">
        <v>9</v>
      </c>
      <c r="H7" s="5">
        <v>60750.533097</v>
      </c>
      <c r="I7" s="11">
        <v>60896.764978200001</v>
      </c>
      <c r="J7" s="3">
        <v>61284.105557800001</v>
      </c>
      <c r="K7" s="6">
        <f>((E7-H7)/F7)*((E7-H7)/F7)</f>
        <v>660278.98813019996</v>
      </c>
      <c r="L7" s="8">
        <f t="shared" ref="L7:L14" si="0">((E7-I7)/F7)*((E7-I7)/F7)</f>
        <v>908654.35554057523</v>
      </c>
      <c r="M7" s="4">
        <f t="shared" ref="M7:M14" si="1">((E7-J7)/F7)*((E7-J7)/F7)</f>
        <v>1757773.0269307054</v>
      </c>
      <c r="N7" s="37" t="s">
        <v>261</v>
      </c>
      <c r="O7" s="1">
        <f t="shared" ref="O7:O27" si="2">(K7+L7+M7)/3</f>
        <v>1108902.123533827</v>
      </c>
      <c r="P7" s="1">
        <f t="shared" ref="P7:P27" si="3">SQRT((K7-(K7+L7+M7)/3)*(K7-(K7+L7+M7)/3)+(L7-(K7+L7+M7)/3)*(L7-(K7+L7+M7)/3)+(M7-(K7+L7+M7)/3)*(M7-(K7+L7+M7)/3))</f>
        <v>813876.732362304</v>
      </c>
      <c r="Q7" s="1">
        <f t="shared" ref="Q7:Q14" si="4">P7/O7</f>
        <v>0.73394821336319382</v>
      </c>
      <c r="R7" s="6">
        <f t="shared" ref="R7:R27" si="5">K7/O7</f>
        <v>0.59543486671847656</v>
      </c>
      <c r="S7" s="16">
        <f t="shared" ref="S7:S27" si="6">L7/O7</f>
        <v>0.81941799574239593</v>
      </c>
      <c r="T7" s="4">
        <f t="shared" ref="T7:T27" si="7">M7/O7</f>
        <v>1.5851471375391271</v>
      </c>
      <c r="U7" s="37" t="s">
        <v>261</v>
      </c>
      <c r="Z7" t="s">
        <v>12</v>
      </c>
      <c r="AA7" t="s">
        <v>71</v>
      </c>
      <c r="AB7" t="s">
        <v>105</v>
      </c>
      <c r="AC7" t="s">
        <v>14</v>
      </c>
      <c r="AD7" t="s">
        <v>14</v>
      </c>
    </row>
    <row r="8" spans="1:31" x14ac:dyDescent="0.25">
      <c r="C8">
        <v>2</v>
      </c>
      <c r="D8" s="21" t="s">
        <v>132</v>
      </c>
      <c r="E8" s="2">
        <f>AI68</f>
        <v>43338.597313395992</v>
      </c>
      <c r="F8" s="2">
        <f>AJ68</f>
        <v>2.6981321220000005</v>
      </c>
      <c r="G8" t="s">
        <v>9</v>
      </c>
      <c r="H8" s="5">
        <v>43609.715785</v>
      </c>
      <c r="I8" s="11">
        <v>44461.199832600003</v>
      </c>
      <c r="J8" s="3">
        <v>44782.178607200003</v>
      </c>
      <c r="K8" s="6">
        <f t="shared" ref="K8:K57" si="8">((E8-H8)/F8)*((E8-H8)/F8)</f>
        <v>10096.986843706707</v>
      </c>
      <c r="L8" s="8">
        <f t="shared" si="0"/>
        <v>173111.37272102211</v>
      </c>
      <c r="M8" s="4">
        <f t="shared" si="1"/>
        <v>286256.96787100338</v>
      </c>
      <c r="N8" s="37" t="s">
        <v>262</v>
      </c>
      <c r="O8" s="1">
        <f t="shared" si="2"/>
        <v>156488.4424785774</v>
      </c>
      <c r="P8" s="1">
        <f t="shared" si="3"/>
        <v>196333.00862378237</v>
      </c>
      <c r="Q8" s="1">
        <f t="shared" si="4"/>
        <v>1.2546166701777961</v>
      </c>
      <c r="R8" s="6">
        <f t="shared" si="5"/>
        <v>6.4522252786105544E-2</v>
      </c>
      <c r="S8" s="16">
        <f t="shared" si="6"/>
        <v>1.1062246513490626</v>
      </c>
      <c r="T8" s="4">
        <f t="shared" si="7"/>
        <v>1.8292530958648319</v>
      </c>
      <c r="U8" s="37" t="s">
        <v>262</v>
      </c>
      <c r="Y8" t="s">
        <v>13</v>
      </c>
      <c r="Z8">
        <v>2329.9117299999998</v>
      </c>
      <c r="AA8">
        <v>2301.2512000000002</v>
      </c>
      <c r="AB8">
        <f>-(Z8-AA8)/2</f>
        <v>-14.330264999999827</v>
      </c>
      <c r="AC8">
        <f>Z8-2*AB8</f>
        <v>2358.5722599999995</v>
      </c>
      <c r="AD8">
        <v>2358.5402399999998</v>
      </c>
    </row>
    <row r="9" spans="1:31" x14ac:dyDescent="0.25">
      <c r="C9">
        <v>3</v>
      </c>
      <c r="D9" s="21" t="s">
        <v>46</v>
      </c>
      <c r="E9" s="22">
        <f>AI69</f>
        <v>628176.48247040948</v>
      </c>
      <c r="F9" s="22">
        <f>AJ69+1</f>
        <v>1.0599584916</v>
      </c>
      <c r="G9" t="s">
        <v>9</v>
      </c>
      <c r="H9" s="5">
        <v>621533.98272870004</v>
      </c>
      <c r="I9" s="11">
        <v>627204.89341779996</v>
      </c>
      <c r="J9" s="3">
        <v>626575.41167449998</v>
      </c>
      <c r="K9" s="6">
        <f t="shared" si="8"/>
        <v>39272213.082602911</v>
      </c>
      <c r="L9" s="8">
        <f t="shared" si="0"/>
        <v>840209.34699521156</v>
      </c>
      <c r="M9" s="4">
        <f t="shared" si="1"/>
        <v>2281620.209291812</v>
      </c>
      <c r="N9" s="37" t="s">
        <v>263</v>
      </c>
      <c r="O9" s="1">
        <f t="shared" si="2"/>
        <v>14131347.546296647</v>
      </c>
      <c r="P9" s="1">
        <f t="shared" si="3"/>
        <v>30808010.525006667</v>
      </c>
      <c r="Q9" s="1">
        <f t="shared" si="4"/>
        <v>2.1801183803649651</v>
      </c>
      <c r="R9" s="6">
        <f t="shared" si="5"/>
        <v>2.7790847938556889</v>
      </c>
      <c r="S9" s="16">
        <f t="shared" si="6"/>
        <v>5.9457128504025951E-2</v>
      </c>
      <c r="T9" s="4">
        <f t="shared" si="7"/>
        <v>0.1614580776402848</v>
      </c>
      <c r="U9" s="37" t="s">
        <v>263</v>
      </c>
      <c r="Y9" t="s">
        <v>1</v>
      </c>
      <c r="Z9">
        <v>6.0000000000000002E-5</v>
      </c>
      <c r="AA9">
        <v>5.0000000000000001E-4</v>
      </c>
      <c r="AB9">
        <f>0.5*(Z9+AA9)</f>
        <v>2.8000000000000003E-4</v>
      </c>
      <c r="AC9">
        <f>Z9+2*AB9</f>
        <v>6.2000000000000011E-4</v>
      </c>
      <c r="AD9">
        <v>3.8999999999999999E-4</v>
      </c>
    </row>
    <row r="10" spans="1:31" x14ac:dyDescent="0.25">
      <c r="C10">
        <v>4</v>
      </c>
      <c r="D10" s="21" t="s">
        <v>133</v>
      </c>
      <c r="E10" s="2">
        <f>AI70</f>
        <v>330026.58824716893</v>
      </c>
      <c r="F10" s="2">
        <f>AJ70+1</f>
        <v>1.0161887927319999</v>
      </c>
      <c r="G10" t="s">
        <v>9</v>
      </c>
      <c r="H10" s="5">
        <v>326648.91330140003</v>
      </c>
      <c r="I10" s="34">
        <v>329629.27618470002</v>
      </c>
      <c r="J10" s="3">
        <v>329298.45030279999</v>
      </c>
      <c r="K10" s="6">
        <f t="shared" si="8"/>
        <v>11048082.360056426</v>
      </c>
      <c r="L10" s="8">
        <f t="shared" si="0"/>
        <v>152867.33670976953</v>
      </c>
      <c r="M10" s="4">
        <f t="shared" si="1"/>
        <v>513426.78893384879</v>
      </c>
      <c r="N10" s="37" t="s">
        <v>264</v>
      </c>
      <c r="O10" s="1">
        <f t="shared" si="2"/>
        <v>3904792.1619000151</v>
      </c>
      <c r="P10" s="1">
        <f t="shared" si="3"/>
        <v>8752422.1700001564</v>
      </c>
      <c r="Q10" s="1">
        <f t="shared" si="4"/>
        <v>2.2414566018134381</v>
      </c>
      <c r="R10" s="6">
        <f t="shared" si="5"/>
        <v>2.8293650217430755</v>
      </c>
      <c r="S10" s="16">
        <f t="shared" si="6"/>
        <v>3.9148648729971459E-2</v>
      </c>
      <c r="T10" s="4">
        <f t="shared" si="7"/>
        <v>0.13148632952695305</v>
      </c>
      <c r="U10" s="37" t="s">
        <v>264</v>
      </c>
      <c r="Y10" t="s">
        <v>65</v>
      </c>
      <c r="Z10" t="s">
        <v>70</v>
      </c>
      <c r="AA10" t="s">
        <v>72</v>
      </c>
      <c r="AD10" t="s">
        <v>74</v>
      </c>
    </row>
    <row r="11" spans="1:31" ht="17.25" x14ac:dyDescent="0.25">
      <c r="A11" t="s">
        <v>161</v>
      </c>
      <c r="C11">
        <v>5</v>
      </c>
      <c r="D11" s="23" t="s">
        <v>128</v>
      </c>
      <c r="E11">
        <f>AC8</f>
        <v>2358.5722599999995</v>
      </c>
      <c r="F11" s="22">
        <f>AC9+1</f>
        <v>1.0006200000000001</v>
      </c>
      <c r="G11" t="s">
        <v>3</v>
      </c>
      <c r="H11" s="5">
        <v>2448.4951000000001</v>
      </c>
      <c r="I11" s="7">
        <v>2480.3732</v>
      </c>
      <c r="J11" s="3">
        <v>2525.2159999999999</v>
      </c>
      <c r="K11" s="6">
        <f t="shared" si="8"/>
        <v>8076.0996856028451</v>
      </c>
      <c r="L11" s="8">
        <f t="shared" si="0"/>
        <v>14817.090097473429</v>
      </c>
      <c r="M11" s="4">
        <f t="shared" si="1"/>
        <v>27735.733110514891</v>
      </c>
      <c r="N11" s="45" t="s">
        <v>265</v>
      </c>
      <c r="O11" s="1">
        <f t="shared" si="2"/>
        <v>16876.307631197054</v>
      </c>
      <c r="P11" s="1">
        <f t="shared" si="3"/>
        <v>14128.381311309222</v>
      </c>
      <c r="Q11" s="1">
        <f t="shared" si="4"/>
        <v>0.83717253916324119</v>
      </c>
      <c r="R11" s="6">
        <f t="shared" si="5"/>
        <v>0.47854660285248657</v>
      </c>
      <c r="S11" s="16">
        <f t="shared" si="6"/>
        <v>0.87798174940133134</v>
      </c>
      <c r="T11" s="4">
        <f t="shared" si="7"/>
        <v>1.6434716477461822</v>
      </c>
      <c r="U11" s="45" t="s">
        <v>265</v>
      </c>
      <c r="Y11" s="56" t="s">
        <v>199</v>
      </c>
      <c r="Z11" s="56"/>
      <c r="AA11" s="56"/>
      <c r="AB11" s="56"/>
      <c r="AC11" s="56"/>
      <c r="AD11" t="s">
        <v>99</v>
      </c>
    </row>
    <row r="12" spans="1:31" ht="18.75" x14ac:dyDescent="0.35">
      <c r="A12" t="s">
        <v>162</v>
      </c>
      <c r="C12">
        <v>6</v>
      </c>
      <c r="D12" s="23" t="s">
        <v>129</v>
      </c>
      <c r="E12">
        <f>AC13</f>
        <v>1579.9125800000002</v>
      </c>
      <c r="F12" s="22">
        <f>AC14+1</f>
        <v>1.0004999999999999</v>
      </c>
      <c r="G12" t="s">
        <v>3</v>
      </c>
      <c r="H12" s="5">
        <v>1634.8829000000001</v>
      </c>
      <c r="I12" s="7">
        <v>1712.6837</v>
      </c>
      <c r="J12" s="3">
        <v>1763.4824000000001</v>
      </c>
      <c r="K12" s="6">
        <f t="shared" si="8"/>
        <v>3018.7166096136234</v>
      </c>
      <c r="L12" s="8">
        <f t="shared" si="0"/>
        <v>17610.555348067464</v>
      </c>
      <c r="M12" s="4">
        <f t="shared" si="1"/>
        <v>33664.206192588244</v>
      </c>
      <c r="N12" s="45" t="s">
        <v>266</v>
      </c>
      <c r="O12" s="1">
        <f t="shared" si="2"/>
        <v>18097.826050089778</v>
      </c>
      <c r="P12" s="1">
        <f t="shared" si="3"/>
        <v>21677.849639567041</v>
      </c>
      <c r="Q12" s="1">
        <f t="shared" si="4"/>
        <v>1.1978151176593668</v>
      </c>
      <c r="R12" s="6">
        <f t="shared" si="5"/>
        <v>0.16679995714726456</v>
      </c>
      <c r="S12" s="16">
        <f t="shared" si="6"/>
        <v>0.97307573292650273</v>
      </c>
      <c r="T12" s="4">
        <f t="shared" si="7"/>
        <v>1.8601243099262326</v>
      </c>
      <c r="U12" s="45" t="s">
        <v>266</v>
      </c>
      <c r="Z12" t="s">
        <v>12</v>
      </c>
      <c r="AA12" t="s">
        <v>71</v>
      </c>
      <c r="AB12" t="s">
        <v>105</v>
      </c>
      <c r="AC12" t="s">
        <v>14</v>
      </c>
      <c r="AD12" t="s">
        <v>14</v>
      </c>
    </row>
    <row r="13" spans="1:31" ht="17.25" x14ac:dyDescent="0.25">
      <c r="A13" t="s">
        <v>163</v>
      </c>
      <c r="C13">
        <v>7</v>
      </c>
      <c r="D13" s="23" t="s">
        <v>43</v>
      </c>
      <c r="E13" s="22">
        <f>AC18</f>
        <v>4133.4737999999998</v>
      </c>
      <c r="F13" s="22">
        <f>AC19+1</f>
        <v>1.002</v>
      </c>
      <c r="G13" t="s">
        <v>3</v>
      </c>
      <c r="H13" s="5">
        <v>4084.6669000000002</v>
      </c>
      <c r="I13" s="11">
        <v>4155.0355</v>
      </c>
      <c r="J13" s="3">
        <v>4173.9759000000004</v>
      </c>
      <c r="K13" s="6">
        <f t="shared" si="8"/>
        <v>2372.6135429838523</v>
      </c>
      <c r="L13" s="8">
        <f t="shared" si="0"/>
        <v>463.05284330541372</v>
      </c>
      <c r="M13" s="4">
        <f t="shared" si="1"/>
        <v>1633.8780566711384</v>
      </c>
      <c r="N13" s="45" t="s">
        <v>267</v>
      </c>
      <c r="O13" s="1">
        <f t="shared" si="2"/>
        <v>1489.8481476534682</v>
      </c>
      <c r="P13" s="1">
        <f t="shared" si="3"/>
        <v>1361.7371093260481</v>
      </c>
      <c r="Q13" s="1">
        <f t="shared" si="4"/>
        <v>0.91401067381988099</v>
      </c>
      <c r="R13" s="6">
        <f t="shared" si="5"/>
        <v>1.5925203831818378</v>
      </c>
      <c r="S13" s="16">
        <f t="shared" si="6"/>
        <v>0.31080539586180539</v>
      </c>
      <c r="T13" s="4">
        <f t="shared" si="7"/>
        <v>1.0966742209563567</v>
      </c>
      <c r="U13" s="45" t="s">
        <v>267</v>
      </c>
      <c r="Y13" t="s">
        <v>13</v>
      </c>
      <c r="Z13">
        <v>1556.3899100000001</v>
      </c>
      <c r="AA13">
        <v>1532.86724</v>
      </c>
      <c r="AB13">
        <f>-(Z13-AA13)/2</f>
        <v>-11.761335000000031</v>
      </c>
      <c r="AC13">
        <f>Z13-2*AB13</f>
        <v>1579.9125800000002</v>
      </c>
      <c r="AD13">
        <v>1580.1610000000001</v>
      </c>
    </row>
    <row r="14" spans="1:31" ht="17.25" x14ac:dyDescent="0.25">
      <c r="A14" t="s">
        <v>164</v>
      </c>
      <c r="C14">
        <v>8</v>
      </c>
      <c r="D14" s="23" t="s">
        <v>130</v>
      </c>
      <c r="E14" s="2">
        <f>AD23</f>
        <v>3000.35</v>
      </c>
      <c r="F14" s="2">
        <f>AD24+1</f>
        <v>1.08</v>
      </c>
      <c r="G14" t="s">
        <v>3</v>
      </c>
      <c r="H14" s="5">
        <v>2961.1801</v>
      </c>
      <c r="I14" s="11">
        <v>3012.1938</v>
      </c>
      <c r="J14" s="3">
        <v>3025.9245999999998</v>
      </c>
      <c r="K14" s="6">
        <f t="shared" si="8"/>
        <v>1315.3987191443671</v>
      </c>
      <c r="L14" s="8">
        <f t="shared" si="0"/>
        <v>120.2637160836783</v>
      </c>
      <c r="M14" s="4">
        <f t="shared" si="1"/>
        <v>560.75117040466034</v>
      </c>
      <c r="N14" s="45" t="s">
        <v>268</v>
      </c>
      <c r="O14" s="1">
        <f t="shared" si="2"/>
        <v>665.47120187756855</v>
      </c>
      <c r="P14" s="1">
        <f t="shared" si="3"/>
        <v>854.7650351166493</v>
      </c>
      <c r="Q14" s="1">
        <f t="shared" si="4"/>
        <v>1.2844508262791912</v>
      </c>
      <c r="R14" s="6">
        <f t="shared" si="5"/>
        <v>1.9766425886395762</v>
      </c>
      <c r="S14" s="16">
        <f t="shared" si="6"/>
        <v>0.18071964007512992</v>
      </c>
      <c r="T14" s="4">
        <f t="shared" si="7"/>
        <v>0.84263777128529405</v>
      </c>
      <c r="U14" s="45" t="s">
        <v>268</v>
      </c>
      <c r="Y14" t="s">
        <v>1</v>
      </c>
      <c r="Z14">
        <v>1.2E-4</v>
      </c>
      <c r="AA14">
        <v>2.5999999999999998E-4</v>
      </c>
      <c r="AB14">
        <f>0.5*(Z14+AA14)</f>
        <v>1.8999999999999998E-4</v>
      </c>
      <c r="AC14">
        <f>Z14+2*AB14</f>
        <v>5.0000000000000001E-4</v>
      </c>
      <c r="AD14">
        <v>8.9999999999999993E-3</v>
      </c>
    </row>
    <row r="15" spans="1:31" ht="16.5" customHeight="1" x14ac:dyDescent="0.25">
      <c r="A15" t="s">
        <v>165</v>
      </c>
      <c r="C15">
        <v>9</v>
      </c>
      <c r="D15" s="24" t="s">
        <v>143</v>
      </c>
      <c r="E15" s="2">
        <f t="shared" ref="E15:E17" si="9">AE71</f>
        <v>77568</v>
      </c>
      <c r="F15" s="2">
        <f t="shared" ref="F15:F17" si="10">AF71</f>
        <v>768</v>
      </c>
      <c r="G15" t="s">
        <v>9</v>
      </c>
      <c r="H15" s="5">
        <v>78201.579315900002</v>
      </c>
      <c r="I15" s="11">
        <v>78513.580251299994</v>
      </c>
      <c r="J15" s="3">
        <v>78197.315071000005</v>
      </c>
      <c r="K15" s="6">
        <f t="shared" si="8"/>
        <v>0.68058056222926644</v>
      </c>
      <c r="L15" s="8">
        <f t="shared" ref="L15:L20" si="11">((E15-I15)/F15)*((E15-I15)/F15)</f>
        <v>1.5159132413203951</v>
      </c>
      <c r="M15" s="4">
        <f t="shared" ref="M15:M20" si="12">((E15-J15)/F15)*((E15-J15)/F15)</f>
        <v>0.67145022682654609</v>
      </c>
      <c r="N15" s="39" t="s">
        <v>269</v>
      </c>
      <c r="O15" s="1">
        <f t="shared" ref="O15:O22" si="13">(K15+L15+M15)/3</f>
        <v>0.95598134345873598</v>
      </c>
      <c r="P15" s="1">
        <f t="shared" ref="P15:P22" si="14">SQRT((K15-(K15+L15+M15)/3)*(K15-(K15+L15+M15)/3)+(L15-(K15+L15+M15)/3)*(L15-(K15+L15+M15)/3)+(M15-(K15+L15+M15)/3)*(M15-(K15+L15+M15)/3))</f>
        <v>0.68580410969658268</v>
      </c>
      <c r="Q15" s="1">
        <f t="shared" ref="Q15:Q20" si="15">P15/O15</f>
        <v>0.71738231544911391</v>
      </c>
      <c r="R15" s="6">
        <f t="shared" ref="R15:R22" si="16">K15/O15</f>
        <v>0.71191824703077278</v>
      </c>
      <c r="S15" s="16">
        <f t="shared" ref="S15:S22" si="17">L15/O15</f>
        <v>1.5857142523679679</v>
      </c>
      <c r="T15" s="4">
        <f t="shared" ref="T15:T22" si="18">M15/O15</f>
        <v>0.70236750060125896</v>
      </c>
      <c r="U15" s="39" t="s">
        <v>269</v>
      </c>
      <c r="Y15" t="s">
        <v>65</v>
      </c>
      <c r="Z15" t="s">
        <v>102</v>
      </c>
      <c r="AA15" t="s">
        <v>102</v>
      </c>
      <c r="AD15" s="35" t="s">
        <v>101</v>
      </c>
    </row>
    <row r="16" spans="1:31" x14ac:dyDescent="0.25">
      <c r="A16" t="s">
        <v>166</v>
      </c>
      <c r="C16">
        <v>10</v>
      </c>
      <c r="D16" s="24" t="s">
        <v>144</v>
      </c>
      <c r="E16" s="2">
        <f t="shared" si="9"/>
        <v>12175.651000000002</v>
      </c>
      <c r="F16" s="2">
        <f t="shared" si="10"/>
        <v>120.55100000000039</v>
      </c>
      <c r="G16" t="s">
        <v>9</v>
      </c>
      <c r="H16" s="5">
        <v>12084.7104058</v>
      </c>
      <c r="I16" s="11">
        <v>12206.458149100001</v>
      </c>
      <c r="J16" s="3">
        <v>12232.080947599999</v>
      </c>
      <c r="K16" s="6">
        <f t="shared" si="8"/>
        <v>0.56908080928655613</v>
      </c>
      <c r="L16" s="8">
        <f t="shared" si="11"/>
        <v>6.5307248457473419E-2</v>
      </c>
      <c r="M16" s="4">
        <f t="shared" si="12"/>
        <v>0.21911780026721286</v>
      </c>
      <c r="N16" s="39" t="s">
        <v>269</v>
      </c>
      <c r="O16" s="1">
        <f t="shared" si="13"/>
        <v>0.28450195267041412</v>
      </c>
      <c r="P16" s="1">
        <f t="shared" si="14"/>
        <v>0.36511166973055559</v>
      </c>
      <c r="Q16" s="1">
        <f t="shared" si="15"/>
        <v>1.2833362523649359</v>
      </c>
      <c r="R16" s="6">
        <f t="shared" si="16"/>
        <v>2.0002703107834798</v>
      </c>
      <c r="S16" s="16">
        <f t="shared" si="17"/>
        <v>0.22954938567022651</v>
      </c>
      <c r="T16" s="4">
        <f t="shared" si="18"/>
        <v>0.77018030354629385</v>
      </c>
      <c r="U16" s="39" t="s">
        <v>269</v>
      </c>
      <c r="Y16" s="56" t="s">
        <v>43</v>
      </c>
      <c r="Z16" s="56"/>
      <c r="AA16" s="56"/>
      <c r="AB16" s="56"/>
      <c r="AC16" s="56"/>
    </row>
    <row r="17" spans="1:30" ht="18.75" x14ac:dyDescent="0.35">
      <c r="A17" t="s">
        <v>167</v>
      </c>
      <c r="C17">
        <v>11</v>
      </c>
      <c r="D17" s="24" t="s">
        <v>145</v>
      </c>
      <c r="E17" s="2">
        <f t="shared" si="9"/>
        <v>10520.16</v>
      </c>
      <c r="F17" s="2">
        <f t="shared" si="10"/>
        <v>104.15999999999985</v>
      </c>
      <c r="G17" t="s">
        <v>9</v>
      </c>
      <c r="H17" s="5">
        <v>10467.186570899999</v>
      </c>
      <c r="I17" s="11">
        <v>10564.068847099999</v>
      </c>
      <c r="J17" s="3">
        <v>10577.4884047</v>
      </c>
      <c r="K17" s="6">
        <f t="shared" si="8"/>
        <v>0.25865104128072314</v>
      </c>
      <c r="L17" s="8">
        <f t="shared" si="11"/>
        <v>0.17770601407440714</v>
      </c>
      <c r="M17" s="4">
        <f t="shared" si="12"/>
        <v>0.30292685141498465</v>
      </c>
      <c r="N17" s="39" t="s">
        <v>269</v>
      </c>
      <c r="O17" s="1">
        <f t="shared" si="13"/>
        <v>0.24642796892337163</v>
      </c>
      <c r="P17" s="1">
        <f t="shared" si="14"/>
        <v>8.9801081836007185E-2</v>
      </c>
      <c r="Q17" s="1">
        <f t="shared" si="15"/>
        <v>0.36441107812697759</v>
      </c>
      <c r="R17" s="6">
        <f t="shared" si="16"/>
        <v>1.0496009946060643</v>
      </c>
      <c r="S17" s="16">
        <f t="shared" si="17"/>
        <v>0.72112761733497055</v>
      </c>
      <c r="T17" s="4">
        <f t="shared" si="18"/>
        <v>1.2292713880589654</v>
      </c>
      <c r="U17" s="39" t="s">
        <v>269</v>
      </c>
      <c r="Z17" t="s">
        <v>12</v>
      </c>
      <c r="AA17" t="s">
        <v>45</v>
      </c>
      <c r="AB17" t="s">
        <v>105</v>
      </c>
      <c r="AC17" t="s">
        <v>14</v>
      </c>
    </row>
    <row r="18" spans="1:30" ht="18" customHeight="1" x14ac:dyDescent="0.25">
      <c r="A18" t="s">
        <v>168</v>
      </c>
      <c r="C18">
        <v>12</v>
      </c>
      <c r="D18" s="24" t="s">
        <v>140</v>
      </c>
      <c r="E18" s="2">
        <f t="shared" ref="E18:F20" si="19">AE80</f>
        <v>2126.1728765999997</v>
      </c>
      <c r="F18" s="2">
        <f t="shared" si="19"/>
        <v>21.051216600000089</v>
      </c>
      <c r="G18" t="s">
        <v>9</v>
      </c>
      <c r="H18" s="5">
        <v>2089.8247541999999</v>
      </c>
      <c r="I18" s="7">
        <v>2115.6586944000001</v>
      </c>
      <c r="J18" s="3">
        <v>2122.1685222999999</v>
      </c>
      <c r="K18" s="6">
        <f t="shared" si="8"/>
        <v>2.9813266624307158</v>
      </c>
      <c r="L18" s="8">
        <f t="shared" si="11"/>
        <v>0.24945751837521082</v>
      </c>
      <c r="M18" s="4">
        <f t="shared" si="12"/>
        <v>3.6183501624717077E-2</v>
      </c>
      <c r="N18" s="39" t="s">
        <v>270</v>
      </c>
      <c r="O18" s="1">
        <f t="shared" si="13"/>
        <v>1.0889892274768813</v>
      </c>
      <c r="P18" s="1">
        <f t="shared" si="14"/>
        <v>2.3225318845393561</v>
      </c>
      <c r="Q18" s="1">
        <f t="shared" si="15"/>
        <v>2.1327409178514229</v>
      </c>
      <c r="R18" s="6">
        <f t="shared" si="16"/>
        <v>2.7377007845506971</v>
      </c>
      <c r="S18" s="16">
        <f t="shared" si="17"/>
        <v>0.2290725308212534</v>
      </c>
      <c r="T18" s="4">
        <f t="shared" si="18"/>
        <v>3.3226684628049029E-2</v>
      </c>
      <c r="U18" s="39" t="s">
        <v>270</v>
      </c>
      <c r="Y18" t="s">
        <v>13</v>
      </c>
      <c r="Z18">
        <v>3961.4229</v>
      </c>
      <c r="AA18">
        <v>7750.7948999999999</v>
      </c>
      <c r="AB18">
        <f>(AA18-2*Z18)/2</f>
        <v>-86.025450000000092</v>
      </c>
      <c r="AC18">
        <f>Z18-2*AB18</f>
        <v>4133.4737999999998</v>
      </c>
    </row>
    <row r="19" spans="1:30" x14ac:dyDescent="0.25">
      <c r="C19">
        <v>13</v>
      </c>
      <c r="D19" s="24" t="s">
        <v>141</v>
      </c>
      <c r="E19" s="2">
        <f t="shared" si="19"/>
        <v>1064.5349802999999</v>
      </c>
      <c r="F19" s="2">
        <f t="shared" si="19"/>
        <v>10.539950299999987</v>
      </c>
      <c r="G19" t="s">
        <v>9</v>
      </c>
      <c r="H19" s="5">
        <v>1042.1770097000001</v>
      </c>
      <c r="I19" s="7">
        <v>1053.0834953000001</v>
      </c>
      <c r="J19" s="3">
        <v>1062.5254582</v>
      </c>
      <c r="K19" s="6">
        <f t="shared" si="8"/>
        <v>4.4997422272366254</v>
      </c>
      <c r="L19" s="8">
        <f t="shared" si="11"/>
        <v>1.1804469953470083</v>
      </c>
      <c r="M19" s="4">
        <f t="shared" si="12"/>
        <v>3.6350337502335683E-2</v>
      </c>
      <c r="N19" s="39" t="s">
        <v>270</v>
      </c>
      <c r="O19" s="1">
        <f t="shared" si="13"/>
        <v>1.9055131866953232</v>
      </c>
      <c r="P19" s="1">
        <f t="shared" si="14"/>
        <v>3.2786453076579427</v>
      </c>
      <c r="Q19" s="1">
        <f t="shared" si="15"/>
        <v>1.7206101382819623</v>
      </c>
      <c r="R19" s="6">
        <f t="shared" si="16"/>
        <v>2.3614332656707555</v>
      </c>
      <c r="S19" s="16">
        <f t="shared" si="17"/>
        <v>0.61949033131291187</v>
      </c>
      <c r="T19" s="4">
        <f t="shared" si="18"/>
        <v>1.9076403016332323E-2</v>
      </c>
      <c r="U19" s="39" t="s">
        <v>270</v>
      </c>
      <c r="Y19" t="s">
        <v>1</v>
      </c>
      <c r="Z19">
        <v>2.5000000000000001E-4</v>
      </c>
      <c r="AA19">
        <v>1.5E-3</v>
      </c>
      <c r="AB19">
        <f>(Z19+AA19)/2</f>
        <v>8.7500000000000002E-4</v>
      </c>
      <c r="AC19">
        <f>Z19+2*AB19</f>
        <v>2E-3</v>
      </c>
    </row>
    <row r="20" spans="1:30" x14ac:dyDescent="0.25">
      <c r="A20" t="s">
        <v>169</v>
      </c>
      <c r="C20">
        <v>14</v>
      </c>
      <c r="D20" s="24" t="s">
        <v>142</v>
      </c>
      <c r="E20" s="2">
        <f t="shared" si="19"/>
        <v>941.66298590000008</v>
      </c>
      <c r="F20" s="2">
        <f t="shared" si="19"/>
        <v>9.3233959000000368</v>
      </c>
      <c r="G20" t="s">
        <v>9</v>
      </c>
      <c r="H20" s="5">
        <v>922.90681610000001</v>
      </c>
      <c r="I20" s="7">
        <v>932.69284700000003</v>
      </c>
      <c r="J20" s="3">
        <v>939.87797590000002</v>
      </c>
      <c r="K20" s="6">
        <f t="shared" si="8"/>
        <v>4.0470638788194115</v>
      </c>
      <c r="L20" s="8">
        <f t="shared" si="11"/>
        <v>0.92565698755338233</v>
      </c>
      <c r="M20" s="4">
        <f t="shared" si="12"/>
        <v>3.6654985728404615E-2</v>
      </c>
      <c r="N20" s="39" t="s">
        <v>270</v>
      </c>
      <c r="O20" s="1">
        <f t="shared" si="13"/>
        <v>1.6697919507003993</v>
      </c>
      <c r="P20" s="1">
        <f t="shared" si="14"/>
        <v>2.9786397919114753</v>
      </c>
      <c r="Q20" s="1">
        <f t="shared" si="15"/>
        <v>1.7838388732572796</v>
      </c>
      <c r="R20" s="6">
        <f t="shared" si="16"/>
        <v>2.4236934889534343</v>
      </c>
      <c r="S20" s="16">
        <f t="shared" si="17"/>
        <v>0.55435468302809388</v>
      </c>
      <c r="T20" s="4">
        <f t="shared" si="18"/>
        <v>2.1951828018472345E-2</v>
      </c>
      <c r="U20" s="39" t="s">
        <v>270</v>
      </c>
      <c r="Y20" t="s">
        <v>65</v>
      </c>
      <c r="Z20" t="s">
        <v>76</v>
      </c>
      <c r="AA20" t="s">
        <v>76</v>
      </c>
    </row>
    <row r="21" spans="1:30" ht="17.25" x14ac:dyDescent="0.25">
      <c r="A21" t="s">
        <v>170</v>
      </c>
      <c r="C21">
        <v>15</v>
      </c>
      <c r="D21" s="20" t="s">
        <v>134</v>
      </c>
      <c r="E21" s="2">
        <f>AC28</f>
        <v>3742</v>
      </c>
      <c r="F21" s="2">
        <f>AC29</f>
        <v>25.2</v>
      </c>
      <c r="G21" t="s">
        <v>3</v>
      </c>
      <c r="H21" s="5">
        <v>3727.1788000000001</v>
      </c>
      <c r="I21" s="7">
        <v>3781.2683999999999</v>
      </c>
      <c r="J21" s="3">
        <v>3800.7597000000001</v>
      </c>
      <c r="K21" s="6">
        <f t="shared" si="8"/>
        <v>0.34591202040815694</v>
      </c>
      <c r="L21" s="8">
        <f t="shared" ref="L21" si="20">((E21-I21)/F21)*((E21-I21)/F21)</f>
        <v>2.4282048982111277</v>
      </c>
      <c r="M21" s="4">
        <f t="shared" ref="M21" si="21">((E21-J21)/F21)*((E21-J21)/F21)</f>
        <v>5.436984038942442</v>
      </c>
      <c r="N21" s="46" t="s">
        <v>271</v>
      </c>
      <c r="O21" s="1">
        <f t="shared" si="13"/>
        <v>2.7370336525205752</v>
      </c>
      <c r="P21" s="1">
        <f t="shared" si="14"/>
        <v>3.6197472215865942</v>
      </c>
      <c r="Q21" s="1">
        <f t="shared" ref="Q21" si="22">P21/O21</f>
        <v>1.3225073861452581</v>
      </c>
      <c r="R21" s="6">
        <f t="shared" si="16"/>
        <v>0.12638208525116285</v>
      </c>
      <c r="S21" s="16">
        <f t="shared" si="17"/>
        <v>0.88716662141693348</v>
      </c>
      <c r="T21" s="4">
        <f t="shared" si="18"/>
        <v>1.9864512933319041</v>
      </c>
      <c r="U21" s="46" t="s">
        <v>271</v>
      </c>
      <c r="Y21" s="56" t="s">
        <v>197</v>
      </c>
      <c r="Z21" s="56"/>
      <c r="AA21" s="56"/>
      <c r="AB21" s="56"/>
      <c r="AC21" s="56"/>
      <c r="AD21" t="s">
        <v>99</v>
      </c>
    </row>
    <row r="22" spans="1:30" ht="18.75" x14ac:dyDescent="0.35">
      <c r="A22" t="s">
        <v>171</v>
      </c>
      <c r="C22">
        <v>16</v>
      </c>
      <c r="D22" s="20" t="s">
        <v>138</v>
      </c>
      <c r="E22" s="2">
        <f>AC53</f>
        <v>3790</v>
      </c>
      <c r="F22" s="2">
        <f>AC54</f>
        <v>24.7</v>
      </c>
      <c r="G22" t="s">
        <v>3</v>
      </c>
      <c r="H22" s="5">
        <v>3788.8930999999998</v>
      </c>
      <c r="I22" s="7">
        <v>3840.0594999999998</v>
      </c>
      <c r="J22" s="3">
        <v>3838.8791000000001</v>
      </c>
      <c r="K22" s="6">
        <f t="shared" si="8"/>
        <v>2.0082735498049378E-3</v>
      </c>
      <c r="L22" s="8">
        <f>((E22-I22)/F22)*((E22-I22)/F22)</f>
        <v>4.1075145310527708</v>
      </c>
      <c r="M22" s="4">
        <f>((E22-J22)/F22)*((E22-J22)/F22)</f>
        <v>3.9160884735203179</v>
      </c>
      <c r="N22" s="46" t="s">
        <v>272</v>
      </c>
      <c r="O22" s="1">
        <f t="shared" si="13"/>
        <v>2.6752037593742979</v>
      </c>
      <c r="P22" s="1">
        <f t="shared" si="14"/>
        <v>3.2767793831596106</v>
      </c>
      <c r="Q22" s="1">
        <f>P22/O22</f>
        <v>1.2248709548486933</v>
      </c>
      <c r="R22" s="6">
        <f t="shared" si="16"/>
        <v>7.5069928515450793E-4</v>
      </c>
      <c r="S22" s="16">
        <f t="shared" si="17"/>
        <v>1.5354024965984181</v>
      </c>
      <c r="T22" s="4">
        <f t="shared" si="18"/>
        <v>1.4638468041164274</v>
      </c>
      <c r="U22" s="46" t="s">
        <v>272</v>
      </c>
      <c r="Z22" t="s">
        <v>12</v>
      </c>
      <c r="AA22" t="s">
        <v>45</v>
      </c>
      <c r="AB22" t="s">
        <v>105</v>
      </c>
      <c r="AC22" t="s">
        <v>14</v>
      </c>
      <c r="AD22" t="s">
        <v>14</v>
      </c>
    </row>
    <row r="23" spans="1:30" x14ac:dyDescent="0.25">
      <c r="A23" t="s">
        <v>172</v>
      </c>
      <c r="C23">
        <v>17</v>
      </c>
      <c r="D23" s="25" t="s">
        <v>146</v>
      </c>
      <c r="E23" s="2">
        <f t="shared" ref="E23:F26" si="23">AE88</f>
        <v>3227.3069340000002</v>
      </c>
      <c r="F23" s="2">
        <f t="shared" si="23"/>
        <v>95.860601999999972</v>
      </c>
      <c r="G23" t="s">
        <v>9</v>
      </c>
      <c r="H23" s="5">
        <v>3400.1049686000001</v>
      </c>
      <c r="I23" s="11">
        <v>3418.8618203000001</v>
      </c>
      <c r="J23" s="3">
        <v>3357.5692542000002</v>
      </c>
      <c r="K23" s="6">
        <f t="shared" si="8"/>
        <v>3.249355982642244</v>
      </c>
      <c r="L23" s="8">
        <f t="shared" ref="L23:L37" si="24">((E23-I23)/F23)*((E23-I23)/F23)</f>
        <v>3.9930630287554236</v>
      </c>
      <c r="M23" s="4">
        <f t="shared" ref="M23:M37" si="25">((E23-J23)/F23)*((E23-J23)/F23)</f>
        <v>1.8465340263936147</v>
      </c>
      <c r="N23" s="40" t="s">
        <v>235</v>
      </c>
      <c r="O23" s="1">
        <f t="shared" si="2"/>
        <v>3.0296510125970944</v>
      </c>
      <c r="P23" s="1">
        <f t="shared" si="3"/>
        <v>1.5414923904398625</v>
      </c>
      <c r="Q23" s="1">
        <f t="shared" ref="Q23:Q37" si="26">P23/O23</f>
        <v>0.5088019656489926</v>
      </c>
      <c r="R23" s="6">
        <f t="shared" si="5"/>
        <v>1.0725182435639058</v>
      </c>
      <c r="S23" s="16">
        <f t="shared" si="6"/>
        <v>1.3179943868625541</v>
      </c>
      <c r="T23" s="4">
        <f t="shared" si="7"/>
        <v>0.60948736957353988</v>
      </c>
      <c r="U23" s="40" t="s">
        <v>235</v>
      </c>
      <c r="Y23" t="s">
        <v>13</v>
      </c>
      <c r="Z23">
        <v>2906.84</v>
      </c>
      <c r="AA23">
        <v>5722.27</v>
      </c>
      <c r="AB23">
        <f>(AA23-2*Z23)/2</f>
        <v>-45.704999999999927</v>
      </c>
      <c r="AC23">
        <f>Z23-2*AB23</f>
        <v>2998.25</v>
      </c>
      <c r="AD23">
        <v>3000.35</v>
      </c>
    </row>
    <row r="24" spans="1:30" x14ac:dyDescent="0.25">
      <c r="A24" t="s">
        <v>176</v>
      </c>
      <c r="C24">
        <v>18</v>
      </c>
      <c r="D24" s="25" t="s">
        <v>149</v>
      </c>
      <c r="E24" s="2">
        <f t="shared" si="23"/>
        <v>977.78140400000007</v>
      </c>
      <c r="F24" s="2">
        <f t="shared" si="23"/>
        <v>29.043012000000033</v>
      </c>
      <c r="G24" t="s">
        <v>9</v>
      </c>
      <c r="H24" s="5">
        <v>958.22480780000001</v>
      </c>
      <c r="I24" s="7">
        <v>969.39196800000002</v>
      </c>
      <c r="J24" s="3">
        <v>972.85806119999995</v>
      </c>
      <c r="K24" s="6">
        <f t="shared" si="8"/>
        <v>0.45342266868663744</v>
      </c>
      <c r="L24" s="8">
        <f t="shared" si="24"/>
        <v>8.3441522943016849E-2</v>
      </c>
      <c r="M24" s="4">
        <f t="shared" si="25"/>
        <v>2.8736696599809427E-2</v>
      </c>
      <c r="N24" s="40" t="s">
        <v>237</v>
      </c>
      <c r="O24" s="1">
        <f t="shared" si="2"/>
        <v>0.18853362940982121</v>
      </c>
      <c r="P24" s="1">
        <f t="shared" si="3"/>
        <v>0.32671947249301236</v>
      </c>
      <c r="Q24" s="1">
        <f t="shared" si="26"/>
        <v>1.7329506333472871</v>
      </c>
      <c r="R24" s="6">
        <f t="shared" si="5"/>
        <v>2.404996233860321</v>
      </c>
      <c r="S24" s="16">
        <f t="shared" si="6"/>
        <v>0.44258164023160823</v>
      </c>
      <c r="T24" s="4">
        <f t="shared" si="7"/>
        <v>0.15242212590807133</v>
      </c>
      <c r="U24" s="40" t="s">
        <v>237</v>
      </c>
      <c r="Y24" t="s">
        <v>1</v>
      </c>
      <c r="Z24">
        <v>0.09</v>
      </c>
      <c r="AA24">
        <v>0.09</v>
      </c>
      <c r="AB24">
        <f>(Z24+AA24)/2</f>
        <v>0.09</v>
      </c>
      <c r="AC24">
        <f>Z24+2*AB24</f>
        <v>0.27</v>
      </c>
      <c r="AD24">
        <v>0.08</v>
      </c>
    </row>
    <row r="25" spans="1:30" x14ac:dyDescent="0.25">
      <c r="C25">
        <v>19</v>
      </c>
      <c r="D25" s="25" t="s">
        <v>150</v>
      </c>
      <c r="E25" s="2">
        <f t="shared" si="23"/>
        <v>741.664311</v>
      </c>
      <c r="F25" s="2">
        <f t="shared" si="23"/>
        <v>22.02963299999999</v>
      </c>
      <c r="G25" t="s">
        <v>9</v>
      </c>
      <c r="H25" s="5">
        <v>742.95441960000005</v>
      </c>
      <c r="I25" s="7">
        <v>740.57168369999999</v>
      </c>
      <c r="J25" s="3">
        <v>758.47449489999997</v>
      </c>
      <c r="K25" s="6">
        <f t="shared" si="8"/>
        <v>3.4295569289027258E-3</v>
      </c>
      <c r="L25" s="8">
        <f t="shared" si="24"/>
        <v>2.4599686395456477E-3</v>
      </c>
      <c r="M25" s="4">
        <f t="shared" si="25"/>
        <v>0.58227803113527787</v>
      </c>
      <c r="N25" s="40" t="s">
        <v>237</v>
      </c>
      <c r="O25" s="1">
        <f t="shared" si="2"/>
        <v>0.19605585223457542</v>
      </c>
      <c r="P25" s="1">
        <f t="shared" si="3"/>
        <v>0.47302412968360796</v>
      </c>
      <c r="Q25" s="1">
        <f t="shared" si="26"/>
        <v>2.4127008925887488</v>
      </c>
      <c r="R25" s="6">
        <f t="shared" si="5"/>
        <v>1.749275469114462E-2</v>
      </c>
      <c r="S25" s="16">
        <f t="shared" si="6"/>
        <v>1.2547284926758336E-2</v>
      </c>
      <c r="T25" s="4">
        <f t="shared" si="7"/>
        <v>2.9699599603820972</v>
      </c>
      <c r="U25" s="40" t="s">
        <v>237</v>
      </c>
      <c r="Y25" t="s">
        <v>65</v>
      </c>
      <c r="Z25" t="s">
        <v>98</v>
      </c>
      <c r="AA25" t="s">
        <v>98</v>
      </c>
      <c r="AD25" t="s">
        <v>98</v>
      </c>
    </row>
    <row r="26" spans="1:30" x14ac:dyDescent="0.25">
      <c r="A26" s="23" t="s">
        <v>259</v>
      </c>
      <c r="C26">
        <v>20</v>
      </c>
      <c r="D26" s="25" t="s">
        <v>151</v>
      </c>
      <c r="E26" s="2">
        <f t="shared" si="23"/>
        <v>538.60037699999998</v>
      </c>
      <c r="F26" s="2">
        <f t="shared" si="23"/>
        <v>15.998031000000026</v>
      </c>
      <c r="G26" t="s">
        <v>9</v>
      </c>
      <c r="H26" s="5">
        <v>535.65909069999998</v>
      </c>
      <c r="I26" s="7">
        <v>535.36613750000004</v>
      </c>
      <c r="J26" s="3">
        <v>548.12346860000002</v>
      </c>
      <c r="K26" s="6">
        <f t="shared" si="8"/>
        <v>3.3801932655045414E-2</v>
      </c>
      <c r="L26" s="8">
        <f t="shared" si="24"/>
        <v>4.0870625630022382E-2</v>
      </c>
      <c r="M26" s="4">
        <f t="shared" si="25"/>
        <v>0.35434218218920172</v>
      </c>
      <c r="N26" s="40" t="s">
        <v>237</v>
      </c>
      <c r="O26" s="1">
        <f t="shared" si="2"/>
        <v>0.14300491349142316</v>
      </c>
      <c r="P26" s="1">
        <f t="shared" si="3"/>
        <v>0.25888249249638878</v>
      </c>
      <c r="Q26" s="1">
        <f t="shared" si="26"/>
        <v>1.8103048781741018</v>
      </c>
      <c r="R26" s="6">
        <f t="shared" si="5"/>
        <v>0.23636902977513924</v>
      </c>
      <c r="S26" s="16">
        <f t="shared" si="6"/>
        <v>0.28579875077141059</v>
      </c>
      <c r="T26" s="4">
        <f t="shared" si="7"/>
        <v>2.4778322194534503</v>
      </c>
      <c r="U26" s="40" t="s">
        <v>237</v>
      </c>
      <c r="Y26" s="54" t="s">
        <v>134</v>
      </c>
      <c r="Z26" s="54"/>
      <c r="AA26" s="54"/>
      <c r="AB26" s="54"/>
      <c r="AC26" s="54"/>
    </row>
    <row r="27" spans="1:30" ht="18.75" x14ac:dyDescent="0.35">
      <c r="A27" s="21" t="s">
        <v>257</v>
      </c>
      <c r="C27">
        <v>21</v>
      </c>
      <c r="D27" s="25" t="s">
        <v>147</v>
      </c>
      <c r="E27" s="2">
        <f>AE93</f>
        <v>6559.95</v>
      </c>
      <c r="F27" s="2">
        <f>AF93</f>
        <v>194.85000000000036</v>
      </c>
      <c r="G27" t="s">
        <v>9</v>
      </c>
      <c r="H27" s="5">
        <v>6890.4265609000004</v>
      </c>
      <c r="I27" s="11">
        <v>6957.1693512000002</v>
      </c>
      <c r="J27" s="3">
        <v>6922.1780513000003</v>
      </c>
      <c r="K27" s="6">
        <f t="shared" si="8"/>
        <v>2.8766068133917551</v>
      </c>
      <c r="L27" s="8">
        <f t="shared" si="24"/>
        <v>4.1558510650468099</v>
      </c>
      <c r="M27" s="4">
        <f t="shared" si="25"/>
        <v>3.4559172794557447</v>
      </c>
      <c r="N27" s="40" t="s">
        <v>234</v>
      </c>
      <c r="O27" s="1">
        <f t="shared" si="2"/>
        <v>3.4961250526314367</v>
      </c>
      <c r="P27" s="1">
        <f t="shared" si="3"/>
        <v>0.90590171941103659</v>
      </c>
      <c r="Q27" s="1">
        <f t="shared" si="26"/>
        <v>0.25911593715138692</v>
      </c>
      <c r="R27" s="6">
        <f t="shared" si="5"/>
        <v>0.8227986041936951</v>
      </c>
      <c r="S27" s="16">
        <f t="shared" si="6"/>
        <v>1.1887020637087382</v>
      </c>
      <c r="T27" s="4">
        <f t="shared" si="7"/>
        <v>0.98849933209756646</v>
      </c>
      <c r="U27" s="40" t="s">
        <v>234</v>
      </c>
      <c r="Z27" t="s">
        <v>12</v>
      </c>
      <c r="AA27" t="s">
        <v>45</v>
      </c>
      <c r="AB27" t="s">
        <v>105</v>
      </c>
      <c r="AC27" t="s">
        <v>14</v>
      </c>
    </row>
    <row r="28" spans="1:30" x14ac:dyDescent="0.25">
      <c r="A28" s="20" t="s">
        <v>260</v>
      </c>
      <c r="C28">
        <v>22</v>
      </c>
      <c r="D28" s="25" t="s">
        <v>148</v>
      </c>
      <c r="E28" s="2">
        <f>AE92</f>
        <v>6308.8367299999991</v>
      </c>
      <c r="F28" s="2">
        <f>AF92</f>
        <v>187.39118999999982</v>
      </c>
      <c r="G28" t="s">
        <v>9</v>
      </c>
      <c r="H28" s="5">
        <v>6642.7467260000003</v>
      </c>
      <c r="I28" s="11">
        <v>6708.7717411000003</v>
      </c>
      <c r="J28" s="3">
        <v>6672.7633236000001</v>
      </c>
      <c r="K28" s="6">
        <f t="shared" si="8"/>
        <v>3.1751226238934129</v>
      </c>
      <c r="L28" s="8">
        <f t="shared" si="24"/>
        <v>4.5549174581565888</v>
      </c>
      <c r="M28" s="4">
        <f t="shared" si="25"/>
        <v>3.7716314334075234</v>
      </c>
      <c r="N28" s="40" t="s">
        <v>236</v>
      </c>
      <c r="O28" s="1">
        <f t="shared" ref="O28:O44" si="27">(K28+L28+M28)/3</f>
        <v>3.8338905051525081</v>
      </c>
      <c r="P28" s="1">
        <f t="shared" ref="P28:P44" si="28">SQRT((K28-(K28+L28+M28)/3)*(K28-(K28+L28+M28)/3)+(L28-(K28+L28+M28)/3)*(L28-(K28+L28+M28)/3)+(M28-(K28+L28+M28)/3)*(M28-(K28+L28+M28)/3))</f>
        <v>0.97863741005108384</v>
      </c>
      <c r="Q28" s="1">
        <f t="shared" si="26"/>
        <v>0.25525961389243029</v>
      </c>
      <c r="R28" s="6">
        <f t="shared" ref="R28:R44" si="29">K28/O28</f>
        <v>0.82817248422359679</v>
      </c>
      <c r="S28" s="16">
        <f t="shared" ref="S28:S44" si="30">L28/O28</f>
        <v>1.1880666524083214</v>
      </c>
      <c r="T28" s="4">
        <f t="shared" ref="T28:T44" si="31">M28/O28</f>
        <v>0.98376086336808199</v>
      </c>
      <c r="U28" s="40" t="s">
        <v>236</v>
      </c>
      <c r="Y28" t="s">
        <v>13</v>
      </c>
      <c r="Z28">
        <v>3570</v>
      </c>
      <c r="AA28">
        <v>6968</v>
      </c>
      <c r="AB28">
        <f>(AA28-2*Z28)/2</f>
        <v>-86</v>
      </c>
      <c r="AC28" s="2">
        <f>Z28-2*AB28</f>
        <v>3742</v>
      </c>
    </row>
    <row r="29" spans="1:30" x14ac:dyDescent="0.25">
      <c r="A29" s="24" t="s">
        <v>258</v>
      </c>
      <c r="C29">
        <v>23</v>
      </c>
      <c r="D29" s="25" t="s">
        <v>158</v>
      </c>
      <c r="E29" s="2">
        <f t="shared" ref="E29:F31" si="32">AE95</f>
        <v>6101.0748137957089</v>
      </c>
      <c r="F29" s="2">
        <f t="shared" si="32"/>
        <v>181.22004397413002</v>
      </c>
      <c r="G29" t="s">
        <v>9</v>
      </c>
      <c r="H29" s="5">
        <v>6071.9268118999998</v>
      </c>
      <c r="I29" s="11">
        <v>6123.9578678999997</v>
      </c>
      <c r="J29" s="3">
        <v>6158.9464672000004</v>
      </c>
      <c r="K29" s="6">
        <f t="shared" si="8"/>
        <v>2.5870517445923086E-2</v>
      </c>
      <c r="L29" s="8">
        <f t="shared" si="24"/>
        <v>1.5944669144450398E-2</v>
      </c>
      <c r="M29" s="4">
        <f t="shared" si="25"/>
        <v>0.101981012139031</v>
      </c>
      <c r="N29" s="40" t="s">
        <v>240</v>
      </c>
      <c r="O29" s="1">
        <f t="shared" si="27"/>
        <v>4.7932066243134834E-2</v>
      </c>
      <c r="P29" s="1">
        <f t="shared" si="28"/>
        <v>6.656721461003301E-2</v>
      </c>
      <c r="Q29" s="1">
        <f t="shared" si="26"/>
        <v>1.38878249630157</v>
      </c>
      <c r="R29" s="6">
        <f t="shared" si="29"/>
        <v>0.53973299032625033</v>
      </c>
      <c r="S29" s="16">
        <f t="shared" si="30"/>
        <v>0.33265140425140977</v>
      </c>
      <c r="T29" s="4">
        <f t="shared" si="31"/>
        <v>2.1276156054223394</v>
      </c>
      <c r="U29" s="40" t="s">
        <v>240</v>
      </c>
      <c r="Y29" t="s">
        <v>1</v>
      </c>
      <c r="Z29">
        <v>2</v>
      </c>
      <c r="AA29">
        <v>2</v>
      </c>
      <c r="AB29">
        <f>0.5*Z29+AA29</f>
        <v>3</v>
      </c>
      <c r="AC29" s="2">
        <f>(Z29+2*AB29)-$AE$5*AB28</f>
        <v>25.2</v>
      </c>
    </row>
    <row r="30" spans="1:30" x14ac:dyDescent="0.25">
      <c r="A30" s="25" t="s">
        <v>109</v>
      </c>
      <c r="C30">
        <v>24</v>
      </c>
      <c r="D30" s="25" t="s">
        <v>159</v>
      </c>
      <c r="E30" s="2">
        <f t="shared" si="32"/>
        <v>2335.1875582930402</v>
      </c>
      <c r="F30" s="2">
        <f t="shared" si="32"/>
        <v>69.362006681971707</v>
      </c>
      <c r="G30" t="s">
        <v>9</v>
      </c>
      <c r="H30" s="5">
        <v>2323.2709743</v>
      </c>
      <c r="I30" s="11">
        <v>2377.9326519000001</v>
      </c>
      <c r="J30" s="3">
        <v>2330.3834062999999</v>
      </c>
      <c r="K30" s="6">
        <f t="shared" si="8"/>
        <v>2.9516187382278028E-2</v>
      </c>
      <c r="L30" s="8">
        <f t="shared" si="24"/>
        <v>0.37977751363108425</v>
      </c>
      <c r="M30" s="4">
        <f t="shared" si="25"/>
        <v>4.7972260144883158E-3</v>
      </c>
      <c r="N30" s="40" t="s">
        <v>240</v>
      </c>
      <c r="O30" s="1">
        <f t="shared" si="27"/>
        <v>0.13803030900928354</v>
      </c>
      <c r="P30" s="1">
        <f t="shared" si="28"/>
        <v>0.29659413335269008</v>
      </c>
      <c r="Q30" s="1">
        <f t="shared" si="26"/>
        <v>2.1487609169428286</v>
      </c>
      <c r="R30" s="6">
        <f t="shared" si="29"/>
        <v>0.21383845036739613</v>
      </c>
      <c r="S30" s="16">
        <f t="shared" si="30"/>
        <v>2.7514066755116913</v>
      </c>
      <c r="T30" s="4">
        <f t="shared" si="31"/>
        <v>3.4754874120912584E-2</v>
      </c>
      <c r="U30" s="40" t="s">
        <v>240</v>
      </c>
      <c r="Y30" t="s">
        <v>65</v>
      </c>
      <c r="Z30" t="s">
        <v>66</v>
      </c>
      <c r="AA30" t="s">
        <v>67</v>
      </c>
    </row>
    <row r="31" spans="1:30" x14ac:dyDescent="0.25">
      <c r="A31" s="18" t="s">
        <v>110</v>
      </c>
      <c r="C31">
        <v>25</v>
      </c>
      <c r="D31" s="25" t="s">
        <v>160</v>
      </c>
      <c r="E31" s="2">
        <f t="shared" si="32"/>
        <v>1677.9288015621553</v>
      </c>
      <c r="F31" s="2">
        <f t="shared" si="32"/>
        <v>49.839469353331424</v>
      </c>
      <c r="G31" t="s">
        <v>9</v>
      </c>
      <c r="H31" s="5">
        <v>1680.3334096000001</v>
      </c>
      <c r="I31" s="11">
        <v>1712.8377905</v>
      </c>
      <c r="J31" s="3">
        <v>1690.6760440999999</v>
      </c>
      <c r="K31" s="6">
        <f t="shared" si="8"/>
        <v>2.3277791269797105E-3</v>
      </c>
      <c r="L31" s="8">
        <f t="shared" si="24"/>
        <v>0.49060020104194174</v>
      </c>
      <c r="M31" s="4">
        <f t="shared" si="25"/>
        <v>6.5416255164145051E-2</v>
      </c>
      <c r="N31" s="40" t="s">
        <v>240</v>
      </c>
      <c r="O31" s="1">
        <f t="shared" si="27"/>
        <v>0.18611474511102219</v>
      </c>
      <c r="P31" s="1">
        <f t="shared" si="28"/>
        <v>0.37557578092115573</v>
      </c>
      <c r="Q31" s="1">
        <f t="shared" si="26"/>
        <v>2.0179797183566257</v>
      </c>
      <c r="R31" s="6">
        <f t="shared" si="29"/>
        <v>1.2507225720300295E-2</v>
      </c>
      <c r="S31" s="16">
        <f t="shared" si="30"/>
        <v>2.6360093110800342</v>
      </c>
      <c r="T31" s="4">
        <f t="shared" si="31"/>
        <v>0.35148346319966528</v>
      </c>
      <c r="U31" s="40" t="s">
        <v>240</v>
      </c>
      <c r="Y31" s="54" t="s">
        <v>135</v>
      </c>
      <c r="Z31" s="54"/>
      <c r="AA31" s="54"/>
      <c r="AB31" s="54"/>
      <c r="AC31" s="54"/>
    </row>
    <row r="32" spans="1:30" ht="18.75" x14ac:dyDescent="0.35">
      <c r="A32" s="19" t="s">
        <v>111</v>
      </c>
      <c r="C32">
        <v>26</v>
      </c>
      <c r="D32" s="25" t="s">
        <v>152</v>
      </c>
      <c r="E32" s="2">
        <f t="shared" ref="E32:F34" si="33">AE104</f>
        <v>489.54607079999994</v>
      </c>
      <c r="F32" s="2">
        <f t="shared" si="33"/>
        <v>14.540972400000015</v>
      </c>
      <c r="G32" t="s">
        <v>9</v>
      </c>
      <c r="H32" s="5">
        <v>479.73080049999999</v>
      </c>
      <c r="I32" s="7">
        <v>485.53320989999997</v>
      </c>
      <c r="J32" s="3">
        <v>488.391841</v>
      </c>
      <c r="K32" s="6">
        <f t="shared" si="8"/>
        <v>0.45563557744890387</v>
      </c>
      <c r="L32" s="8">
        <f t="shared" si="24"/>
        <v>7.615901375539065E-2</v>
      </c>
      <c r="M32" s="4">
        <f t="shared" si="25"/>
        <v>6.3008285933695901E-3</v>
      </c>
      <c r="N32" s="40" t="s">
        <v>238</v>
      </c>
      <c r="O32" s="1">
        <f t="shared" si="27"/>
        <v>0.17936513993255468</v>
      </c>
      <c r="P32" s="1">
        <f t="shared" si="28"/>
        <v>0.34194753250356713</v>
      </c>
      <c r="Q32" s="1">
        <f t="shared" si="26"/>
        <v>1.9064325020577972</v>
      </c>
      <c r="R32" s="6">
        <f t="shared" si="29"/>
        <v>2.5402682908185676</v>
      </c>
      <c r="S32" s="16">
        <f t="shared" si="30"/>
        <v>0.42460320764686021</v>
      </c>
      <c r="T32" s="4">
        <f t="shared" si="31"/>
        <v>3.5128501534572677E-2</v>
      </c>
      <c r="U32" s="40" t="s">
        <v>238</v>
      </c>
      <c r="Z32" t="s">
        <v>12</v>
      </c>
      <c r="AA32" t="s">
        <v>45</v>
      </c>
      <c r="AB32" t="s">
        <v>105</v>
      </c>
      <c r="AC32" t="s">
        <v>14</v>
      </c>
    </row>
    <row r="33" spans="1:29" x14ac:dyDescent="0.25">
      <c r="A33" s="17" t="s">
        <v>112</v>
      </c>
      <c r="C33">
        <v>27</v>
      </c>
      <c r="D33" s="25" t="s">
        <v>153</v>
      </c>
      <c r="E33" s="2">
        <f t="shared" si="33"/>
        <v>208.72787159000001</v>
      </c>
      <c r="F33" s="2">
        <f t="shared" si="33"/>
        <v>6.199837770000002</v>
      </c>
      <c r="G33" t="s">
        <v>9</v>
      </c>
      <c r="H33" s="5">
        <v>206.1230611</v>
      </c>
      <c r="I33" s="7">
        <v>204.54610270000001</v>
      </c>
      <c r="J33" s="3">
        <v>211.83774070000001</v>
      </c>
      <c r="K33" s="6">
        <f t="shared" si="8"/>
        <v>0.17651906293169403</v>
      </c>
      <c r="L33" s="8">
        <f t="shared" si="24"/>
        <v>0.45494553146427075</v>
      </c>
      <c r="M33" s="4">
        <f t="shared" si="25"/>
        <v>0.25160749275302496</v>
      </c>
      <c r="N33" s="40" t="s">
        <v>238</v>
      </c>
      <c r="O33" s="1">
        <f t="shared" si="27"/>
        <v>0.29435736238299659</v>
      </c>
      <c r="P33" s="1">
        <f t="shared" si="28"/>
        <v>0.20372033825769661</v>
      </c>
      <c r="Q33" s="1">
        <f t="shared" si="26"/>
        <v>0.69208507851972934</v>
      </c>
      <c r="R33" s="6">
        <f t="shared" si="29"/>
        <v>0.59967605872898178</v>
      </c>
      <c r="S33" s="16">
        <f t="shared" si="30"/>
        <v>1.5455551299319241</v>
      </c>
      <c r="T33" s="4">
        <f t="shared" si="31"/>
        <v>0.8547688113390941</v>
      </c>
      <c r="U33" s="40" t="s">
        <v>238</v>
      </c>
      <c r="Y33" t="s">
        <v>13</v>
      </c>
      <c r="Z33">
        <v>2631</v>
      </c>
      <c r="AA33">
        <v>5181</v>
      </c>
      <c r="AB33">
        <f>(AA33-2*Z33)/2</f>
        <v>-40.5</v>
      </c>
      <c r="AC33" s="2">
        <f>Z33-2*AB33</f>
        <v>2712</v>
      </c>
    </row>
    <row r="34" spans="1:29" x14ac:dyDescent="0.25">
      <c r="A34" s="42" t="s">
        <v>113</v>
      </c>
      <c r="C34">
        <v>28</v>
      </c>
      <c r="D34" s="25" t="s">
        <v>154</v>
      </c>
      <c r="E34" s="2">
        <f t="shared" si="33"/>
        <v>172.30172769999999</v>
      </c>
      <c r="F34" s="2">
        <f t="shared" si="33"/>
        <v>5.1178730999999971</v>
      </c>
      <c r="G34" t="s">
        <v>9</v>
      </c>
      <c r="H34" s="5">
        <v>169.8101695</v>
      </c>
      <c r="I34" s="7">
        <v>168.8706747</v>
      </c>
      <c r="J34" s="3">
        <v>174.4499093</v>
      </c>
      <c r="K34" s="6">
        <f t="shared" si="8"/>
        <v>0.23700802221773792</v>
      </c>
      <c r="L34" s="8">
        <f t="shared" si="24"/>
        <v>0.44944424846230407</v>
      </c>
      <c r="M34" s="4">
        <f t="shared" si="25"/>
        <v>0.17618257714339183</v>
      </c>
      <c r="N34" s="40" t="s">
        <v>238</v>
      </c>
      <c r="O34" s="1">
        <f t="shared" si="27"/>
        <v>0.28754494927447793</v>
      </c>
      <c r="P34" s="1">
        <f t="shared" si="28"/>
        <v>0.20289638242341831</v>
      </c>
      <c r="Q34" s="1">
        <f t="shared" si="26"/>
        <v>0.70561622777711264</v>
      </c>
      <c r="R34" s="6">
        <f t="shared" si="29"/>
        <v>0.82424686232794975</v>
      </c>
      <c r="S34" s="16">
        <f t="shared" si="30"/>
        <v>1.5630399685208314</v>
      </c>
      <c r="T34" s="4">
        <f t="shared" si="31"/>
        <v>0.61271316915121876</v>
      </c>
      <c r="U34" s="40" t="s">
        <v>238</v>
      </c>
      <c r="Y34" t="s">
        <v>1</v>
      </c>
      <c r="Z34">
        <v>2</v>
      </c>
      <c r="AA34">
        <v>10</v>
      </c>
      <c r="AB34">
        <f>0.5*Z34+AA34</f>
        <v>11</v>
      </c>
      <c r="AC34" s="2">
        <f>(Z34+2*AB34)-$AE$5*AB33</f>
        <v>32.1</v>
      </c>
    </row>
    <row r="35" spans="1:29" x14ac:dyDescent="0.25">
      <c r="C35">
        <v>29</v>
      </c>
      <c r="D35" s="25" t="s">
        <v>155</v>
      </c>
      <c r="E35" s="2">
        <f t="shared" ref="E35:F37" si="34">AE110</f>
        <v>139.33193409999998</v>
      </c>
      <c r="F35" s="2">
        <f t="shared" si="34"/>
        <v>4.1385722999999928</v>
      </c>
      <c r="G35" t="s">
        <v>9</v>
      </c>
      <c r="H35" s="5">
        <v>138.25665280000001</v>
      </c>
      <c r="I35" s="11">
        <v>138.9639531</v>
      </c>
      <c r="J35" s="3">
        <v>143.39690279999999</v>
      </c>
      <c r="K35" s="6">
        <f t="shared" si="8"/>
        <v>6.7506111595803497E-2</v>
      </c>
      <c r="L35" s="8">
        <f t="shared" si="24"/>
        <v>7.9058705195068513E-3</v>
      </c>
      <c r="M35" s="4">
        <f t="shared" si="25"/>
        <v>0.96474673738842931</v>
      </c>
      <c r="N35" s="40" t="s">
        <v>239</v>
      </c>
      <c r="O35" s="1">
        <f t="shared" si="27"/>
        <v>0.34671957316791319</v>
      </c>
      <c r="P35" s="1">
        <f t="shared" si="28"/>
        <v>0.75809792107606755</v>
      </c>
      <c r="Q35" s="1">
        <f t="shared" si="26"/>
        <v>2.1864872356338751</v>
      </c>
      <c r="R35" s="6">
        <f t="shared" si="29"/>
        <v>0.19469945402566266</v>
      </c>
      <c r="S35" s="16">
        <f t="shared" si="30"/>
        <v>2.2801915817074764E-2</v>
      </c>
      <c r="T35" s="4">
        <f t="shared" si="31"/>
        <v>2.7824986301572627</v>
      </c>
      <c r="U35" s="40" t="s">
        <v>239</v>
      </c>
      <c r="Y35" t="s">
        <v>65</v>
      </c>
      <c r="Z35" t="s">
        <v>66</v>
      </c>
      <c r="AA35" t="s">
        <v>75</v>
      </c>
    </row>
    <row r="36" spans="1:29" ht="18" customHeight="1" x14ac:dyDescent="0.25">
      <c r="C36">
        <v>30</v>
      </c>
      <c r="D36" s="25" t="s">
        <v>156</v>
      </c>
      <c r="E36" s="2">
        <f t="shared" si="34"/>
        <v>130.11642139999998</v>
      </c>
      <c r="F36" s="2">
        <f t="shared" si="34"/>
        <v>3.8648442000000074</v>
      </c>
      <c r="G36" t="s">
        <v>9</v>
      </c>
      <c r="H36" s="5">
        <v>127.908293</v>
      </c>
      <c r="I36" s="11">
        <v>127.4769352</v>
      </c>
      <c r="J36" s="3">
        <v>131.0122485</v>
      </c>
      <c r="K36" s="6">
        <f t="shared" si="8"/>
        <v>0.32642594075412795</v>
      </c>
      <c r="L36" s="8">
        <f t="shared" si="24"/>
        <v>0.46641747001976419</v>
      </c>
      <c r="M36" s="4">
        <f t="shared" si="25"/>
        <v>5.3725987915180455E-2</v>
      </c>
      <c r="N36" s="40" t="s">
        <v>239</v>
      </c>
      <c r="O36" s="1">
        <f t="shared" si="27"/>
        <v>0.2821897995630242</v>
      </c>
      <c r="P36" s="1">
        <f t="shared" si="28"/>
        <v>0.29680361180763598</v>
      </c>
      <c r="Q36" s="1">
        <f t="shared" si="26"/>
        <v>1.0517871739773781</v>
      </c>
      <c r="R36" s="6">
        <f t="shared" si="29"/>
        <v>1.1567602417224301</v>
      </c>
      <c r="S36" s="16">
        <f t="shared" si="30"/>
        <v>1.6528502119567035</v>
      </c>
      <c r="T36" s="4">
        <f t="shared" si="31"/>
        <v>0.1903895463208666</v>
      </c>
      <c r="U36" s="40" t="s">
        <v>239</v>
      </c>
      <c r="Y36" s="54" t="s">
        <v>136</v>
      </c>
      <c r="Z36" s="54"/>
      <c r="AA36" s="54"/>
      <c r="AB36" s="54"/>
      <c r="AC36" s="54"/>
    </row>
    <row r="37" spans="1:29" ht="18.75" x14ac:dyDescent="0.35">
      <c r="C37">
        <v>31</v>
      </c>
      <c r="D37" s="25" t="s">
        <v>157</v>
      </c>
      <c r="E37" s="2">
        <f t="shared" si="34"/>
        <v>79.797170999999992</v>
      </c>
      <c r="F37" s="2">
        <f t="shared" si="34"/>
        <v>2.3702129999999997</v>
      </c>
      <c r="G37" t="s">
        <v>9</v>
      </c>
      <c r="H37" s="5">
        <v>79.138688999999999</v>
      </c>
      <c r="I37" s="11">
        <v>79.164381800000001</v>
      </c>
      <c r="J37" s="3">
        <v>80.258318700000004</v>
      </c>
      <c r="K37" s="6">
        <f t="shared" si="8"/>
        <v>7.7181473208239995E-2</v>
      </c>
      <c r="L37" s="8">
        <f t="shared" si="24"/>
        <v>7.1276007534437164E-2</v>
      </c>
      <c r="M37" s="4">
        <f t="shared" si="25"/>
        <v>3.7853439069375522E-2</v>
      </c>
      <c r="N37" s="40" t="s">
        <v>239</v>
      </c>
      <c r="O37" s="1">
        <f t="shared" si="27"/>
        <v>6.21036399373509E-2</v>
      </c>
      <c r="P37" s="1">
        <f t="shared" si="28"/>
        <v>2.9992426137576165E-2</v>
      </c>
      <c r="Q37" s="1">
        <f t="shared" si="26"/>
        <v>0.4829415178857796</v>
      </c>
      <c r="R37" s="6">
        <f t="shared" si="29"/>
        <v>1.2427850168862784</v>
      </c>
      <c r="S37" s="16">
        <f t="shared" si="30"/>
        <v>1.1476945249318589</v>
      </c>
      <c r="T37" s="4">
        <f t="shared" si="31"/>
        <v>0.60952045818186229</v>
      </c>
      <c r="U37" s="40" t="s">
        <v>239</v>
      </c>
      <c r="Z37" t="s">
        <v>12</v>
      </c>
      <c r="AA37" t="s">
        <v>45</v>
      </c>
      <c r="AB37" t="s">
        <v>105</v>
      </c>
      <c r="AC37" t="s">
        <v>14</v>
      </c>
    </row>
    <row r="38" spans="1:29" ht="17.25" x14ac:dyDescent="0.25">
      <c r="C38">
        <v>32</v>
      </c>
      <c r="D38" s="18" t="s">
        <v>173</v>
      </c>
      <c r="E38" s="22">
        <f>AA119</f>
        <v>43.179499999999997</v>
      </c>
      <c r="F38" s="22">
        <f>AB119</f>
        <v>21.589949999999998</v>
      </c>
      <c r="G38" t="s">
        <v>3</v>
      </c>
      <c r="H38" s="5">
        <f>H13-3992.2118</f>
        <v>92.45510000000013</v>
      </c>
      <c r="I38" s="11">
        <f>I13-4053.0323</f>
        <v>102.00320000000011</v>
      </c>
      <c r="J38" s="3">
        <f>J13-4107.5599</f>
        <v>66.416000000000167</v>
      </c>
      <c r="K38" s="6">
        <f t="shared" si="8"/>
        <v>5.2090745049243896</v>
      </c>
      <c r="L38" s="8">
        <f t="shared" ref="L38" si="35">((E38-I38)/F38)*((E38-I38)/F38)</f>
        <v>7.4233750523476116</v>
      </c>
      <c r="M38" s="4">
        <f t="shared" ref="M38" si="36">((E38-J38)/F38)*((E38-J38)/F38)</f>
        <v>1.1583455988069802</v>
      </c>
      <c r="N38" s="47" t="s">
        <v>241</v>
      </c>
      <c r="O38" s="1">
        <f t="shared" si="27"/>
        <v>4.5969317186929937</v>
      </c>
      <c r="P38" s="1">
        <f t="shared" si="28"/>
        <v>4.4930363022090658</v>
      </c>
      <c r="Q38" s="1">
        <f t="shared" ref="Q38" si="37">P38/O38</f>
        <v>0.97739896460470643</v>
      </c>
      <c r="R38" s="6">
        <f t="shared" si="29"/>
        <v>1.133163341048155</v>
      </c>
      <c r="S38" s="16">
        <f t="shared" si="30"/>
        <v>1.6148543216687665</v>
      </c>
      <c r="T38" s="4">
        <f t="shared" si="31"/>
        <v>0.25198233728307862</v>
      </c>
      <c r="U38" s="47" t="s">
        <v>241</v>
      </c>
      <c r="Y38" t="s">
        <v>13</v>
      </c>
      <c r="Z38">
        <v>3585</v>
      </c>
      <c r="AA38">
        <v>6991</v>
      </c>
      <c r="AB38">
        <f>(AA38-2*Z38)/2</f>
        <v>-89.5</v>
      </c>
      <c r="AC38" s="2">
        <f>Z38-2*AB38</f>
        <v>3764</v>
      </c>
    </row>
    <row r="39" spans="1:29" ht="17.25" x14ac:dyDescent="0.25">
      <c r="C39">
        <v>33</v>
      </c>
      <c r="D39" s="18" t="s">
        <v>184</v>
      </c>
      <c r="E39" s="2">
        <f>AA122</f>
        <v>17</v>
      </c>
      <c r="F39" s="2">
        <f>AB122</f>
        <v>12.5</v>
      </c>
      <c r="G39" t="s">
        <v>3</v>
      </c>
      <c r="H39" s="5">
        <f>H21-3690.3211</f>
        <v>36.857700000000023</v>
      </c>
      <c r="I39" s="7">
        <f>I21-3735.5639</f>
        <v>45.704499999999825</v>
      </c>
      <c r="J39" s="3">
        <f>J21-3773.4397</f>
        <v>27.320000000000164</v>
      </c>
      <c r="K39" s="6">
        <f t="shared" si="8"/>
        <v>2.5237007954560058</v>
      </c>
      <c r="L39" s="8">
        <f t="shared" ref="L39:L47" si="38">((E39-I39)/F39)*((E39-I39)/F39)</f>
        <v>5.2732692495999363</v>
      </c>
      <c r="M39" s="4">
        <f t="shared" ref="M39:M47" si="39">((E39-J39)/F39)*((E39-J39)/F39)</f>
        <v>0.68161536000002165</v>
      </c>
      <c r="N39" s="47" t="s">
        <v>245</v>
      </c>
      <c r="O39" s="1">
        <f t="shared" si="27"/>
        <v>2.8261951350186543</v>
      </c>
      <c r="P39" s="1">
        <f t="shared" si="28"/>
        <v>3.2678581608050523</v>
      </c>
      <c r="Q39" s="1">
        <f t="shared" ref="Q39:Q47" si="40">P39/O39</f>
        <v>1.156274780999325</v>
      </c>
      <c r="R39" s="6">
        <f t="shared" si="29"/>
        <v>0.89296763842859994</v>
      </c>
      <c r="S39" s="16">
        <f t="shared" si="30"/>
        <v>1.8658546199659813</v>
      </c>
      <c r="T39" s="4">
        <f t="shared" si="31"/>
        <v>0.24117774160541913</v>
      </c>
      <c r="U39" s="47" t="s">
        <v>245</v>
      </c>
      <c r="Y39" t="s">
        <v>1</v>
      </c>
      <c r="Z39">
        <v>4</v>
      </c>
      <c r="AA39">
        <v>3</v>
      </c>
      <c r="AB39">
        <f>0.5*Z39+AA39</f>
        <v>5</v>
      </c>
      <c r="AC39" s="2">
        <f>(Z39+2*AB39)-$AE$5*AB38</f>
        <v>31.900000000000002</v>
      </c>
    </row>
    <row r="40" spans="1:29" ht="17.25" x14ac:dyDescent="0.25">
      <c r="C40">
        <v>34</v>
      </c>
      <c r="D40" s="18" t="s">
        <v>185</v>
      </c>
      <c r="E40" s="2">
        <f>AA134</f>
        <v>18</v>
      </c>
      <c r="F40" s="2">
        <f>AB134</f>
        <v>13</v>
      </c>
      <c r="G40" t="s">
        <v>3</v>
      </c>
      <c r="H40" s="5">
        <f>H22-3753.4537</f>
        <v>35.43939999999975</v>
      </c>
      <c r="I40" s="7">
        <f>I22-3798.2681</f>
        <v>41.791400000000067</v>
      </c>
      <c r="J40" s="3">
        <f>J22-3808.2337</f>
        <v>30.645399999999881</v>
      </c>
      <c r="K40" s="6">
        <f t="shared" si="8"/>
        <v>1.7996016115975815</v>
      </c>
      <c r="L40" s="8">
        <f t="shared" si="38"/>
        <v>3.3492941654438062</v>
      </c>
      <c r="M40" s="4">
        <f t="shared" si="39"/>
        <v>0.94619018437868052</v>
      </c>
      <c r="N40" s="47" t="s">
        <v>246</v>
      </c>
      <c r="O40" s="1">
        <f t="shared" si="27"/>
        <v>2.0316953204733559</v>
      </c>
      <c r="P40" s="1">
        <f t="shared" si="28"/>
        <v>1.7228626197277301</v>
      </c>
      <c r="Q40" s="1">
        <f t="shared" si="40"/>
        <v>0.84799261108025181</v>
      </c>
      <c r="R40" s="6">
        <f t="shared" si="29"/>
        <v>0.885763526382637</v>
      </c>
      <c r="S40" s="16">
        <f t="shared" si="30"/>
        <v>1.6485218682609697</v>
      </c>
      <c r="T40" s="4">
        <f t="shared" si="31"/>
        <v>0.46571460535639359</v>
      </c>
      <c r="U40" s="47" t="s">
        <v>246</v>
      </c>
      <c r="Y40" t="s">
        <v>65</v>
      </c>
      <c r="Z40" t="s">
        <v>66</v>
      </c>
      <c r="AA40" t="s">
        <v>68</v>
      </c>
    </row>
    <row r="41" spans="1:29" ht="17.25" x14ac:dyDescent="0.25">
      <c r="C41">
        <v>35</v>
      </c>
      <c r="D41" s="18" t="s">
        <v>186</v>
      </c>
      <c r="E41" s="2">
        <f>AA137</f>
        <v>10</v>
      </c>
      <c r="F41" s="2">
        <f>AB137</f>
        <v>9</v>
      </c>
      <c r="G41" t="s">
        <v>3</v>
      </c>
      <c r="H41" s="5">
        <f>H21-3703.1444</f>
        <v>24.034400000000005</v>
      </c>
      <c r="I41" s="7">
        <f>I21-3755.742</f>
        <v>25.52639999999974</v>
      </c>
      <c r="J41" s="3">
        <f>J21-3784.903</f>
        <v>15.856700000000274</v>
      </c>
      <c r="K41" s="6">
        <f t="shared" si="8"/>
        <v>2.4316590538271625</v>
      </c>
      <c r="L41" s="8">
        <f t="shared" si="38"/>
        <v>2.9761616908640978</v>
      </c>
      <c r="M41" s="4">
        <f t="shared" si="39"/>
        <v>0.42346833197534828</v>
      </c>
      <c r="N41" s="47" t="s">
        <v>247</v>
      </c>
      <c r="O41" s="1">
        <f t="shared" si="27"/>
        <v>1.9437630255555363</v>
      </c>
      <c r="P41" s="1">
        <f t="shared" si="28"/>
        <v>1.901364113961922</v>
      </c>
      <c r="Q41" s="1">
        <f t="shared" si="40"/>
        <v>0.97818720130171399</v>
      </c>
      <c r="R41" s="6">
        <f t="shared" si="29"/>
        <v>1.2510059209157882</v>
      </c>
      <c r="S41" s="16">
        <f t="shared" si="30"/>
        <v>1.5311340177455517</v>
      </c>
      <c r="T41" s="4">
        <f t="shared" si="31"/>
        <v>0.2178600613386599</v>
      </c>
      <c r="U41" s="47" t="s">
        <v>247</v>
      </c>
      <c r="Y41" s="54" t="s">
        <v>137</v>
      </c>
      <c r="Z41" s="54"/>
      <c r="AA41" s="54"/>
      <c r="AB41" s="54"/>
      <c r="AC41" s="54"/>
    </row>
    <row r="42" spans="1:29" ht="18.75" x14ac:dyDescent="0.35">
      <c r="C42">
        <v>36</v>
      </c>
      <c r="D42" s="18" t="s">
        <v>187</v>
      </c>
      <c r="E42" s="2">
        <f>AA143</f>
        <v>9</v>
      </c>
      <c r="F42" s="2">
        <f>AB143</f>
        <v>8.5</v>
      </c>
      <c r="G42" t="s">
        <v>3</v>
      </c>
      <c r="H42" s="5">
        <f>H22-3765.3345</f>
        <v>23.558599999999842</v>
      </c>
      <c r="I42" s="7">
        <f>I22-3816.7062</f>
        <v>23.353299999999763</v>
      </c>
      <c r="J42" s="3">
        <f>J22-3819.1404</f>
        <v>19.738699999999881</v>
      </c>
      <c r="K42" s="6">
        <f t="shared" si="8"/>
        <v>2.9336032382006283</v>
      </c>
      <c r="L42" s="8">
        <f t="shared" si="38"/>
        <v>2.8514494240829511</v>
      </c>
      <c r="M42" s="4">
        <f t="shared" si="39"/>
        <v>1.5961201064359509</v>
      </c>
      <c r="N42" s="47" t="s">
        <v>248</v>
      </c>
      <c r="O42" s="1">
        <f t="shared" si="27"/>
        <v>2.4603909229065102</v>
      </c>
      <c r="P42" s="1">
        <f t="shared" si="28"/>
        <v>1.0601040943657709</v>
      </c>
      <c r="Q42" s="1">
        <f t="shared" si="40"/>
        <v>0.43086815371333276</v>
      </c>
      <c r="R42" s="6">
        <f t="shared" si="29"/>
        <v>1.192332165953166</v>
      </c>
      <c r="S42" s="16">
        <f t="shared" si="30"/>
        <v>1.1589416127070065</v>
      </c>
      <c r="T42" s="4">
        <f t="shared" si="31"/>
        <v>0.64872622133982738</v>
      </c>
      <c r="U42" s="47" t="s">
        <v>248</v>
      </c>
      <c r="Z42" t="s">
        <v>12</v>
      </c>
      <c r="AA42" t="s">
        <v>45</v>
      </c>
      <c r="AB42" t="s">
        <v>105</v>
      </c>
      <c r="AC42" t="s">
        <v>14</v>
      </c>
    </row>
    <row r="43" spans="1:29" ht="17.25" x14ac:dyDescent="0.25">
      <c r="C43">
        <v>37</v>
      </c>
      <c r="D43" s="18" t="s">
        <v>174</v>
      </c>
      <c r="E43" s="22">
        <f>AA146</f>
        <v>32.422900000000027</v>
      </c>
      <c r="F43" s="22">
        <f>AB146</f>
        <v>18.211450000000013</v>
      </c>
      <c r="G43" t="s">
        <v>3</v>
      </c>
      <c r="H43" s="5">
        <f>H13-4041.5097</f>
        <v>43.157200000000103</v>
      </c>
      <c r="I43" s="11">
        <f>I13-4110.0367</f>
        <v>44.998800000000301</v>
      </c>
      <c r="J43" s="3">
        <f>J13-4129.1285</f>
        <v>44.847400000000562</v>
      </c>
      <c r="K43" s="6">
        <f t="shared" si="8"/>
        <v>0.34742287174709474</v>
      </c>
      <c r="L43" s="8">
        <f t="shared" si="38"/>
        <v>0.47685802863046239</v>
      </c>
      <c r="M43" s="4">
        <f t="shared" si="39"/>
        <v>0.46544545004914706</v>
      </c>
      <c r="N43" s="47" t="s">
        <v>242</v>
      </c>
      <c r="O43" s="1">
        <f t="shared" si="27"/>
        <v>0.42990878347556799</v>
      </c>
      <c r="P43" s="1">
        <f t="shared" si="28"/>
        <v>0.10134600103335892</v>
      </c>
      <c r="Q43" s="1">
        <f t="shared" si="40"/>
        <v>0.23573838202149336</v>
      </c>
      <c r="R43" s="6">
        <f t="shared" si="29"/>
        <v>0.80813159698291914</v>
      </c>
      <c r="S43" s="16">
        <f t="shared" si="30"/>
        <v>1.1092074573944186</v>
      </c>
      <c r="T43" s="4">
        <f t="shared" si="31"/>
        <v>1.0826609456226628</v>
      </c>
      <c r="U43" s="47" t="s">
        <v>242</v>
      </c>
      <c r="Y43" t="s">
        <v>13</v>
      </c>
      <c r="Z43">
        <v>2644</v>
      </c>
      <c r="AA43">
        <v>5195</v>
      </c>
      <c r="AB43">
        <f>(AA43-2*Z43)/2</f>
        <v>-46.5</v>
      </c>
      <c r="AC43" s="2">
        <f>Z43-2*AB43</f>
        <v>2737</v>
      </c>
    </row>
    <row r="44" spans="1:29" ht="17.25" x14ac:dyDescent="0.25">
      <c r="C44">
        <v>38</v>
      </c>
      <c r="D44" s="18" t="s">
        <v>175</v>
      </c>
      <c r="E44" s="22">
        <f>AA149</f>
        <v>93.422900000000027</v>
      </c>
      <c r="F44" s="22">
        <f>AB149</f>
        <v>48.711450000000013</v>
      </c>
      <c r="G44" t="s">
        <v>3</v>
      </c>
      <c r="H44" s="5">
        <f>H13-3920.9375</f>
        <v>163.72940000000017</v>
      </c>
      <c r="I44" s="11">
        <f>I13-3979.7986</f>
        <v>175.23689999999988</v>
      </c>
      <c r="J44" s="3">
        <f>J13-4040.7118</f>
        <v>133.26410000000033</v>
      </c>
      <c r="K44" s="6">
        <f t="shared" si="8"/>
        <v>2.08318980700267</v>
      </c>
      <c r="L44" s="8">
        <f t="shared" si="38"/>
        <v>2.8209353812694906</v>
      </c>
      <c r="M44" s="4">
        <f t="shared" si="39"/>
        <v>0.66896393756565442</v>
      </c>
      <c r="N44" s="47" t="s">
        <v>242</v>
      </c>
      <c r="O44" s="1">
        <f t="shared" si="27"/>
        <v>1.8576963752792717</v>
      </c>
      <c r="P44" s="1">
        <f t="shared" si="28"/>
        <v>1.5465320814273396</v>
      </c>
      <c r="Q44" s="1">
        <f t="shared" si="40"/>
        <v>0.83249991872048834</v>
      </c>
      <c r="R44" s="6">
        <f t="shared" si="29"/>
        <v>1.1213833620628664</v>
      </c>
      <c r="S44" s="16">
        <f t="shared" si="30"/>
        <v>1.5185126153058317</v>
      </c>
      <c r="T44" s="4">
        <f t="shared" si="31"/>
        <v>0.36010402263130192</v>
      </c>
      <c r="U44" s="47" t="s">
        <v>242</v>
      </c>
      <c r="Y44" t="s">
        <v>1</v>
      </c>
      <c r="Z44">
        <v>2</v>
      </c>
      <c r="AA44">
        <v>10</v>
      </c>
      <c r="AB44">
        <f>0.5*Z44+AA44</f>
        <v>11</v>
      </c>
      <c r="AC44" s="2">
        <f>(Z44+2*AB44)-$AE$5*AB43</f>
        <v>33.299999999999997</v>
      </c>
    </row>
    <row r="45" spans="1:29" ht="17.25" x14ac:dyDescent="0.25">
      <c r="C45">
        <v>39</v>
      </c>
      <c r="D45" s="18" t="s">
        <v>177</v>
      </c>
      <c r="E45" s="2">
        <f>AA155</f>
        <v>68.792300000000068</v>
      </c>
      <c r="F45" s="2">
        <f>AB155</f>
        <v>36.396150000000034</v>
      </c>
      <c r="G45" t="s">
        <v>3</v>
      </c>
      <c r="H45" s="5">
        <f>H14-2844.4394</f>
        <v>116.74069999999983</v>
      </c>
      <c r="I45" s="11">
        <f>I14-2887.3033</f>
        <v>124.89049999999997</v>
      </c>
      <c r="J45" s="3">
        <f>J14-2931.1125</f>
        <v>94.812099999999646</v>
      </c>
      <c r="K45" s="6">
        <f t="shared" si="8"/>
        <v>1.7355508672200175</v>
      </c>
      <c r="L45" s="8">
        <f t="shared" si="38"/>
        <v>2.3756746332815806</v>
      </c>
      <c r="M45" s="4">
        <f t="shared" si="39"/>
        <v>0.51108956696668661</v>
      </c>
      <c r="N45" s="47" t="s">
        <v>243</v>
      </c>
      <c r="O45" s="1">
        <f t="shared" ref="O45:O57" si="41">(K45+L45+M45)/3</f>
        <v>1.5407716891560952</v>
      </c>
      <c r="P45" s="1">
        <f t="shared" ref="P45:P47" si="42">SQRT((K45-(K45+L45+M45)/3)*(K45-(K45+L45+M45)/3)+(L45-(K45+L45+M45)/3)*(L45-(K45+L45+M45)/3)+(M45-(K45+L45+M45)/3)*(M45-(K45+L45+M45)/3))</f>
        <v>1.3398683245278786</v>
      </c>
      <c r="Q45" s="1">
        <f t="shared" si="40"/>
        <v>0.86960860843811683</v>
      </c>
      <c r="R45" s="6">
        <f t="shared" ref="R45:R57" si="43">K45/O45</f>
        <v>1.1264166387757331</v>
      </c>
      <c r="S45" s="16">
        <f t="shared" ref="S45:S57" si="44">L45/O45</f>
        <v>1.5418732379375264</v>
      </c>
      <c r="T45" s="4">
        <f t="shared" ref="T45:T57" si="45">M45/O45</f>
        <v>0.33171012328673977</v>
      </c>
      <c r="U45" s="47" t="s">
        <v>243</v>
      </c>
      <c r="Y45" t="s">
        <v>65</v>
      </c>
      <c r="Z45" t="s">
        <v>66</v>
      </c>
      <c r="AA45" t="s">
        <v>75</v>
      </c>
    </row>
    <row r="46" spans="1:29" ht="17.25" x14ac:dyDescent="0.25">
      <c r="C46">
        <v>40</v>
      </c>
      <c r="D46" s="18" t="s">
        <v>125</v>
      </c>
      <c r="E46" s="2">
        <f>AA164</f>
        <v>6</v>
      </c>
      <c r="F46" s="2">
        <f>AB164</f>
        <v>7</v>
      </c>
      <c r="G46" t="s">
        <v>3</v>
      </c>
      <c r="H46" s="5">
        <f>H22-3787.7722</f>
        <v>1.1208999999998923</v>
      </c>
      <c r="I46" s="11">
        <f>I22-3837.0064</f>
        <v>3.0530999999996311</v>
      </c>
      <c r="J46" s="3">
        <f>J22-3828.7171</f>
        <v>10.162000000000262</v>
      </c>
      <c r="K46" s="6">
        <f t="shared" si="8"/>
        <v>0.48582891448981741</v>
      </c>
      <c r="L46" s="8">
        <f t="shared" si="38"/>
        <v>0.17722897163269744</v>
      </c>
      <c r="M46" s="4">
        <f t="shared" si="39"/>
        <v>0.35351518367351381</v>
      </c>
      <c r="N46" s="47" t="s">
        <v>244</v>
      </c>
      <c r="O46" s="1">
        <f t="shared" si="41"/>
        <v>0.33885768993200954</v>
      </c>
      <c r="P46" s="1">
        <f t="shared" si="42"/>
        <v>0.21895028099977906</v>
      </c>
      <c r="Q46" s="1">
        <f t="shared" si="40"/>
        <v>0.64614228186384248</v>
      </c>
      <c r="R46" s="6">
        <f t="shared" si="43"/>
        <v>1.4337255105153348</v>
      </c>
      <c r="S46" s="16">
        <f t="shared" si="44"/>
        <v>0.52301888638932093</v>
      </c>
      <c r="T46" s="4">
        <f t="shared" si="45"/>
        <v>1.0432556030953444</v>
      </c>
      <c r="U46" s="47" t="s">
        <v>244</v>
      </c>
      <c r="Y46" s="54" t="s">
        <v>127</v>
      </c>
      <c r="Z46" s="54"/>
      <c r="AA46" s="54"/>
      <c r="AB46" s="54"/>
      <c r="AC46" s="54"/>
    </row>
    <row r="47" spans="1:29" ht="18.75" x14ac:dyDescent="0.35">
      <c r="C47">
        <v>41</v>
      </c>
      <c r="D47" s="18" t="s">
        <v>126</v>
      </c>
      <c r="E47" s="2">
        <f>AA167</f>
        <v>131</v>
      </c>
      <c r="F47" s="2">
        <f>AB167</f>
        <v>69.5</v>
      </c>
      <c r="G47" t="s">
        <v>3</v>
      </c>
      <c r="H47" s="5">
        <f>H22-3624.4437</f>
        <v>164.44939999999997</v>
      </c>
      <c r="I47" s="11">
        <f>I22-3666.6519</f>
        <v>173.4076</v>
      </c>
      <c r="J47" s="3">
        <f>J22-3697.7777</f>
        <v>141.10140000000001</v>
      </c>
      <c r="K47" s="6">
        <f t="shared" si="8"/>
        <v>0.2316365323451163</v>
      </c>
      <c r="L47" s="8">
        <f t="shared" si="38"/>
        <v>0.37232121272397917</v>
      </c>
      <c r="M47" s="4">
        <f t="shared" si="39"/>
        <v>2.1124844875524098E-2</v>
      </c>
      <c r="N47" s="47" t="s">
        <v>244</v>
      </c>
      <c r="O47" s="1">
        <f t="shared" si="41"/>
        <v>0.20836086331487322</v>
      </c>
      <c r="P47" s="1">
        <f t="shared" si="42"/>
        <v>0.24996415652685447</v>
      </c>
      <c r="Q47" s="1">
        <f t="shared" si="40"/>
        <v>1.1996694223190596</v>
      </c>
      <c r="R47" s="6">
        <f t="shared" si="43"/>
        <v>1.1117084497536809</v>
      </c>
      <c r="S47" s="16">
        <f t="shared" si="44"/>
        <v>1.786905692367623</v>
      </c>
      <c r="T47" s="4">
        <f t="shared" si="45"/>
        <v>0.10138585787869581</v>
      </c>
      <c r="U47" s="47" t="s">
        <v>244</v>
      </c>
      <c r="Z47" t="s">
        <v>12</v>
      </c>
      <c r="AA47" t="s">
        <v>45</v>
      </c>
      <c r="AB47" t="s">
        <v>105</v>
      </c>
      <c r="AC47" t="s">
        <v>14</v>
      </c>
    </row>
    <row r="48" spans="1:29" ht="17.25" x14ac:dyDescent="0.25">
      <c r="C48">
        <v>42</v>
      </c>
      <c r="D48" s="19" t="s">
        <v>188</v>
      </c>
      <c r="E48">
        <f>AA181</f>
        <v>20</v>
      </c>
      <c r="F48">
        <f>AB181</f>
        <v>8.4</v>
      </c>
      <c r="G48" t="s">
        <v>3</v>
      </c>
      <c r="H48" s="5">
        <f xml:space="preserve"> 3729.2293-3708.2232</f>
        <v>21.00610000000006</v>
      </c>
      <c r="I48" s="11">
        <f>3770.4793-3751.4768</f>
        <v>19.002500000000055</v>
      </c>
      <c r="J48" s="3">
        <f>3783.9327-3757.3696</f>
        <v>26.563099999999849</v>
      </c>
      <c r="K48" s="6">
        <f t="shared" si="8"/>
        <v>1.4345765447847526E-2</v>
      </c>
      <c r="L48" s="8">
        <f t="shared" ref="L48:L57" si="46">((E48-I48)/F48)*((E48-I48)/F48)</f>
        <v>1.4101562499998456E-2</v>
      </c>
      <c r="M48" s="4">
        <f t="shared" ref="M48:M57" si="47">((E48-J48)/F48)*((E48-J48)/F48)</f>
        <v>0.61046317474486989</v>
      </c>
      <c r="N48" s="48" t="s">
        <v>251</v>
      </c>
      <c r="O48" s="1">
        <f t="shared" si="41"/>
        <v>0.21297016756423862</v>
      </c>
      <c r="P48" s="1">
        <f>SQRT((K48-(K48+L48+M48)/3)*(K48-(K48+L48+M48)/3)+(L48-(K48+L48+M48)/3)*(L48-(K48+L48+M48)/3)+(M48-(K48+L48+M48)/3)*(M48-(K48+L48+M48)/3))</f>
        <v>0.48682755258283394</v>
      </c>
      <c r="Q48" s="1">
        <f t="shared" ref="Q48:Q57" si="48">P48/O48</f>
        <v>2.2858955230712827</v>
      </c>
      <c r="R48" s="6">
        <f t="shared" si="43"/>
        <v>6.7360445887428733E-2</v>
      </c>
      <c r="S48" s="16">
        <f t="shared" si="44"/>
        <v>6.6213792576112679E-2</v>
      </c>
      <c r="T48" s="4">
        <f t="shared" si="45"/>
        <v>2.8664257615364588</v>
      </c>
      <c r="U48" s="48" t="s">
        <v>251</v>
      </c>
      <c r="Y48" t="s">
        <v>13</v>
      </c>
      <c r="Z48">
        <v>3656.7</v>
      </c>
      <c r="AA48">
        <v>7143</v>
      </c>
      <c r="AB48">
        <f>(AA48-2*Z48)/2</f>
        <v>-85.199999999999818</v>
      </c>
      <c r="AC48" s="2">
        <f>Z48-2*AB48</f>
        <v>3827.0999999999995</v>
      </c>
    </row>
    <row r="49" spans="3:29" ht="18" customHeight="1" x14ac:dyDescent="0.25">
      <c r="C49">
        <v>43</v>
      </c>
      <c r="D49" s="19" t="s">
        <v>189</v>
      </c>
      <c r="E49">
        <f>AA184</f>
        <v>10</v>
      </c>
      <c r="F49">
        <f>AB184</f>
        <v>6.4</v>
      </c>
      <c r="G49" t="s">
        <v>3</v>
      </c>
      <c r="H49" s="5">
        <f xml:space="preserve"> 3598.9884-3582.2708</f>
        <v>16.717600000000402</v>
      </c>
      <c r="I49" s="11">
        <f>3640.6468-3621.6722</f>
        <v>18.974600000000009</v>
      </c>
      <c r="J49" s="3">
        <f>3679.5083-3664.6887</f>
        <v>14.819599999999809</v>
      </c>
      <c r="K49" s="6">
        <f t="shared" si="8"/>
        <v>1.1017126406251321</v>
      </c>
      <c r="L49" s="8">
        <f t="shared" si="46"/>
        <v>1.9663927041015667</v>
      </c>
      <c r="M49" s="4">
        <f t="shared" si="47"/>
        <v>0.56710312890620518</v>
      </c>
      <c r="N49" s="48" t="s">
        <v>251</v>
      </c>
      <c r="O49" s="1">
        <f t="shared" si="41"/>
        <v>1.2117361578776347</v>
      </c>
      <c r="P49" s="1">
        <f t="shared" ref="P49:P57" si="49">SQRT((K49-(K49+L49+M49)/3)*(K49-(K49+L49+M49)/3)+(L49-(K49+L49+M49)/3)*(L49-(K49+L49+M49)/3)+(M49-(K49+L49+M49)/3)*(M49-(K49+L49+M49)/3))</f>
        <v>0.99858070237118302</v>
      </c>
      <c r="Q49" s="1">
        <f t="shared" si="48"/>
        <v>0.82409086819708743</v>
      </c>
      <c r="R49" s="6">
        <f t="shared" si="43"/>
        <v>0.90920175441062212</v>
      </c>
      <c r="S49" s="16">
        <f t="shared" si="44"/>
        <v>1.6227894920175683</v>
      </c>
      <c r="T49" s="4">
        <f t="shared" si="45"/>
        <v>0.46800875357180949</v>
      </c>
      <c r="U49" s="48" t="s">
        <v>251</v>
      </c>
      <c r="Y49" t="s">
        <v>1</v>
      </c>
      <c r="Z49">
        <v>1</v>
      </c>
      <c r="AA49">
        <v>7</v>
      </c>
      <c r="AB49">
        <f>0.5*Z49+AA49</f>
        <v>7.5</v>
      </c>
      <c r="AC49" s="2">
        <f>(Z49+2*AB49)-$AE$5*AB48</f>
        <v>33.039999999999964</v>
      </c>
    </row>
    <row r="50" spans="3:29" ht="17.25" x14ac:dyDescent="0.25">
      <c r="C50">
        <v>44</v>
      </c>
      <c r="D50" s="19" t="s">
        <v>191</v>
      </c>
      <c r="E50">
        <f>AA187</f>
        <v>38</v>
      </c>
      <c r="F50" s="2">
        <f>AB187</f>
        <v>22.1</v>
      </c>
      <c r="G50" t="s">
        <v>3</v>
      </c>
      <c r="H50" s="5">
        <f>3627.9682-3597.233</f>
        <v>30.735199999999622</v>
      </c>
      <c r="I50" s="11">
        <f>3662.3573-3631.001</f>
        <v>31.356299999999919</v>
      </c>
      <c r="J50" s="3">
        <f>3741.7122-3688.7856</f>
        <v>52.92659999999978</v>
      </c>
      <c r="K50" s="6">
        <f t="shared" si="8"/>
        <v>0.10805945627650022</v>
      </c>
      <c r="L50" s="8">
        <f t="shared" si="46"/>
        <v>9.0372329989150652E-2</v>
      </c>
      <c r="M50" s="4">
        <f t="shared" si="47"/>
        <v>0.45618105190310071</v>
      </c>
      <c r="N50" s="48" t="s">
        <v>252</v>
      </c>
      <c r="O50" s="1">
        <f t="shared" si="41"/>
        <v>0.21820427938958387</v>
      </c>
      <c r="P50" s="1">
        <f t="shared" si="49"/>
        <v>0.29172904141013722</v>
      </c>
      <c r="Q50" s="1">
        <f t="shared" si="48"/>
        <v>1.3369538041427758</v>
      </c>
      <c r="R50" s="6">
        <f t="shared" si="43"/>
        <v>0.49522152626333193</v>
      </c>
      <c r="S50" s="16">
        <f t="shared" si="44"/>
        <v>0.41416387543802058</v>
      </c>
      <c r="T50" s="4">
        <f t="shared" si="45"/>
        <v>2.0906145982986475</v>
      </c>
      <c r="U50" s="48" t="s">
        <v>252</v>
      </c>
      <c r="Y50" t="s">
        <v>65</v>
      </c>
      <c r="Z50" t="s">
        <v>120</v>
      </c>
      <c r="AA50" t="s">
        <v>120</v>
      </c>
    </row>
    <row r="51" spans="3:29" ht="17.25" x14ac:dyDescent="0.25">
      <c r="C51">
        <v>45</v>
      </c>
      <c r="D51" s="19" t="s">
        <v>190</v>
      </c>
      <c r="E51">
        <f>AA190</f>
        <v>52</v>
      </c>
      <c r="F51" s="2">
        <f>AB190</f>
        <v>26.6</v>
      </c>
      <c r="G51" t="s">
        <v>3</v>
      </c>
      <c r="H51" s="5">
        <f>3597.233-3539.4897</f>
        <v>57.74330000000009</v>
      </c>
      <c r="I51" s="11">
        <f>3631.001-3569.1227</f>
        <v>61.878300000000309</v>
      </c>
      <c r="J51" s="3">
        <f>3688.7856-3635.719</f>
        <v>53.066600000000108</v>
      </c>
      <c r="K51" s="6">
        <f t="shared" si="8"/>
        <v>4.6618654092940581E-2</v>
      </c>
      <c r="L51" s="8">
        <f t="shared" si="46"/>
        <v>0.13791171192549903</v>
      </c>
      <c r="M51" s="4">
        <f t="shared" si="47"/>
        <v>1.6078291028325932E-3</v>
      </c>
      <c r="N51" s="48" t="s">
        <v>252</v>
      </c>
      <c r="O51" s="1">
        <f t="shared" si="41"/>
        <v>6.2046065040424064E-2</v>
      </c>
      <c r="P51" s="1">
        <f t="shared" si="49"/>
        <v>9.8215995383040294E-2</v>
      </c>
      <c r="Q51" s="1">
        <f t="shared" si="48"/>
        <v>1.5829528483240785</v>
      </c>
      <c r="R51" s="6">
        <f t="shared" si="43"/>
        <v>0.75135553016243228</v>
      </c>
      <c r="S51" s="16">
        <f t="shared" si="44"/>
        <v>2.2227309956827592</v>
      </c>
      <c r="T51" s="4">
        <f t="shared" si="45"/>
        <v>2.5913474154808453E-2</v>
      </c>
      <c r="U51" s="48" t="s">
        <v>252</v>
      </c>
      <c r="Y51" s="54" t="s">
        <v>138</v>
      </c>
      <c r="Z51" s="54"/>
      <c r="AA51" s="54"/>
      <c r="AB51" s="54"/>
      <c r="AC51" s="54"/>
    </row>
    <row r="52" spans="3:29" ht="18.75" x14ac:dyDescent="0.35">
      <c r="C52">
        <v>46</v>
      </c>
      <c r="D52" s="17" t="s">
        <v>194</v>
      </c>
      <c r="E52" s="1">
        <f>AD197</f>
        <v>4.6419750000000004</v>
      </c>
      <c r="F52" s="1">
        <f>AE197</f>
        <v>0.38107500000000005</v>
      </c>
      <c r="G52" t="s">
        <v>10</v>
      </c>
      <c r="H52" s="6">
        <f>-(-210.067019+100.490515+109.574272)*2625.497332</f>
        <v>5.8601100450036263</v>
      </c>
      <c r="I52" s="16">
        <f>-(-209.839319+100.390951+109.446192)*2625.497332</f>
        <v>5.7130821944097301</v>
      </c>
      <c r="J52" s="4">
        <f>-(-209.990562+100.451587+109.537388)*2625.497332</f>
        <v>4.1666642658857622</v>
      </c>
      <c r="K52" s="6">
        <f t="shared" si="8"/>
        <v>10.218095536881567</v>
      </c>
      <c r="L52" s="8">
        <f t="shared" si="46"/>
        <v>7.9003249764368579</v>
      </c>
      <c r="M52" s="4">
        <f t="shared" si="47"/>
        <v>1.5557303629968615</v>
      </c>
      <c r="N52" s="49" t="s">
        <v>250</v>
      </c>
      <c r="O52" s="1">
        <f t="shared" si="41"/>
        <v>6.5580502921050963</v>
      </c>
      <c r="P52" s="1">
        <f t="shared" si="49"/>
        <v>6.3419900027642901</v>
      </c>
      <c r="Q52" s="1">
        <f t="shared" si="48"/>
        <v>0.96705418840704682</v>
      </c>
      <c r="R52" s="6">
        <f t="shared" si="43"/>
        <v>1.5580995999958422</v>
      </c>
      <c r="S52" s="16">
        <f t="shared" si="44"/>
        <v>1.2046758753813855</v>
      </c>
      <c r="T52" s="4">
        <f t="shared" si="45"/>
        <v>0.23722452462277185</v>
      </c>
      <c r="U52" s="49" t="s">
        <v>250</v>
      </c>
      <c r="Z52" t="s">
        <v>12</v>
      </c>
      <c r="AA52" t="s">
        <v>45</v>
      </c>
      <c r="AB52" t="s">
        <v>105</v>
      </c>
      <c r="AC52" t="s">
        <v>14</v>
      </c>
    </row>
    <row r="53" spans="3:29" ht="17.25" x14ac:dyDescent="0.25">
      <c r="C53">
        <v>47</v>
      </c>
      <c r="D53" s="17" t="s">
        <v>193</v>
      </c>
      <c r="E53" s="15">
        <f>AD200</f>
        <v>12.386732670000001</v>
      </c>
      <c r="F53" s="15">
        <f>AE200</f>
        <v>0.96482558999999979</v>
      </c>
      <c r="G53" t="s">
        <v>10</v>
      </c>
      <c r="H53" s="6">
        <f>-(-200.986208+2*100.490515)*2625.497332</f>
        <v>13.594825185098081</v>
      </c>
      <c r="I53" s="16">
        <f>-(-200.787053+2*100.390951)*2625.497332</f>
        <v>13.523936757089194</v>
      </c>
      <c r="J53" s="4">
        <f>-(-200.908354+2*100.451587)*2625.497332</f>
        <v>13.600076179748823</v>
      </c>
      <c r="K53" s="6">
        <f t="shared" si="8"/>
        <v>1.5678436803602245</v>
      </c>
      <c r="L53" s="8">
        <f t="shared" si="46"/>
        <v>1.3892461321159228</v>
      </c>
      <c r="M53" s="4">
        <f t="shared" si="47"/>
        <v>1.5815026188027304</v>
      </c>
      <c r="N53" s="49" t="s">
        <v>249</v>
      </c>
      <c r="O53" s="1">
        <f t="shared" si="41"/>
        <v>1.512864143759626</v>
      </c>
      <c r="P53" s="1">
        <f t="shared" si="49"/>
        <v>0.15170828093351443</v>
      </c>
      <c r="Q53" s="1">
        <f t="shared" si="48"/>
        <v>0.10027885290248433</v>
      </c>
      <c r="R53" s="6">
        <f t="shared" si="43"/>
        <v>1.0363413574360805</v>
      </c>
      <c r="S53" s="16">
        <f t="shared" si="44"/>
        <v>0.9182887556998347</v>
      </c>
      <c r="T53" s="4">
        <f t="shared" si="45"/>
        <v>1.0453698868640846</v>
      </c>
      <c r="U53" s="49" t="s">
        <v>249</v>
      </c>
      <c r="Y53" t="s">
        <v>13</v>
      </c>
      <c r="Z53">
        <v>3623</v>
      </c>
      <c r="AA53">
        <v>7079</v>
      </c>
      <c r="AB53">
        <f>(AA53-2*Z53)/2</f>
        <v>-83.5</v>
      </c>
      <c r="AC53" s="2">
        <f>Z53-2*AB53</f>
        <v>3790</v>
      </c>
    </row>
    <row r="54" spans="3:29" ht="17.25" x14ac:dyDescent="0.25">
      <c r="C54">
        <v>48</v>
      </c>
      <c r="D54" s="17" t="s">
        <v>195</v>
      </c>
      <c r="E54" s="1">
        <f>AD206</f>
        <v>12.6204</v>
      </c>
      <c r="F54" s="1">
        <f>AE206</f>
        <v>0.99479999999999968</v>
      </c>
      <c r="G54" t="s">
        <v>10</v>
      </c>
      <c r="H54" s="6">
        <f>-(-200.988923+100.493074+100.490515)*2625.497332</f>
        <v>14.004402768900693</v>
      </c>
      <c r="I54" s="16">
        <f>-(-200.789813+100.393555+100.390951)*2625.497332</f>
        <v>13.933514340929117</v>
      </c>
      <c r="J54" s="4">
        <f>-(-200.911108+100.454203+100.451587)*2625.497332</f>
        <v>13.962394811582822</v>
      </c>
      <c r="K54" s="6">
        <f t="shared" si="8"/>
        <v>1.9355409532108039</v>
      </c>
      <c r="L54" s="8">
        <f t="shared" si="46"/>
        <v>1.7423425216369484</v>
      </c>
      <c r="M54" s="4">
        <f t="shared" si="47"/>
        <v>1.8198270676953361</v>
      </c>
      <c r="N54" s="49" t="s">
        <v>254</v>
      </c>
      <c r="O54" s="1">
        <f t="shared" si="41"/>
        <v>1.8325701808476962</v>
      </c>
      <c r="P54" s="1">
        <f t="shared" si="49"/>
        <v>0.13750053592811792</v>
      </c>
      <c r="Q54" s="1">
        <f t="shared" si="48"/>
        <v>7.5031525321728187E-2</v>
      </c>
      <c r="R54" s="6">
        <f t="shared" si="43"/>
        <v>1.0561892654585683</v>
      </c>
      <c r="S54" s="16">
        <f t="shared" si="44"/>
        <v>0.95076441810866363</v>
      </c>
      <c r="T54" s="4">
        <f t="shared" si="45"/>
        <v>0.99304631643276797</v>
      </c>
      <c r="U54" s="49" t="s">
        <v>254</v>
      </c>
      <c r="Y54" t="s">
        <v>1</v>
      </c>
      <c r="Z54">
        <v>2</v>
      </c>
      <c r="AA54">
        <v>2</v>
      </c>
      <c r="AB54">
        <f>0.5*Z54+AA54</f>
        <v>3</v>
      </c>
      <c r="AC54" s="2">
        <f>(Z54+2*AB54)-$AE$5*AB53</f>
        <v>24.7</v>
      </c>
    </row>
    <row r="55" spans="3:29" ht="17.25" x14ac:dyDescent="0.25">
      <c r="C55">
        <v>49</v>
      </c>
      <c r="D55" s="17" t="s">
        <v>192</v>
      </c>
      <c r="E55" s="1">
        <f>AD209</f>
        <v>58.012500000000003</v>
      </c>
      <c r="F55" s="15">
        <f>AE209</f>
        <v>4.9624999999999986</v>
      </c>
      <c r="G55" t="s">
        <v>10</v>
      </c>
      <c r="H55" s="9">
        <f>-(-379.687986+2*189.831388)*2625.497332</f>
        <v>66.188787739760684</v>
      </c>
      <c r="I55" s="8">
        <f>-(-379.265543+2*189.623072)*2625.497332</f>
        <v>50.932022743374574</v>
      </c>
      <c r="J55" s="4">
        <f>-(-379.526523+2*189.751061)*2625.497332</f>
        <v>64.064760398162619</v>
      </c>
      <c r="K55" s="6">
        <f t="shared" si="8"/>
        <v>2.7146340608817359</v>
      </c>
      <c r="L55" s="8">
        <f t="shared" si="46"/>
        <v>2.0357480369913894</v>
      </c>
      <c r="M55" s="4">
        <f t="shared" si="47"/>
        <v>1.4874218980760754</v>
      </c>
      <c r="N55" s="49" t="s">
        <v>253</v>
      </c>
      <c r="O55" s="1">
        <f t="shared" si="41"/>
        <v>2.0792679986497333</v>
      </c>
      <c r="P55" s="1">
        <f t="shared" si="49"/>
        <v>0.86940544446373758</v>
      </c>
      <c r="Q55" s="1">
        <f t="shared" si="48"/>
        <v>0.41813053681792117</v>
      </c>
      <c r="R55" s="6">
        <f t="shared" si="43"/>
        <v>1.3055719910298269</v>
      </c>
      <c r="S55" s="16">
        <f t="shared" si="44"/>
        <v>0.97906957559746721</v>
      </c>
      <c r="T55" s="4">
        <f t="shared" si="45"/>
        <v>0.71535843337270622</v>
      </c>
      <c r="U55" s="49" t="s">
        <v>253</v>
      </c>
      <c r="Y55" t="s">
        <v>65</v>
      </c>
      <c r="Z55" t="s">
        <v>69</v>
      </c>
      <c r="AA55" t="s">
        <v>69</v>
      </c>
    </row>
    <row r="56" spans="3:29" ht="15" customHeight="1" x14ac:dyDescent="0.25">
      <c r="C56">
        <v>50</v>
      </c>
      <c r="D56" s="42" t="s">
        <v>273</v>
      </c>
      <c r="E56" s="1">
        <f>AD215</f>
        <v>0.87126974999999995</v>
      </c>
      <c r="F56" s="1">
        <f>AE215</f>
        <v>7.3001750000000018E-2</v>
      </c>
      <c r="G56" t="s">
        <v>10</v>
      </c>
      <c r="H56" s="6">
        <v>0.99768898617819524</v>
      </c>
      <c r="I56" s="16">
        <v>0.98981249412746131</v>
      </c>
      <c r="J56" s="4">
        <v>1.0003144834289461</v>
      </c>
      <c r="K56" s="6">
        <f t="shared" si="8"/>
        <v>2.9988847910733925</v>
      </c>
      <c r="L56" s="8">
        <f t="shared" si="46"/>
        <v>2.636837767900873</v>
      </c>
      <c r="M56" s="4">
        <f t="shared" si="47"/>
        <v>3.1247410104804039</v>
      </c>
      <c r="N56" s="50" t="s">
        <v>274</v>
      </c>
      <c r="O56" s="1">
        <f t="shared" si="41"/>
        <v>2.9201545231515564</v>
      </c>
      <c r="P56" s="1">
        <f t="shared" si="49"/>
        <v>0.35822125801015275</v>
      </c>
      <c r="Q56" s="1">
        <f t="shared" si="48"/>
        <v>0.12267202135027599</v>
      </c>
      <c r="R56" s="6">
        <f t="shared" si="43"/>
        <v>1.0269609937753796</v>
      </c>
      <c r="S56" s="16">
        <f t="shared" si="44"/>
        <v>0.90297884820666419</v>
      </c>
      <c r="T56" s="4">
        <f t="shared" si="45"/>
        <v>1.0700601580179561</v>
      </c>
      <c r="U56" s="50" t="s">
        <v>274</v>
      </c>
      <c r="Y56" s="54" t="s">
        <v>139</v>
      </c>
      <c r="Z56" s="54"/>
      <c r="AA56" s="54"/>
      <c r="AB56" s="54"/>
      <c r="AC56" s="54"/>
    </row>
    <row r="57" spans="3:29" ht="18.75" x14ac:dyDescent="0.35">
      <c r="C57">
        <v>51</v>
      </c>
      <c r="D57" s="42" t="s">
        <v>196</v>
      </c>
      <c r="E57">
        <v>0.3</v>
      </c>
      <c r="F57">
        <v>0.8</v>
      </c>
      <c r="G57" t="s">
        <v>10</v>
      </c>
      <c r="H57" s="6">
        <f>(-1689.902327+1689.902395)*2625.497332</f>
        <v>0.17853381872221441</v>
      </c>
      <c r="I57" s="16">
        <f>(-1688.21664+1688.216868)*2625.497332</f>
        <v>0.59861339137858438</v>
      </c>
      <c r="J57" s="4">
        <f>(1689.333663-1689.333212)*2625.497332</f>
        <v>1.1840992964287971</v>
      </c>
      <c r="K57" s="6">
        <f t="shared" si="8"/>
        <v>2.3053176865949789E-2</v>
      </c>
      <c r="L57" s="8">
        <f t="shared" si="46"/>
        <v>0.13932805861034311</v>
      </c>
      <c r="M57" s="4">
        <f t="shared" si="47"/>
        <v>1.2212993217904593</v>
      </c>
      <c r="N57" s="50" t="s">
        <v>255</v>
      </c>
      <c r="O57" s="1">
        <f t="shared" si="41"/>
        <v>0.46122685242225075</v>
      </c>
      <c r="P57" s="1">
        <f t="shared" si="49"/>
        <v>0.93451867937434296</v>
      </c>
      <c r="Q57" s="1">
        <f t="shared" si="48"/>
        <v>2.0261584390988494</v>
      </c>
      <c r="R57" s="6">
        <f t="shared" si="43"/>
        <v>4.9982295577285098E-2</v>
      </c>
      <c r="S57" s="16">
        <f t="shared" si="44"/>
        <v>0.3020814115193558</v>
      </c>
      <c r="T57" s="4">
        <f t="shared" si="45"/>
        <v>2.647936292903359</v>
      </c>
      <c r="U57" s="50" t="s">
        <v>255</v>
      </c>
      <c r="Z57" t="s">
        <v>12</v>
      </c>
      <c r="AA57" t="s">
        <v>45</v>
      </c>
      <c r="AB57" t="s">
        <v>105</v>
      </c>
      <c r="AC57" t="s">
        <v>14</v>
      </c>
    </row>
    <row r="58" spans="3:29" x14ac:dyDescent="0.25">
      <c r="K58" s="1"/>
      <c r="L58" s="1"/>
      <c r="M58" s="1"/>
      <c r="Y58" t="s">
        <v>13</v>
      </c>
      <c r="Z58">
        <v>3667</v>
      </c>
      <c r="AA58">
        <v>7165</v>
      </c>
      <c r="AB58">
        <f>(AA58-2*Z58)/2</f>
        <v>-84.5</v>
      </c>
      <c r="AC58" s="2">
        <f>Z58-2*AB58</f>
        <v>3836</v>
      </c>
    </row>
    <row r="59" spans="3:29" ht="17.25" x14ac:dyDescent="0.25">
      <c r="D59" t="s">
        <v>54</v>
      </c>
      <c r="H59" s="2"/>
      <c r="I59" s="2"/>
      <c r="J59" s="2"/>
      <c r="K59" s="6">
        <f>AVERAGE(K15:K57)</f>
        <v>1.5135849450715702</v>
      </c>
      <c r="L59" s="16">
        <f>AVERAGE(L15:L57)</f>
        <v>1.6754059358423605</v>
      </c>
      <c r="M59" s="4">
        <f>AVERAGE(M15:M57)</f>
        <v>0.96766426628871982</v>
      </c>
      <c r="N59" s="15"/>
      <c r="O59" s="15">
        <f t="shared" ref="O59:T59" si="50">AVERAGE(O15:O57)</f>
        <v>1.3855517157342168</v>
      </c>
      <c r="P59" s="15">
        <f t="shared" si="50"/>
        <v>1.1684766752230014</v>
      </c>
      <c r="Q59" s="15">
        <f t="shared" si="50"/>
        <v>1.1168210148203985</v>
      </c>
      <c r="R59" s="6">
        <f t="shared" si="50"/>
        <v>1.0077091797250888</v>
      </c>
      <c r="S59" s="16">
        <f t="shared" si="50"/>
        <v>1.0873665678390554</v>
      </c>
      <c r="T59" s="4">
        <f t="shared" si="50"/>
        <v>0.90492425243585584</v>
      </c>
      <c r="Y59" t="s">
        <v>1</v>
      </c>
      <c r="Z59">
        <v>2</v>
      </c>
      <c r="AA59">
        <v>2</v>
      </c>
      <c r="AB59">
        <f>0.5*Z59+AA59</f>
        <v>3</v>
      </c>
      <c r="AC59" s="2">
        <f>(Z59+2*AB59)-$AE$5*AB58</f>
        <v>24.900000000000002</v>
      </c>
    </row>
    <row r="60" spans="3:29" ht="17.25" x14ac:dyDescent="0.25">
      <c r="D60" t="s">
        <v>114</v>
      </c>
      <c r="H60" s="10"/>
      <c r="I60" s="15"/>
      <c r="J60" s="15"/>
      <c r="K60" s="6">
        <f>AVERAGE(K7:K57)</f>
        <v>1000108.2221635926</v>
      </c>
      <c r="L60" s="16">
        <f>AVERAGE(L7:L57)</f>
        <v>41331.870910328427</v>
      </c>
      <c r="M60" s="4">
        <f>AVERAGE(M7:M57)</f>
        <v>96131.63080629411</v>
      </c>
      <c r="N60" s="15"/>
      <c r="O60" s="15">
        <f t="shared" ref="O60:T60" si="51">AVERAGE(O7:O57)</f>
        <v>379190.57462673855</v>
      </c>
      <c r="P60" s="15">
        <f t="shared" si="51"/>
        <v>796249.32183500472</v>
      </c>
      <c r="Q60" s="15">
        <f t="shared" si="51"/>
        <v>1.1503312286258476</v>
      </c>
      <c r="R60" s="6">
        <f t="shared" si="51"/>
        <v>1.0551845332373204</v>
      </c>
      <c r="S60" s="16">
        <f t="shared" si="51"/>
        <v>1.0024233992092078</v>
      </c>
      <c r="T60" s="4">
        <f t="shared" si="51"/>
        <v>0.94239206755347238</v>
      </c>
      <c r="Y60" t="s">
        <v>65</v>
      </c>
      <c r="Z60" t="s">
        <v>69</v>
      </c>
      <c r="AA60" t="s">
        <v>69</v>
      </c>
    </row>
    <row r="61" spans="3:29" ht="17.25" x14ac:dyDescent="0.25">
      <c r="D61" t="s">
        <v>57</v>
      </c>
      <c r="K61" s="1">
        <f>((2/16)*(AVERAGE(K21:K22)))+((14/16)*AVERAGE(K38:K51))</f>
        <v>1.337495312950679</v>
      </c>
      <c r="L61" s="1">
        <f>((2/16)*(AVERAGE(L21:L22)))+((14/16)*AVERAGE(L38:L51))</f>
        <v>2.3025665967285454</v>
      </c>
      <c r="M61" s="1">
        <f>((2/16)*(AVERAGE(M21:M22)))+((14/16)*AVERAGE(M38:M51))</f>
        <v>1.1133941413654544</v>
      </c>
      <c r="N61" s="1"/>
      <c r="O61" s="1">
        <f t="shared" ref="O61:T61" si="52">((2/16)*(AVERAGE(O21:O22)))+((14/16)*AVERAGE(O38:O51))</f>
        <v>1.5844853503482268</v>
      </c>
      <c r="P61" s="1">
        <f t="shared" si="52"/>
        <v>1.5421103770048843</v>
      </c>
      <c r="Q61" s="1">
        <f t="shared" si="52"/>
        <v>1.0469782318619691</v>
      </c>
      <c r="R61" s="1">
        <f t="shared" si="52"/>
        <v>0.83167938700493838</v>
      </c>
      <c r="S61" s="1">
        <f t="shared" si="52"/>
        <v>1.3154557252170505</v>
      </c>
      <c r="T61" s="1">
        <f t="shared" si="52"/>
        <v>0.85286488777801117</v>
      </c>
    </row>
    <row r="62" spans="3:29" ht="17.25" x14ac:dyDescent="0.25">
      <c r="D62" s="23" t="s">
        <v>56</v>
      </c>
      <c r="E62" s="23"/>
      <c r="F62" s="23"/>
      <c r="G62" s="23"/>
      <c r="H62" s="23"/>
      <c r="I62" s="23"/>
      <c r="J62" s="23"/>
      <c r="K62" s="26">
        <f>AVERAGE(K11:K14)</f>
        <v>3695.7071393361716</v>
      </c>
      <c r="L62" s="26">
        <f>AVERAGE(L11:L14)</f>
        <v>8252.7405012324962</v>
      </c>
      <c r="M62" s="26">
        <f>AVERAGE(M11:M14)</f>
        <v>15898.642132544734</v>
      </c>
      <c r="N62" s="26"/>
      <c r="O62" s="26">
        <f t="shared" ref="O62:T62" si="53">AVERAGE(O11:O14)</f>
        <v>9282.3632577044664</v>
      </c>
      <c r="P62" s="26">
        <f t="shared" si="53"/>
        <v>9505.6832738297417</v>
      </c>
      <c r="Q62" s="26">
        <f t="shared" si="53"/>
        <v>1.0583622892304201</v>
      </c>
      <c r="R62" s="26">
        <f t="shared" si="53"/>
        <v>1.0536273829552911</v>
      </c>
      <c r="S62" s="26">
        <f t="shared" si="53"/>
        <v>0.58564562956619237</v>
      </c>
      <c r="T62" s="26">
        <f t="shared" si="53"/>
        <v>1.3607269874785164</v>
      </c>
    </row>
    <row r="63" spans="3:29" ht="17.25" x14ac:dyDescent="0.25">
      <c r="D63" s="20" t="s">
        <v>55</v>
      </c>
      <c r="E63" s="20"/>
      <c r="F63" s="20"/>
      <c r="G63" s="20"/>
      <c r="H63" s="20"/>
      <c r="I63" s="20"/>
      <c r="J63" s="20"/>
      <c r="K63" s="27">
        <f>AVERAGE(K21:K22)</f>
        <v>0.17396014697898093</v>
      </c>
      <c r="L63" s="27">
        <f>AVERAGE(L21:L22)</f>
        <v>3.2678597146319492</v>
      </c>
      <c r="M63" s="27">
        <f>AVERAGE(M21:M22)</f>
        <v>4.6765362562313797</v>
      </c>
      <c r="N63" s="27"/>
      <c r="O63" s="27">
        <f t="shared" ref="O63:T63" si="54">AVERAGE(O21:O22)</f>
        <v>2.7061187059474365</v>
      </c>
      <c r="P63" s="27">
        <f t="shared" si="54"/>
        <v>3.4482633023731024</v>
      </c>
      <c r="Q63" s="27">
        <f t="shared" si="54"/>
        <v>1.2736891704969757</v>
      </c>
      <c r="R63" s="27">
        <f t="shared" si="54"/>
        <v>6.3566392268158675E-2</v>
      </c>
      <c r="S63" s="27">
        <f t="shared" si="54"/>
        <v>1.2112845590076757</v>
      </c>
      <c r="T63" s="27">
        <f t="shared" si="54"/>
        <v>1.7251490487241656</v>
      </c>
    </row>
    <row r="64" spans="3:29" ht="17.25" x14ac:dyDescent="0.25">
      <c r="D64" s="18" t="s">
        <v>58</v>
      </c>
      <c r="E64" s="18"/>
      <c r="F64" s="18"/>
      <c r="G64" s="18"/>
      <c r="H64" s="18"/>
      <c r="I64" s="18"/>
      <c r="J64" s="18"/>
      <c r="K64" s="29">
        <f>AVERAGE(K38:K47)</f>
        <v>1.9781268196810484</v>
      </c>
      <c r="L64" s="29">
        <f>AVERAGE(L38:L47)</f>
        <v>2.8096567809876607</v>
      </c>
      <c r="M64" s="29">
        <f>AVERAGE(M38:M47)</f>
        <v>0.68258785647275055</v>
      </c>
      <c r="N64" s="29"/>
      <c r="O64" s="29">
        <f t="shared" ref="O64:T64" si="55">AVERAGE(O38:O47)</f>
        <v>1.823457152380487</v>
      </c>
      <c r="P64" s="29">
        <f t="shared" si="55"/>
        <v>1.5901886135584753</v>
      </c>
      <c r="Q64" s="29">
        <f t="shared" si="55"/>
        <v>0.81743803250623304</v>
      </c>
      <c r="R64" s="29">
        <f t="shared" si="55"/>
        <v>1.0956598150818881</v>
      </c>
      <c r="S64" s="29">
        <f t="shared" si="55"/>
        <v>1.4298824329742996</v>
      </c>
      <c r="T64" s="29">
        <f t="shared" si="55"/>
        <v>0.47445775194381234</v>
      </c>
      <c r="Y64" s="10" t="s">
        <v>15</v>
      </c>
      <c r="Z64" s="12" t="s">
        <v>26</v>
      </c>
      <c r="AA64" s="12">
        <v>1.02</v>
      </c>
      <c r="AB64" s="12" t="s">
        <v>27</v>
      </c>
      <c r="AC64" s="12">
        <v>1</v>
      </c>
    </row>
    <row r="65" spans="3:36" ht="18.75" x14ac:dyDescent="0.35">
      <c r="D65" s="19" t="s">
        <v>59</v>
      </c>
      <c r="E65" s="19"/>
      <c r="F65" s="19"/>
      <c r="G65" s="19"/>
      <c r="H65" s="19"/>
      <c r="I65" s="19"/>
      <c r="J65" s="19"/>
      <c r="K65" s="30">
        <f>AVERAGE(K48:K51)</f>
        <v>0.31768412911060512</v>
      </c>
      <c r="L65" s="30">
        <f>AVERAGE(L48:L51)</f>
        <v>0.55219457712905373</v>
      </c>
      <c r="M65" s="30">
        <f>AVERAGE(M48:M51)</f>
        <v>0.40883879616425206</v>
      </c>
      <c r="N65" s="30"/>
      <c r="O65" s="30">
        <f t="shared" ref="O65:T65" si="56">AVERAGE(O48:O51)</f>
        <v>0.42623916746797025</v>
      </c>
      <c r="P65" s="30">
        <f t="shared" si="56"/>
        <v>0.46883832293679867</v>
      </c>
      <c r="Q65" s="30">
        <f t="shared" si="56"/>
        <v>1.5074732609338062</v>
      </c>
      <c r="R65" s="30">
        <f t="shared" si="56"/>
        <v>0.55578481418095382</v>
      </c>
      <c r="S65" s="30">
        <f t="shared" si="56"/>
        <v>1.0814745389286151</v>
      </c>
      <c r="T65" s="30">
        <f t="shared" si="56"/>
        <v>1.3627406468904311</v>
      </c>
      <c r="AF65" s="33"/>
      <c r="AG65" s="55" t="s">
        <v>80</v>
      </c>
      <c r="AH65" s="55"/>
      <c r="AI65" s="55"/>
      <c r="AJ65" s="55"/>
    </row>
    <row r="66" spans="3:36" ht="18.75" x14ac:dyDescent="0.35">
      <c r="K66" s="2"/>
      <c r="L66" s="2"/>
      <c r="M66" s="2"/>
      <c r="Q66" s="2"/>
      <c r="R66" s="2"/>
      <c r="S66" s="2"/>
      <c r="T66" s="2"/>
      <c r="Y66" t="s">
        <v>21</v>
      </c>
      <c r="Z66" t="s">
        <v>65</v>
      </c>
      <c r="AA66" t="s">
        <v>78</v>
      </c>
      <c r="AB66" t="s">
        <v>16</v>
      </c>
      <c r="AC66" t="s">
        <v>17</v>
      </c>
      <c r="AD66" t="s">
        <v>18</v>
      </c>
      <c r="AE66" t="s">
        <v>19</v>
      </c>
      <c r="AF66" t="s">
        <v>20</v>
      </c>
      <c r="AG66" t="s">
        <v>48</v>
      </c>
      <c r="AH66" t="s">
        <v>49</v>
      </c>
      <c r="AI66" t="s">
        <v>50</v>
      </c>
      <c r="AJ66" t="s">
        <v>51</v>
      </c>
    </row>
    <row r="67" spans="3:36" ht="17.25" x14ac:dyDescent="0.25">
      <c r="D67" t="s">
        <v>100</v>
      </c>
      <c r="K67" s="1">
        <f>((6/21)*(AVERAGE(K15:K20)))+((15/21)*AVERAGE(K23:K37))</f>
        <v>1.1536274015044279</v>
      </c>
      <c r="L67" s="1">
        <f>((6/21)*(AVERAGE(L15:L20)))+((15/21)*AVERAGE(L23:L37))</f>
        <v>0.92178867618440152</v>
      </c>
      <c r="M67" s="1">
        <f>((6/21)*(AVERAGE(M15:M20)))+((15/21)*AVERAGE(M23:M37))</f>
        <v>0.61927309089170535</v>
      </c>
      <c r="N67" s="1"/>
      <c r="O67" s="1">
        <f t="shared" ref="O67:T67" si="57">((6/21)*(AVERAGE(O15:O20)))+((15/21)*AVERAGE(O23:O37))</f>
        <v>0.89822972286017821</v>
      </c>
      <c r="P67" s="1">
        <f t="shared" si="57"/>
        <v>0.79892318100175008</v>
      </c>
      <c r="Q67" s="1">
        <f t="shared" si="57"/>
        <v>1.3124917315993969</v>
      </c>
      <c r="R67" s="1">
        <f t="shared" si="57"/>
        <v>1.1424513825155631</v>
      </c>
      <c r="S67" s="1">
        <f t="shared" si="57"/>
        <v>0.97388628233777152</v>
      </c>
      <c r="T67" s="1">
        <f t="shared" si="57"/>
        <v>0.88366233514666526</v>
      </c>
      <c r="Y67" s="21" t="s">
        <v>200</v>
      </c>
      <c r="Z67" s="21" t="s">
        <v>77</v>
      </c>
      <c r="AA67" s="21" t="s">
        <v>23</v>
      </c>
      <c r="AB67" s="37">
        <v>59646.48</v>
      </c>
      <c r="AC67" s="37">
        <f t="shared" ref="AC67:AC70" si="58">$AA$64*AB67</f>
        <v>60839.409600000006</v>
      </c>
      <c r="AD67" s="37">
        <f t="shared" ref="AD67:AD70" si="59">AB67*$AC$64</f>
        <v>59646.48</v>
      </c>
      <c r="AE67" s="37">
        <f t="shared" ref="AE67" si="60">((AC67-AD67)/2)+AD67</f>
        <v>60242.944800000005</v>
      </c>
      <c r="AF67" s="37">
        <f t="shared" ref="AF67" si="61">(AC67-AD67)/2</f>
        <v>596.46480000000156</v>
      </c>
      <c r="AG67" s="21">
        <v>1.9982409999999999</v>
      </c>
      <c r="AH67" s="21">
        <v>1.8E-5</v>
      </c>
      <c r="AI67" s="21">
        <f>299792458/(1/(AG67*100))*0.000001</f>
        <v>59905.75810663779</v>
      </c>
      <c r="AJ67" s="21">
        <f t="shared" ref="AJ67" si="62">299792458/(1/(AH67*100))*0.000001</f>
        <v>0.53962642439999997</v>
      </c>
    </row>
    <row r="68" spans="3:36" ht="17.25" x14ac:dyDescent="0.25">
      <c r="D68" s="21" t="s">
        <v>60</v>
      </c>
      <c r="E68" s="21"/>
      <c r="F68" s="21"/>
      <c r="G68" s="21"/>
      <c r="H68" s="21"/>
      <c r="I68" s="21"/>
      <c r="J68" s="21"/>
      <c r="K68" s="28">
        <f>AVERAGE(K7:K10)</f>
        <v>12747667.854408313</v>
      </c>
      <c r="L68" s="28">
        <f>AVERAGE(L7:L10)</f>
        <v>518710.60299164464</v>
      </c>
      <c r="M68" s="28">
        <f>AVERAGE(M7:M10)</f>
        <v>1209769.2482568424</v>
      </c>
      <c r="N68" s="28"/>
      <c r="O68" s="28">
        <f t="shared" ref="O68:T68" si="63">AVERAGE(O7:O10)</f>
        <v>4825382.5685522668</v>
      </c>
      <c r="P68" s="28">
        <f t="shared" si="63"/>
        <v>10142660.608998228</v>
      </c>
      <c r="Q68" s="28">
        <f t="shared" si="63"/>
        <v>1.6025349664298481</v>
      </c>
      <c r="R68" s="28">
        <f t="shared" si="63"/>
        <v>1.5671017337758366</v>
      </c>
      <c r="S68" s="28">
        <f t="shared" si="63"/>
        <v>0.50606210608136393</v>
      </c>
      <c r="T68" s="28">
        <f t="shared" si="63"/>
        <v>0.92683616014279924</v>
      </c>
      <c r="Y68" s="21" t="s">
        <v>201</v>
      </c>
      <c r="Z68" s="21" t="s">
        <v>79</v>
      </c>
      <c r="AA68" s="21" t="s">
        <v>23</v>
      </c>
      <c r="AB68" s="37">
        <v>43100.443800000001</v>
      </c>
      <c r="AC68" s="37">
        <f t="shared" si="58"/>
        <v>43962.452676000001</v>
      </c>
      <c r="AD68" s="37">
        <f t="shared" si="59"/>
        <v>43100.443800000001</v>
      </c>
      <c r="AE68" s="37">
        <f t="shared" ref="AE68:AE70" si="64">((AC68-AD68)/2)+AD68</f>
        <v>43531.448237999997</v>
      </c>
      <c r="AF68" s="37">
        <f t="shared" ref="AF68:AF70" si="65">(AC68-AD68)/2</f>
        <v>431.00443799999994</v>
      </c>
      <c r="AG68" s="21">
        <v>1.4456199999999999</v>
      </c>
      <c r="AH68" s="21">
        <v>9.0000000000000006E-5</v>
      </c>
      <c r="AI68" s="21">
        <f>299792458/(1/(AG68*100))*0.000001</f>
        <v>43338.597313395992</v>
      </c>
      <c r="AJ68" s="21">
        <f>299792458/(1/(AH68*100))*0.000001</f>
        <v>2.6981321220000005</v>
      </c>
    </row>
    <row r="69" spans="3:36" ht="17.25" x14ac:dyDescent="0.25">
      <c r="D69" s="24" t="s">
        <v>61</v>
      </c>
      <c r="E69" s="24"/>
      <c r="F69" s="24"/>
      <c r="G69" s="24"/>
      <c r="H69" s="24"/>
      <c r="I69" s="24"/>
      <c r="J69" s="24"/>
      <c r="K69" s="31">
        <f>AVERAGE(K15:K20)</f>
        <v>2.1727408635472165</v>
      </c>
      <c r="L69" s="31">
        <f>AVERAGE(L15:L20)</f>
        <v>0.68574800085464627</v>
      </c>
      <c r="M69" s="31">
        <f>AVERAGE(M15:M20)</f>
        <v>0.21711395056070018</v>
      </c>
      <c r="N69" s="31"/>
      <c r="O69" s="31">
        <f t="shared" ref="O69:T69" si="66">AVERAGE(O15:O20)</f>
        <v>1.0252009383208542</v>
      </c>
      <c r="P69" s="31">
        <f t="shared" si="66"/>
        <v>1.6200889742286533</v>
      </c>
      <c r="Q69" s="31">
        <f t="shared" si="66"/>
        <v>1.3337199292219486</v>
      </c>
      <c r="R69" s="31">
        <f t="shared" si="66"/>
        <v>1.8807695152658672</v>
      </c>
      <c r="S69" s="31">
        <f t="shared" si="66"/>
        <v>0.65655146675590403</v>
      </c>
      <c r="T69" s="31">
        <f t="shared" si="66"/>
        <v>0.46267901797822869</v>
      </c>
      <c r="Y69" s="21" t="s">
        <v>47</v>
      </c>
      <c r="Z69" s="21" t="s">
        <v>76</v>
      </c>
      <c r="AA69" s="21" t="s">
        <v>23</v>
      </c>
      <c r="AB69" s="37">
        <v>616365.58900000004</v>
      </c>
      <c r="AC69" s="37">
        <f t="shared" si="58"/>
        <v>628692.90078000003</v>
      </c>
      <c r="AD69" s="37">
        <f t="shared" si="59"/>
        <v>616365.58900000004</v>
      </c>
      <c r="AE69" s="37">
        <f t="shared" si="64"/>
        <v>622529.24488999997</v>
      </c>
      <c r="AF69" s="37">
        <f t="shared" si="65"/>
        <v>6163.6558899999945</v>
      </c>
      <c r="AG69" s="38">
        <v>20.953711999999999</v>
      </c>
      <c r="AH69" s="21">
        <v>1.9999999999999999E-6</v>
      </c>
      <c r="AI69" s="21">
        <f>299792458/(1/(AG69*100))*0.000001</f>
        <v>628176.48247040948</v>
      </c>
      <c r="AJ69" s="21">
        <f>299792458/(1/(AH69*100))*0.000001</f>
        <v>5.9958491599999997E-2</v>
      </c>
    </row>
    <row r="70" spans="3:36" ht="17.25" x14ac:dyDescent="0.25">
      <c r="D70" s="25" t="s">
        <v>62</v>
      </c>
      <c r="E70" s="25"/>
      <c r="F70" s="25"/>
      <c r="G70" s="25"/>
      <c r="H70" s="25"/>
      <c r="I70" s="25"/>
      <c r="J70" s="25"/>
      <c r="K70" s="32">
        <f>AVERAGE(K23:K37)</f>
        <v>0.74598201668731234</v>
      </c>
      <c r="L70" s="32">
        <f>AVERAGE(L23:L37)</f>
        <v>1.0162049463163036</v>
      </c>
      <c r="M70" s="32">
        <f>AVERAGE(M23:M37)</f>
        <v>0.78013674702410729</v>
      </c>
      <c r="N70" s="32"/>
      <c r="O70" s="32">
        <f t="shared" ref="O70:T70" si="67">AVERAGE(O23:O37)</f>
        <v>0.84744123667590776</v>
      </c>
      <c r="P70" s="32">
        <f t="shared" si="67"/>
        <v>0.47045686371098877</v>
      </c>
      <c r="Q70" s="32">
        <f t="shared" si="67"/>
        <v>1.3040004525503763</v>
      </c>
      <c r="R70" s="32">
        <f t="shared" si="67"/>
        <v>0.84712412941544135</v>
      </c>
      <c r="S70" s="32">
        <f t="shared" si="67"/>
        <v>1.1008202085705185</v>
      </c>
      <c r="T70" s="32">
        <f t="shared" si="67"/>
        <v>1.05205566201404</v>
      </c>
      <c r="Y70" s="21" t="s">
        <v>202</v>
      </c>
      <c r="Z70" s="21" t="s">
        <v>106</v>
      </c>
      <c r="AA70" s="21" t="s">
        <v>23</v>
      </c>
      <c r="AB70" s="37">
        <v>325584.96077000001</v>
      </c>
      <c r="AC70" s="37">
        <f t="shared" si="58"/>
        <v>332096.65998540004</v>
      </c>
      <c r="AD70" s="37">
        <f t="shared" si="59"/>
        <v>325584.96077000001</v>
      </c>
      <c r="AE70" s="37">
        <f t="shared" si="64"/>
        <v>328840.81037770002</v>
      </c>
      <c r="AF70" s="37">
        <f t="shared" si="65"/>
        <v>3255.8496077000163</v>
      </c>
      <c r="AG70" s="21">
        <v>11.008502030000001</v>
      </c>
      <c r="AH70" s="21">
        <v>5.4000000000000002E-7</v>
      </c>
      <c r="AI70" s="21">
        <f>299792458/(1/(AG70*100))*0.000001</f>
        <v>330026.58824716893</v>
      </c>
      <c r="AJ70" s="21">
        <f>299792458/(1/(AH70*100))*0.000001</f>
        <v>1.6188792731999999E-2</v>
      </c>
    </row>
    <row r="71" spans="3:36" x14ac:dyDescent="0.25">
      <c r="K71" s="1"/>
      <c r="L71" s="1"/>
      <c r="M71" s="1"/>
      <c r="N71" s="1"/>
      <c r="O71" s="1"/>
      <c r="P71" s="1"/>
      <c r="Y71" s="24" t="s">
        <v>205</v>
      </c>
      <c r="Z71" s="24" t="s">
        <v>83</v>
      </c>
      <c r="AA71" s="24" t="s">
        <v>22</v>
      </c>
      <c r="AB71" s="39">
        <v>76800</v>
      </c>
      <c r="AC71" s="39">
        <f t="shared" ref="AC71:AC82" si="68">$AA$64*AB71</f>
        <v>78336</v>
      </c>
      <c r="AD71" s="39">
        <f t="shared" ref="AD71:AD82" si="69">AB71*$AC$64</f>
        <v>76800</v>
      </c>
      <c r="AE71" s="39">
        <f t="shared" ref="AE71:AE82" si="70">((AC71-AD71)/2)+AD71</f>
        <v>77568</v>
      </c>
      <c r="AF71" s="39">
        <f t="shared" ref="AF71:AF82" si="71">(AC71-AD71)/2</f>
        <v>768</v>
      </c>
    </row>
    <row r="72" spans="3:36" ht="17.25" x14ac:dyDescent="0.25">
      <c r="D72" t="s">
        <v>52</v>
      </c>
      <c r="K72" s="1">
        <f>AVERAGE(K52:K57)</f>
        <v>3.243008699878946</v>
      </c>
      <c r="L72" s="1">
        <f>AVERAGE(L52:L57)</f>
        <v>2.6406379156153892</v>
      </c>
      <c r="M72" s="1">
        <f>AVERAGE(M52:M57)</f>
        <v>1.7984203799736445</v>
      </c>
      <c r="N72" s="1"/>
      <c r="O72" s="1">
        <f t="shared" ref="O72:T72" si="72">AVERAGE(O52:O57)</f>
        <v>2.5606889984893262</v>
      </c>
      <c r="P72" s="1">
        <f t="shared" si="72"/>
        <v>1.4655573669123594</v>
      </c>
      <c r="Q72" s="1">
        <f t="shared" si="72"/>
        <v>0.61822092731638434</v>
      </c>
      <c r="R72" s="1">
        <f t="shared" si="72"/>
        <v>1.0055242505454973</v>
      </c>
      <c r="S72" s="1">
        <f t="shared" si="72"/>
        <v>0.87630981408556174</v>
      </c>
      <c r="T72" s="1">
        <f t="shared" si="72"/>
        <v>1.118165935368941</v>
      </c>
      <c r="Y72" s="24"/>
      <c r="Z72" s="24"/>
      <c r="AA72" s="24" t="s">
        <v>23</v>
      </c>
      <c r="AB72" s="39">
        <v>12055.1</v>
      </c>
      <c r="AC72" s="39">
        <f t="shared" si="68"/>
        <v>12296.202000000001</v>
      </c>
      <c r="AD72" s="39">
        <f t="shared" si="69"/>
        <v>12055.1</v>
      </c>
      <c r="AE72" s="39">
        <f t="shared" si="70"/>
        <v>12175.651000000002</v>
      </c>
      <c r="AF72" s="39">
        <f t="shared" si="71"/>
        <v>120.55100000000039</v>
      </c>
    </row>
    <row r="73" spans="3:36" ht="18" customHeight="1" x14ac:dyDescent="0.25">
      <c r="D73" s="17" t="s">
        <v>115</v>
      </c>
      <c r="E73" s="17"/>
      <c r="F73" s="17"/>
      <c r="G73" s="17"/>
      <c r="H73" s="17"/>
      <c r="I73" s="17"/>
      <c r="J73" s="17"/>
      <c r="K73" s="36">
        <f>AVERAGE(K52:K55)</f>
        <v>4.1090285578335832</v>
      </c>
      <c r="L73" s="36">
        <f>AVERAGE(L52:L55)</f>
        <v>3.2669154167952796</v>
      </c>
      <c r="M73" s="36">
        <f>AVERAGE(M52:M55)</f>
        <v>1.6111204868927507</v>
      </c>
      <c r="N73" s="36"/>
      <c r="O73" s="36">
        <f t="shared" ref="O73:T73" si="73">AVERAGE(O52:O55)</f>
        <v>2.995688153840538</v>
      </c>
      <c r="P73" s="36">
        <f t="shared" si="73"/>
        <v>1.8751510660224151</v>
      </c>
      <c r="Q73" s="36">
        <f t="shared" si="73"/>
        <v>0.39012377586229513</v>
      </c>
      <c r="R73" s="36">
        <f t="shared" si="73"/>
        <v>1.2390505534800795</v>
      </c>
      <c r="S73" s="36">
        <f t="shared" si="73"/>
        <v>1.0131996561968377</v>
      </c>
      <c r="T73" s="36">
        <f t="shared" si="73"/>
        <v>0.74774979032308264</v>
      </c>
      <c r="Y73" s="24"/>
      <c r="Z73" s="24"/>
      <c r="AA73" s="24" t="s">
        <v>24</v>
      </c>
      <c r="AB73" s="39">
        <v>10416</v>
      </c>
      <c r="AC73" s="39">
        <f t="shared" si="68"/>
        <v>10624.32</v>
      </c>
      <c r="AD73" s="39">
        <f t="shared" si="69"/>
        <v>10416</v>
      </c>
      <c r="AE73" s="39">
        <f t="shared" si="70"/>
        <v>10520.16</v>
      </c>
      <c r="AF73" s="39">
        <f t="shared" si="71"/>
        <v>104.15999999999985</v>
      </c>
    </row>
    <row r="74" spans="3:36" ht="17.25" x14ac:dyDescent="0.25">
      <c r="D74" s="42" t="s">
        <v>116</v>
      </c>
      <c r="E74" s="42"/>
      <c r="F74" s="42"/>
      <c r="G74" s="42"/>
      <c r="H74" s="42"/>
      <c r="I74" s="42"/>
      <c r="J74" s="42"/>
      <c r="K74" s="43">
        <f>AVERAGE(K56:K57)</f>
        <v>1.5109689839696712</v>
      </c>
      <c r="L74" s="43">
        <f t="shared" ref="L74:T74" si="74">AVERAGE(L56:L57)</f>
        <v>1.3880829132556081</v>
      </c>
      <c r="M74" s="43">
        <f t="shared" si="74"/>
        <v>2.1730201661354318</v>
      </c>
      <c r="N74" s="43" t="e">
        <f t="shared" si="74"/>
        <v>#DIV/0!</v>
      </c>
      <c r="O74" s="43">
        <f t="shared" si="74"/>
        <v>1.6906906877869037</v>
      </c>
      <c r="P74" s="43">
        <f t="shared" si="74"/>
        <v>0.64636996869224783</v>
      </c>
      <c r="Q74" s="43">
        <f t="shared" si="74"/>
        <v>1.0744152302245626</v>
      </c>
      <c r="R74" s="43">
        <f t="shared" si="74"/>
        <v>0.53847164467633235</v>
      </c>
      <c r="S74" s="43">
        <f t="shared" si="74"/>
        <v>0.60253012986301002</v>
      </c>
      <c r="T74" s="43">
        <f t="shared" si="74"/>
        <v>1.8589982254606574</v>
      </c>
      <c r="Y74" s="24" t="s">
        <v>206</v>
      </c>
      <c r="Z74" s="24" t="s">
        <v>84</v>
      </c>
      <c r="AA74" s="24" t="s">
        <v>22</v>
      </c>
      <c r="AB74" s="39">
        <v>11335.47</v>
      </c>
      <c r="AC74" s="39">
        <f t="shared" si="68"/>
        <v>11562.179399999999</v>
      </c>
      <c r="AD74" s="39">
        <f t="shared" si="69"/>
        <v>11335.47</v>
      </c>
      <c r="AE74" s="39">
        <f t="shared" si="70"/>
        <v>11448.824699999999</v>
      </c>
      <c r="AF74" s="39">
        <f t="shared" si="71"/>
        <v>113.35469999999987</v>
      </c>
    </row>
    <row r="75" spans="3:36" x14ac:dyDescent="0.25">
      <c r="Y75" s="24"/>
      <c r="Z75" s="24"/>
      <c r="AA75" s="24" t="s">
        <v>23</v>
      </c>
      <c r="AB75" s="39">
        <v>9478.6039999999994</v>
      </c>
      <c r="AC75" s="39">
        <f t="shared" si="68"/>
        <v>9668.1760799999993</v>
      </c>
      <c r="AD75" s="39">
        <f t="shared" si="69"/>
        <v>9478.6039999999994</v>
      </c>
      <c r="AE75" s="39">
        <f t="shared" si="70"/>
        <v>9573.3900399999984</v>
      </c>
      <c r="AF75" s="39">
        <f t="shared" si="71"/>
        <v>94.786039999999957</v>
      </c>
    </row>
    <row r="76" spans="3:36" x14ac:dyDescent="0.25">
      <c r="Y76" s="24"/>
      <c r="Z76" s="24"/>
      <c r="AA76" s="24" t="s">
        <v>24</v>
      </c>
      <c r="AB76" s="39">
        <v>5324.9</v>
      </c>
      <c r="AC76" s="39">
        <f t="shared" si="68"/>
        <v>5431.3980000000001</v>
      </c>
      <c r="AD76" s="39">
        <f t="shared" si="69"/>
        <v>5324.9</v>
      </c>
      <c r="AE76" s="39">
        <f t="shared" si="70"/>
        <v>5378.1489999999994</v>
      </c>
      <c r="AF76" s="39">
        <f t="shared" si="71"/>
        <v>53.249000000000251</v>
      </c>
    </row>
    <row r="77" spans="3:36" ht="17.25" x14ac:dyDescent="0.25">
      <c r="C77" t="s">
        <v>42</v>
      </c>
      <c r="D77" s="10" t="s">
        <v>0</v>
      </c>
      <c r="E77" s="10" t="s">
        <v>64</v>
      </c>
      <c r="F77" s="10" t="s">
        <v>1</v>
      </c>
      <c r="G77" s="10" t="s">
        <v>2</v>
      </c>
      <c r="H77" s="5" t="s">
        <v>4</v>
      </c>
      <c r="I77" s="7" t="s">
        <v>5</v>
      </c>
      <c r="J77" s="3" t="s">
        <v>6</v>
      </c>
      <c r="K77" s="6" t="s">
        <v>4</v>
      </c>
      <c r="L77" s="8" t="s">
        <v>5</v>
      </c>
      <c r="M77" s="4" t="s">
        <v>6</v>
      </c>
      <c r="N77" s="10" t="s">
        <v>0</v>
      </c>
      <c r="O77" s="15" t="s">
        <v>11</v>
      </c>
      <c r="P77" t="s">
        <v>53</v>
      </c>
      <c r="Q77" s="15" t="s">
        <v>117</v>
      </c>
      <c r="R77" s="6" t="s">
        <v>4</v>
      </c>
      <c r="S77" s="8" t="s">
        <v>5</v>
      </c>
      <c r="T77" s="4" t="s">
        <v>6</v>
      </c>
      <c r="U77" s="10" t="s">
        <v>0</v>
      </c>
      <c r="Y77" s="24" t="s">
        <v>204</v>
      </c>
      <c r="Z77" s="24" t="s">
        <v>82</v>
      </c>
      <c r="AA77" s="24" t="s">
        <v>22</v>
      </c>
      <c r="AB77" s="39">
        <v>5319.9</v>
      </c>
      <c r="AC77" s="39">
        <f t="shared" si="68"/>
        <v>5426.2979999999998</v>
      </c>
      <c r="AD77" s="39">
        <f t="shared" si="69"/>
        <v>5319.9</v>
      </c>
      <c r="AE77" s="39">
        <f t="shared" si="70"/>
        <v>5373.0990000000002</v>
      </c>
      <c r="AF77" s="39">
        <f t="shared" si="71"/>
        <v>53.199000000000069</v>
      </c>
    </row>
    <row r="78" spans="3:36" x14ac:dyDescent="0.25">
      <c r="C78">
        <v>1</v>
      </c>
      <c r="D78" s="21" t="s">
        <v>131</v>
      </c>
      <c r="E78" s="2">
        <f>AB67</f>
        <v>59646.48</v>
      </c>
      <c r="F78" s="2">
        <v>1</v>
      </c>
      <c r="G78" t="s">
        <v>9</v>
      </c>
      <c r="H78" s="5">
        <v>60750.533097</v>
      </c>
      <c r="I78" s="11">
        <v>60896.764978200001</v>
      </c>
      <c r="J78" s="3">
        <v>61284.105557800001</v>
      </c>
      <c r="K78" s="6">
        <f t="shared" ref="K78:K85" si="75">((E78-H78)/F78)*((E78-H78)/F78)</f>
        <v>1218933.2409952832</v>
      </c>
      <c r="L78" s="8">
        <f t="shared" ref="L78:L85" si="76">((E78-I78)/F78)*((E78-I78)/F78)</f>
        <v>1563212.5267125685</v>
      </c>
      <c r="M78" s="4">
        <f t="shared" ref="M78:M85" si="77">((E78-J78)/F78)*((E78-J78)/F78)</f>
        <v>2681817.4675597553</v>
      </c>
      <c r="N78" s="37" t="s">
        <v>261</v>
      </c>
      <c r="O78" s="1">
        <f t="shared" ref="O78:O98" si="78">(K78+L78+M78)/3</f>
        <v>1821321.0784225359</v>
      </c>
      <c r="P78" s="1">
        <f t="shared" ref="P78:P98" si="79">SQRT((K78-(K78+L78+M78)/3)*(K78-(K78+L78+M78)/3)+(L78-(K78+L78+M78)/3)*(L78-(K78+L78+M78)/3)+(M78-(K78+L78+M78)/3)*(M78-(K78+L78+M78)/3))</f>
        <v>1081640.0357162692</v>
      </c>
      <c r="Q78" s="1">
        <f t="shared" ref="Q78:Q85" si="80">P78/O78</f>
        <v>0.59387663632218446</v>
      </c>
      <c r="R78" s="6">
        <f t="shared" ref="R78:R98" si="81">K78/O78</f>
        <v>0.66925774671812033</v>
      </c>
      <c r="S78" s="16">
        <f t="shared" ref="S78:S98" si="82">L78/O78</f>
        <v>0.85828498073853199</v>
      </c>
      <c r="T78" s="4">
        <f t="shared" ref="T78:T98" si="83">M78/O78</f>
        <v>1.4724572725433474</v>
      </c>
      <c r="U78" s="37" t="s">
        <v>261</v>
      </c>
      <c r="Y78" s="24"/>
      <c r="Z78" s="24"/>
      <c r="AA78" s="24" t="s">
        <v>23</v>
      </c>
      <c r="AB78" s="39">
        <v>2828.5</v>
      </c>
      <c r="AC78" s="39">
        <f t="shared" si="68"/>
        <v>2885.07</v>
      </c>
      <c r="AD78" s="39">
        <f t="shared" si="69"/>
        <v>2828.5</v>
      </c>
      <c r="AE78" s="39">
        <f t="shared" si="70"/>
        <v>2856.7849999999999</v>
      </c>
      <c r="AF78" s="39">
        <f t="shared" si="71"/>
        <v>28.285000000000082</v>
      </c>
    </row>
    <row r="79" spans="3:36" x14ac:dyDescent="0.25">
      <c r="C79">
        <v>2</v>
      </c>
      <c r="D79" s="21" t="s">
        <v>132</v>
      </c>
      <c r="E79" s="2">
        <f>AB68</f>
        <v>43100.443800000001</v>
      </c>
      <c r="F79" s="2">
        <v>1</v>
      </c>
      <c r="G79" t="s">
        <v>9</v>
      </c>
      <c r="H79" s="5">
        <v>43609.715785</v>
      </c>
      <c r="I79" s="11">
        <v>44461.199832600003</v>
      </c>
      <c r="J79" s="3">
        <v>44782.178607200003</v>
      </c>
      <c r="K79" s="6">
        <f t="shared" si="75"/>
        <v>259357.95470583963</v>
      </c>
      <c r="L79" s="8">
        <f t="shared" si="76"/>
        <v>1851656.9802572979</v>
      </c>
      <c r="M79" s="4">
        <f t="shared" si="77"/>
        <v>2828231.9617480286</v>
      </c>
      <c r="N79" s="37" t="s">
        <v>262</v>
      </c>
      <c r="O79" s="1">
        <f t="shared" si="78"/>
        <v>1646415.6322370553</v>
      </c>
      <c r="P79" s="1">
        <f t="shared" si="79"/>
        <v>1833778.2986048902</v>
      </c>
      <c r="Q79" s="1">
        <f t="shared" si="80"/>
        <v>1.1138003446391342</v>
      </c>
      <c r="R79" s="6">
        <f t="shared" si="81"/>
        <v>0.15752884607481457</v>
      </c>
      <c r="S79" s="16">
        <f t="shared" si="82"/>
        <v>1.1246594990970611</v>
      </c>
      <c r="T79" s="4">
        <f t="shared" si="83"/>
        <v>1.7178116548281244</v>
      </c>
      <c r="U79" s="37" t="s">
        <v>262</v>
      </c>
      <c r="Y79" s="24"/>
      <c r="Z79" s="24"/>
      <c r="AA79" s="24" t="s">
        <v>24</v>
      </c>
      <c r="AB79" s="39">
        <v>2796.3</v>
      </c>
      <c r="AC79" s="39">
        <f t="shared" si="68"/>
        <v>2852.2260000000001</v>
      </c>
      <c r="AD79" s="39">
        <f t="shared" si="69"/>
        <v>2796.3</v>
      </c>
      <c r="AE79" s="39">
        <f t="shared" si="70"/>
        <v>2824.2629999999999</v>
      </c>
      <c r="AF79" s="39">
        <f t="shared" si="71"/>
        <v>27.962999999999965</v>
      </c>
    </row>
    <row r="80" spans="3:36" x14ac:dyDescent="0.25">
      <c r="C80">
        <v>3</v>
      </c>
      <c r="D80" s="21" t="s">
        <v>46</v>
      </c>
      <c r="E80" s="22">
        <f>AB69</f>
        <v>616365.58900000004</v>
      </c>
      <c r="F80" s="22">
        <v>1</v>
      </c>
      <c r="G80" t="s">
        <v>9</v>
      </c>
      <c r="H80" s="5">
        <v>621533.98272870004</v>
      </c>
      <c r="I80" s="11">
        <v>627204.89341779996</v>
      </c>
      <c r="J80" s="3">
        <v>626575.41167449998</v>
      </c>
      <c r="K80" s="6">
        <f t="shared" si="75"/>
        <v>26712293.734865498</v>
      </c>
      <c r="L80" s="8">
        <f t="shared" si="76"/>
        <v>117490520.26173697</v>
      </c>
      <c r="M80" s="4">
        <f t="shared" si="77"/>
        <v>104240479.04473312</v>
      </c>
      <c r="N80" s="37" t="s">
        <v>263</v>
      </c>
      <c r="O80" s="1">
        <f t="shared" si="78"/>
        <v>82814431.013778523</v>
      </c>
      <c r="P80" s="1">
        <f t="shared" si="79"/>
        <v>69346640.199934378</v>
      </c>
      <c r="Q80" s="1">
        <f t="shared" si="80"/>
        <v>0.83737386529162539</v>
      </c>
      <c r="R80" s="6">
        <f t="shared" si="81"/>
        <v>0.32255602565718472</v>
      </c>
      <c r="S80" s="16">
        <f t="shared" si="82"/>
        <v>1.4187203706343052</v>
      </c>
      <c r="T80" s="4">
        <f t="shared" si="83"/>
        <v>1.2587236037085103</v>
      </c>
      <c r="U80" s="37" t="s">
        <v>263</v>
      </c>
      <c r="Y80" s="24" t="s">
        <v>203</v>
      </c>
      <c r="Z80" s="24" t="s">
        <v>81</v>
      </c>
      <c r="AA80" s="24" t="s">
        <v>22</v>
      </c>
      <c r="AB80" s="39">
        <v>2105.1216599999998</v>
      </c>
      <c r="AC80" s="39">
        <f t="shared" si="68"/>
        <v>2147.2240932</v>
      </c>
      <c r="AD80" s="39">
        <f t="shared" si="69"/>
        <v>2105.1216599999998</v>
      </c>
      <c r="AE80" s="39">
        <f t="shared" si="70"/>
        <v>2126.1728765999997</v>
      </c>
      <c r="AF80" s="39">
        <f t="shared" si="71"/>
        <v>21.051216600000089</v>
      </c>
    </row>
    <row r="81" spans="3:32" x14ac:dyDescent="0.25">
      <c r="C81">
        <v>4</v>
      </c>
      <c r="D81" s="21" t="s">
        <v>133</v>
      </c>
      <c r="E81" s="2">
        <f>AB70</f>
        <v>325584.96077000001</v>
      </c>
      <c r="F81" s="2">
        <v>1</v>
      </c>
      <c r="G81" t="s">
        <v>9</v>
      </c>
      <c r="H81" s="5">
        <v>326648.91330140003</v>
      </c>
      <c r="I81" s="34">
        <v>329629.27618470002</v>
      </c>
      <c r="J81" s="3">
        <v>329298.45030279999</v>
      </c>
      <c r="K81" s="6">
        <f t="shared" si="75"/>
        <v>1131994.989072511</v>
      </c>
      <c r="L81" s="8">
        <f t="shared" si="76"/>
        <v>16356487.17358017</v>
      </c>
      <c r="M81" s="4">
        <f t="shared" si="77"/>
        <v>13790004.510215042</v>
      </c>
      <c r="N81" s="37" t="s">
        <v>264</v>
      </c>
      <c r="O81" s="1">
        <f t="shared" si="78"/>
        <v>10426162.22428924</v>
      </c>
      <c r="P81" s="1">
        <f t="shared" si="79"/>
        <v>11526739.93481857</v>
      </c>
      <c r="Q81" s="1">
        <f t="shared" si="80"/>
        <v>1.1055592352059682</v>
      </c>
      <c r="R81" s="6">
        <f t="shared" si="81"/>
        <v>0.10857254709075659</v>
      </c>
      <c r="S81" s="16">
        <f t="shared" si="82"/>
        <v>1.5687926987626748</v>
      </c>
      <c r="T81" s="4">
        <f t="shared" si="83"/>
        <v>1.3226347541465688</v>
      </c>
      <c r="U81" s="37" t="s">
        <v>264</v>
      </c>
      <c r="Y81" s="24"/>
      <c r="Z81" s="24"/>
      <c r="AA81" s="24" t="s">
        <v>23</v>
      </c>
      <c r="AB81" s="39">
        <v>1053.99503</v>
      </c>
      <c r="AC81" s="39">
        <f t="shared" si="68"/>
        <v>1075.0749306</v>
      </c>
      <c r="AD81" s="39">
        <f t="shared" si="69"/>
        <v>1053.99503</v>
      </c>
      <c r="AE81" s="39">
        <f t="shared" si="70"/>
        <v>1064.5349802999999</v>
      </c>
      <c r="AF81" s="39">
        <f t="shared" si="71"/>
        <v>10.539950299999987</v>
      </c>
    </row>
    <row r="82" spans="3:32" ht="17.25" x14ac:dyDescent="0.25">
      <c r="C82">
        <v>5</v>
      </c>
      <c r="D82" s="23" t="s">
        <v>128</v>
      </c>
      <c r="E82">
        <f>Z8</f>
        <v>2329.9117299999998</v>
      </c>
      <c r="F82" s="22">
        <f>Z9+1</f>
        <v>1.0000599999999999</v>
      </c>
      <c r="G82" t="s">
        <v>3</v>
      </c>
      <c r="H82" s="5">
        <v>2448.4951000000001</v>
      </c>
      <c r="I82" s="7">
        <v>2480.3732</v>
      </c>
      <c r="J82" s="3">
        <v>2525.2159999999999</v>
      </c>
      <c r="K82" s="6">
        <f t="shared" si="75"/>
        <v>14060.328350537722</v>
      </c>
      <c r="L82" s="8">
        <f t="shared" si="76"/>
        <v>22635.937560564322</v>
      </c>
      <c r="M82" s="4">
        <f t="shared" si="77"/>
        <v>38139.181041206939</v>
      </c>
      <c r="N82" s="45" t="s">
        <v>265</v>
      </c>
      <c r="O82" s="1">
        <f t="shared" si="78"/>
        <v>24945.148984102998</v>
      </c>
      <c r="P82" s="1">
        <f t="shared" si="79"/>
        <v>17259.61353991961</v>
      </c>
      <c r="Q82" s="1">
        <f t="shared" si="80"/>
        <v>0.69190260402608894</v>
      </c>
      <c r="R82" s="6">
        <f t="shared" si="81"/>
        <v>0.56364980459720104</v>
      </c>
      <c r="S82" s="16">
        <f t="shared" si="82"/>
        <v>0.90742843728813616</v>
      </c>
      <c r="T82" s="4">
        <f t="shared" si="83"/>
        <v>1.5289217581146624</v>
      </c>
      <c r="U82" s="45" t="s">
        <v>265</v>
      </c>
      <c r="Y82" s="24"/>
      <c r="Z82" s="24"/>
      <c r="AA82" s="24" t="s">
        <v>24</v>
      </c>
      <c r="AB82" s="39">
        <v>932.33959000000004</v>
      </c>
      <c r="AC82" s="39">
        <f t="shared" si="68"/>
        <v>950.98638180000012</v>
      </c>
      <c r="AD82" s="39">
        <f t="shared" si="69"/>
        <v>932.33959000000004</v>
      </c>
      <c r="AE82" s="39">
        <f t="shared" si="70"/>
        <v>941.66298590000008</v>
      </c>
      <c r="AF82" s="39">
        <f t="shared" si="71"/>
        <v>9.3233959000000368</v>
      </c>
    </row>
    <row r="83" spans="3:32" ht="17.25" x14ac:dyDescent="0.25">
      <c r="C83">
        <v>6</v>
      </c>
      <c r="D83" s="23" t="s">
        <v>129</v>
      </c>
      <c r="E83">
        <f>AC13</f>
        <v>1579.9125800000002</v>
      </c>
      <c r="F83" s="22">
        <v>1</v>
      </c>
      <c r="G83" t="s">
        <v>3</v>
      </c>
      <c r="H83" s="5">
        <v>1634.8829000000001</v>
      </c>
      <c r="I83" s="7">
        <v>1712.6837</v>
      </c>
      <c r="J83" s="3">
        <v>1763.4824000000001</v>
      </c>
      <c r="K83" s="6">
        <f t="shared" si="75"/>
        <v>3021.7360809023889</v>
      </c>
      <c r="L83" s="8">
        <f t="shared" si="76"/>
        <v>17628.17030605437</v>
      </c>
      <c r="M83" s="4">
        <f t="shared" si="77"/>
        <v>33697.87881483238</v>
      </c>
      <c r="N83" s="45" t="s">
        <v>266</v>
      </c>
      <c r="O83" s="1">
        <f t="shared" si="78"/>
        <v>18115.928400596382</v>
      </c>
      <c r="P83" s="1">
        <f t="shared" si="79"/>
        <v>21699.532908669022</v>
      </c>
      <c r="Q83" s="1">
        <f t="shared" si="80"/>
        <v>1.197815117659367</v>
      </c>
      <c r="R83" s="6">
        <f t="shared" si="81"/>
        <v>0.16679995714726453</v>
      </c>
      <c r="S83" s="16">
        <f t="shared" si="82"/>
        <v>0.97307573292650262</v>
      </c>
      <c r="T83" s="4">
        <f t="shared" si="83"/>
        <v>1.8601243099262323</v>
      </c>
      <c r="U83" s="45" t="s">
        <v>266</v>
      </c>
    </row>
    <row r="84" spans="3:32" ht="17.25" x14ac:dyDescent="0.25">
      <c r="C84">
        <v>7</v>
      </c>
      <c r="D84" s="23" t="s">
        <v>43</v>
      </c>
      <c r="E84" s="22">
        <f>Z18</f>
        <v>3961.4229</v>
      </c>
      <c r="F84" s="22">
        <f>Z19+1</f>
        <v>1.0002500000000001</v>
      </c>
      <c r="G84" t="s">
        <v>3</v>
      </c>
      <c r="H84" s="5">
        <v>4084.6669000000002</v>
      </c>
      <c r="I84" s="11">
        <v>4155.0355</v>
      </c>
      <c r="J84" s="3">
        <v>4173.9759000000004</v>
      </c>
      <c r="K84" s="6">
        <f t="shared" si="75"/>
        <v>15181.491841236173</v>
      </c>
      <c r="L84" s="8">
        <f t="shared" si="76"/>
        <v>37467.102985573249</v>
      </c>
      <c r="M84" s="4">
        <f t="shared" si="77"/>
        <v>45156.196888293685</v>
      </c>
      <c r="N84" s="45" t="s">
        <v>267</v>
      </c>
      <c r="O84" s="1">
        <f t="shared" si="78"/>
        <v>32601.597238367704</v>
      </c>
      <c r="P84" s="1">
        <f t="shared" si="79"/>
        <v>22017.065894282616</v>
      </c>
      <c r="Q84" s="1">
        <f t="shared" si="80"/>
        <v>0.67533703129034073</v>
      </c>
      <c r="R84" s="6">
        <f t="shared" si="81"/>
        <v>0.46566711840024805</v>
      </c>
      <c r="S84" s="16">
        <f t="shared" si="82"/>
        <v>1.1492413304670699</v>
      </c>
      <c r="T84" s="4">
        <f t="shared" si="83"/>
        <v>1.385091551132682</v>
      </c>
      <c r="U84" s="45" t="s">
        <v>267</v>
      </c>
    </row>
    <row r="85" spans="3:32" ht="17.25" x14ac:dyDescent="0.25">
      <c r="C85">
        <v>8</v>
      </c>
      <c r="D85" s="23" t="s">
        <v>130</v>
      </c>
      <c r="E85" s="2">
        <f>Z23</f>
        <v>2906.84</v>
      </c>
      <c r="F85" s="2">
        <f>Z24+1</f>
        <v>1.0900000000000001</v>
      </c>
      <c r="G85" t="s">
        <v>3</v>
      </c>
      <c r="H85" s="5">
        <v>2961.1801</v>
      </c>
      <c r="I85" s="11">
        <v>3012.1938</v>
      </c>
      <c r="J85" s="3">
        <v>3025.9245999999998</v>
      </c>
      <c r="K85" s="6">
        <f t="shared" si="75"/>
        <v>2485.3517953118321</v>
      </c>
      <c r="L85" s="8">
        <f t="shared" si="76"/>
        <v>9342.1624227253342</v>
      </c>
      <c r="M85" s="4">
        <f t="shared" si="77"/>
        <v>11935.983467014494</v>
      </c>
      <c r="N85" s="45" t="s">
        <v>268</v>
      </c>
      <c r="O85" s="1">
        <f t="shared" si="78"/>
        <v>7921.1658950172205</v>
      </c>
      <c r="P85" s="1">
        <f t="shared" si="79"/>
        <v>6905.5098432145114</v>
      </c>
      <c r="Q85" s="1">
        <f t="shared" si="80"/>
        <v>0.87177947473091</v>
      </c>
      <c r="R85" s="6">
        <f t="shared" si="81"/>
        <v>0.31376085645109808</v>
      </c>
      <c r="S85" s="16">
        <f t="shared" si="82"/>
        <v>1.1793923453366866</v>
      </c>
      <c r="T85" s="4">
        <f t="shared" si="83"/>
        <v>1.5068467982122151</v>
      </c>
      <c r="U85" s="45" t="s">
        <v>268</v>
      </c>
      <c r="Y85" s="25" t="s">
        <v>25</v>
      </c>
      <c r="Z85" s="12" t="s">
        <v>26</v>
      </c>
      <c r="AA85" s="12">
        <v>1.04</v>
      </c>
      <c r="AB85" s="12" t="s">
        <v>27</v>
      </c>
      <c r="AC85" s="12">
        <v>0.98</v>
      </c>
    </row>
    <row r="86" spans="3:32" x14ac:dyDescent="0.25">
      <c r="C86">
        <v>9</v>
      </c>
      <c r="D86" s="24" t="s">
        <v>143</v>
      </c>
      <c r="E86" s="2">
        <f>AB71</f>
        <v>76800</v>
      </c>
      <c r="F86" s="2">
        <v>1</v>
      </c>
      <c r="G86" t="s">
        <v>9</v>
      </c>
      <c r="H86" s="5">
        <v>78201.579315900002</v>
      </c>
      <c r="I86" s="11">
        <v>78513.580251299994</v>
      </c>
      <c r="J86" s="3">
        <v>78197.315071000005</v>
      </c>
      <c r="K86" s="6">
        <f t="shared" ref="K86:K91" si="84">((E86-H86)/F86)*((E86-H86)/F86)</f>
        <v>1964424.5787587182</v>
      </c>
      <c r="L86" s="8">
        <f t="shared" ref="L86:L91" si="85">((E86-I86)/F86)*((E86-I86)/F86)</f>
        <v>2936357.2776453518</v>
      </c>
      <c r="M86" s="4">
        <f t="shared" ref="M86:M91" si="86">((E86-J86)/F86)*((E86-J86)/F86)</f>
        <v>1952489.4076437477</v>
      </c>
      <c r="N86" s="39" t="s">
        <v>269</v>
      </c>
      <c r="O86" s="1">
        <f t="shared" ref="O86:O93" si="87">(K86+L86+M86)/3</f>
        <v>2284423.7546826056</v>
      </c>
      <c r="P86" s="1">
        <f t="shared" ref="P86:P93" si="88">SQRT((K86-(K86+L86+M86)/3)*(K86-(K86+L86+M86)/3)+(L86-(K86+L86+M86)/3)*(L86-(K86+L86+M86)/3)+(M86-(K86+L86+M86)/3)*(M86-(K86+L86+M86)/3))</f>
        <v>798496.83887833741</v>
      </c>
      <c r="Q86" s="1">
        <f t="shared" ref="Q86:Q91" si="89">P86/O86</f>
        <v>0.34953971969586672</v>
      </c>
      <c r="R86" s="6">
        <f t="shared" ref="R86:R93" si="90">K86/O86</f>
        <v>0.8599212710566706</v>
      </c>
      <c r="S86" s="16">
        <f t="shared" ref="S86:S93" si="91">L86/O86</f>
        <v>1.2853820450896707</v>
      </c>
      <c r="T86" s="4">
        <f t="shared" ref="T86:T93" si="92">M86/O86</f>
        <v>0.85469668385365904</v>
      </c>
      <c r="U86" s="39" t="s">
        <v>269</v>
      </c>
    </row>
    <row r="87" spans="3:32" x14ac:dyDescent="0.25">
      <c r="C87">
        <v>10</v>
      </c>
      <c r="D87" s="24" t="s">
        <v>144</v>
      </c>
      <c r="E87" s="2">
        <f>AB72</f>
        <v>12055.1</v>
      </c>
      <c r="F87" s="2">
        <v>1</v>
      </c>
      <c r="G87" t="s">
        <v>9</v>
      </c>
      <c r="H87" s="5">
        <v>12084.7104058</v>
      </c>
      <c r="I87" s="11">
        <v>12206.458149100001</v>
      </c>
      <c r="J87" s="3">
        <v>12232.080947599999</v>
      </c>
      <c r="K87" s="6">
        <f t="shared" si="84"/>
        <v>876.77613164067839</v>
      </c>
      <c r="L87" s="8">
        <f t="shared" si="85"/>
        <v>22909.289298977965</v>
      </c>
      <c r="M87" s="4">
        <f t="shared" si="86"/>
        <v>31322.255813393636</v>
      </c>
      <c r="N87" s="39" t="s">
        <v>269</v>
      </c>
      <c r="O87" s="1">
        <f t="shared" si="87"/>
        <v>18369.44041467076</v>
      </c>
      <c r="P87" s="1">
        <f t="shared" si="88"/>
        <v>22234.63420802182</v>
      </c>
      <c r="Q87" s="1">
        <f t="shared" si="89"/>
        <v>1.2104143461149814</v>
      </c>
      <c r="R87" s="6">
        <f t="shared" si="90"/>
        <v>4.7730149196076807E-2</v>
      </c>
      <c r="S87" s="16">
        <f t="shared" si="91"/>
        <v>1.2471413816547974</v>
      </c>
      <c r="T87" s="4">
        <f t="shared" si="92"/>
        <v>1.7051284691491257</v>
      </c>
      <c r="U87" s="39" t="s">
        <v>269</v>
      </c>
      <c r="Y87" t="s">
        <v>21</v>
      </c>
      <c r="Z87" t="s">
        <v>65</v>
      </c>
      <c r="AA87" t="s">
        <v>78</v>
      </c>
      <c r="AB87" t="s">
        <v>16</v>
      </c>
      <c r="AC87" t="s">
        <v>17</v>
      </c>
      <c r="AD87" t="s">
        <v>18</v>
      </c>
      <c r="AE87" t="s">
        <v>19</v>
      </c>
      <c r="AF87" t="s">
        <v>20</v>
      </c>
    </row>
    <row r="88" spans="3:32" x14ac:dyDescent="0.25">
      <c r="C88">
        <v>11</v>
      </c>
      <c r="D88" s="24" t="s">
        <v>145</v>
      </c>
      <c r="E88" s="2">
        <f>AB73</f>
        <v>10416</v>
      </c>
      <c r="F88" s="2">
        <v>1</v>
      </c>
      <c r="G88" t="s">
        <v>9</v>
      </c>
      <c r="H88" s="5">
        <v>10467.186570899999</v>
      </c>
      <c r="I88" s="11">
        <v>10564.068847099999</v>
      </c>
      <c r="J88" s="3">
        <v>10577.4884047</v>
      </c>
      <c r="K88" s="6">
        <f t="shared" si="84"/>
        <v>2620.0650405006677</v>
      </c>
      <c r="L88" s="8">
        <f t="shared" si="85"/>
        <v>21924.383481523</v>
      </c>
      <c r="M88" s="4">
        <f t="shared" si="86"/>
        <v>26078.50485255085</v>
      </c>
      <c r="N88" s="39" t="s">
        <v>269</v>
      </c>
      <c r="O88" s="1">
        <f t="shared" si="87"/>
        <v>16874.317791524838</v>
      </c>
      <c r="P88" s="1">
        <f t="shared" si="88"/>
        <v>17703.218476247064</v>
      </c>
      <c r="Q88" s="1">
        <f t="shared" si="89"/>
        <v>1.0491220264405914</v>
      </c>
      <c r="R88" s="6">
        <f t="shared" si="90"/>
        <v>0.15526939061302975</v>
      </c>
      <c r="S88" s="16">
        <f t="shared" si="91"/>
        <v>1.2992752508510044</v>
      </c>
      <c r="T88" s="4">
        <f t="shared" si="92"/>
        <v>1.5454553585359661</v>
      </c>
      <c r="U88" s="39" t="s">
        <v>269</v>
      </c>
      <c r="Y88" s="25" t="s">
        <v>207</v>
      </c>
      <c r="Z88" s="25" t="s">
        <v>85</v>
      </c>
      <c r="AA88" s="25" t="s">
        <v>23</v>
      </c>
      <c r="AB88" s="40">
        <v>3195.3534</v>
      </c>
      <c r="AC88" s="40">
        <f t="shared" ref="AC88" si="93">$AA$85*AB88</f>
        <v>3323.1675359999999</v>
      </c>
      <c r="AD88" s="40">
        <f t="shared" ref="AD88" si="94">AB88*$AC$85</f>
        <v>3131.446332</v>
      </c>
      <c r="AE88" s="40">
        <f t="shared" ref="AE88:AE94" si="95">((AC88-AD88)/2)+AD88</f>
        <v>3227.3069340000002</v>
      </c>
      <c r="AF88" s="40">
        <f>(AC88-AD88)/2</f>
        <v>95.860601999999972</v>
      </c>
    </row>
    <row r="89" spans="3:32" x14ac:dyDescent="0.25">
      <c r="C89">
        <v>12</v>
      </c>
      <c r="D89" s="24" t="s">
        <v>140</v>
      </c>
      <c r="E89" s="2">
        <f>AB80</f>
        <v>2105.1216599999998</v>
      </c>
      <c r="F89" s="2">
        <v>1</v>
      </c>
      <c r="G89" t="s">
        <v>9</v>
      </c>
      <c r="H89" s="5">
        <v>2089.8247541999999</v>
      </c>
      <c r="I89" s="7">
        <v>2115.6586944000001</v>
      </c>
      <c r="J89" s="3">
        <v>2122.1685222999999</v>
      </c>
      <c r="K89" s="6">
        <f t="shared" si="84"/>
        <v>233.99532705406986</v>
      </c>
      <c r="L89" s="8">
        <f t="shared" si="85"/>
        <v>111.02909394678896</v>
      </c>
      <c r="M89" s="4">
        <f t="shared" si="86"/>
        <v>290.59551427516664</v>
      </c>
      <c r="N89" s="39" t="s">
        <v>270</v>
      </c>
      <c r="O89" s="1">
        <f t="shared" si="87"/>
        <v>211.87331175867516</v>
      </c>
      <c r="P89" s="1">
        <f t="shared" si="88"/>
        <v>129.83114031644456</v>
      </c>
      <c r="Q89" s="1">
        <f t="shared" si="89"/>
        <v>0.61277722634704901</v>
      </c>
      <c r="R89" s="6">
        <f t="shared" si="90"/>
        <v>1.1044115236212091</v>
      </c>
      <c r="S89" s="16">
        <f t="shared" si="91"/>
        <v>0.52403529743874344</v>
      </c>
      <c r="T89" s="4">
        <f t="shared" si="92"/>
        <v>1.3715531789400475</v>
      </c>
      <c r="U89" s="39" t="s">
        <v>270</v>
      </c>
      <c r="Y89" s="25" t="s">
        <v>208</v>
      </c>
      <c r="Z89" s="25" t="s">
        <v>88</v>
      </c>
      <c r="AA89" s="25" t="s">
        <v>22</v>
      </c>
      <c r="AB89" s="40">
        <v>968.10040000000004</v>
      </c>
      <c r="AC89" s="40">
        <f t="shared" ref="AC89:AC112" si="96">$AA$85*AB89</f>
        <v>1006.824416</v>
      </c>
      <c r="AD89" s="40">
        <f t="shared" ref="AD89:AD112" si="97">AB89*$AC$85</f>
        <v>948.73839199999998</v>
      </c>
      <c r="AE89" s="40">
        <f t="shared" si="95"/>
        <v>977.78140400000007</v>
      </c>
      <c r="AF89" s="40">
        <f>(AC89-AD89)/2</f>
        <v>29.043012000000033</v>
      </c>
    </row>
    <row r="90" spans="3:32" x14ac:dyDescent="0.25">
      <c r="C90">
        <v>13</v>
      </c>
      <c r="D90" s="24" t="s">
        <v>141</v>
      </c>
      <c r="E90" s="2">
        <f>AB81</f>
        <v>1053.99503</v>
      </c>
      <c r="F90" s="2">
        <v>1</v>
      </c>
      <c r="G90" t="s">
        <v>9</v>
      </c>
      <c r="H90" s="5">
        <v>1042.1770097000001</v>
      </c>
      <c r="I90" s="7">
        <v>1053.0834953000001</v>
      </c>
      <c r="J90" s="3">
        <v>1062.5254582</v>
      </c>
      <c r="K90" s="6">
        <f t="shared" si="84"/>
        <v>139.66560381121076</v>
      </c>
      <c r="L90" s="8">
        <f t="shared" si="85"/>
        <v>0.83089550930399414</v>
      </c>
      <c r="M90" s="4">
        <f t="shared" si="86"/>
        <v>72.768205275354561</v>
      </c>
      <c r="N90" s="39" t="s">
        <v>270</v>
      </c>
      <c r="O90" s="1">
        <f t="shared" si="87"/>
        <v>71.088234865289778</v>
      </c>
      <c r="P90" s="1">
        <f t="shared" si="88"/>
        <v>98.192522961301947</v>
      </c>
      <c r="Q90" s="1">
        <f t="shared" si="89"/>
        <v>1.3812767070018555</v>
      </c>
      <c r="R90" s="6">
        <f t="shared" si="90"/>
        <v>1.9646795855301962</v>
      </c>
      <c r="S90" s="16">
        <f t="shared" si="91"/>
        <v>1.168822816994286E-2</v>
      </c>
      <c r="T90" s="4">
        <f t="shared" si="92"/>
        <v>1.0236321862998607</v>
      </c>
      <c r="U90" s="39" t="s">
        <v>270</v>
      </c>
      <c r="Y90" s="25"/>
      <c r="Z90" s="25"/>
      <c r="AA90" s="25" t="s">
        <v>23</v>
      </c>
      <c r="AB90" s="40">
        <v>734.3211</v>
      </c>
      <c r="AC90" s="40">
        <f t="shared" si="96"/>
        <v>763.69394399999999</v>
      </c>
      <c r="AD90" s="40">
        <f t="shared" si="97"/>
        <v>719.63467800000001</v>
      </c>
      <c r="AE90" s="40">
        <f t="shared" si="95"/>
        <v>741.664311</v>
      </c>
      <c r="AF90" s="40">
        <f t="shared" ref="AF90:AF91" si="98">(AC90-AD90)/2</f>
        <v>22.02963299999999</v>
      </c>
    </row>
    <row r="91" spans="3:32" x14ac:dyDescent="0.25">
      <c r="C91">
        <v>14</v>
      </c>
      <c r="D91" s="24" t="s">
        <v>142</v>
      </c>
      <c r="E91" s="2">
        <f>AB82</f>
        <v>932.33959000000004</v>
      </c>
      <c r="F91" s="2">
        <v>1</v>
      </c>
      <c r="G91" t="s">
        <v>9</v>
      </c>
      <c r="H91" s="5">
        <v>922.90681610000001</v>
      </c>
      <c r="I91" s="7">
        <v>932.69284700000003</v>
      </c>
      <c r="J91" s="3">
        <v>939.87797590000002</v>
      </c>
      <c r="K91" s="6">
        <f t="shared" si="84"/>
        <v>88.977223448521755</v>
      </c>
      <c r="L91" s="8">
        <f t="shared" si="85"/>
        <v>0.12479050804898945</v>
      </c>
      <c r="M91" s="4">
        <f t="shared" si="86"/>
        <v>56.827261977318514</v>
      </c>
      <c r="N91" s="39" t="s">
        <v>270</v>
      </c>
      <c r="O91" s="1">
        <f t="shared" si="87"/>
        <v>48.643091977963081</v>
      </c>
      <c r="P91" s="1">
        <f t="shared" si="88"/>
        <v>63.622703318769233</v>
      </c>
      <c r="Q91" s="1">
        <f t="shared" si="89"/>
        <v>1.3079494072373608</v>
      </c>
      <c r="R91" s="6">
        <f t="shared" si="90"/>
        <v>1.8291851901361731</v>
      </c>
      <c r="S91" s="16">
        <f t="shared" si="91"/>
        <v>2.5654312457259838E-3</v>
      </c>
      <c r="T91" s="4">
        <f t="shared" si="92"/>
        <v>1.1682493786181012</v>
      </c>
      <c r="U91" s="39" t="s">
        <v>270</v>
      </c>
      <c r="Y91" s="25"/>
      <c r="Z91" s="25"/>
      <c r="AA91" s="25" t="s">
        <v>24</v>
      </c>
      <c r="AB91" s="40">
        <v>533.26769999999999</v>
      </c>
      <c r="AC91" s="40">
        <f t="shared" si="96"/>
        <v>554.59840800000006</v>
      </c>
      <c r="AD91" s="40">
        <f t="shared" si="97"/>
        <v>522.60234600000001</v>
      </c>
      <c r="AE91" s="40">
        <f t="shared" si="95"/>
        <v>538.60037699999998</v>
      </c>
      <c r="AF91" s="40">
        <f t="shared" si="98"/>
        <v>15.998031000000026</v>
      </c>
    </row>
    <row r="92" spans="3:32" ht="17.25" x14ac:dyDescent="0.25">
      <c r="C92">
        <v>15</v>
      </c>
      <c r="D92" s="20" t="s">
        <v>134</v>
      </c>
      <c r="E92" s="2">
        <f>Z28</f>
        <v>3570</v>
      </c>
      <c r="F92" s="2">
        <f>Z29</f>
        <v>2</v>
      </c>
      <c r="G92" t="s">
        <v>3</v>
      </c>
      <c r="H92" s="5">
        <v>3727.1788000000001</v>
      </c>
      <c r="I92" s="7">
        <v>3781.2683999999999</v>
      </c>
      <c r="J92" s="3">
        <v>3800.7597000000001</v>
      </c>
      <c r="K92" s="6">
        <f t="shared" ref="K92" si="99">((E92-H92)/F92)*((E92-H92)/F92)</f>
        <v>6176.2937923600111</v>
      </c>
      <c r="L92" s="8">
        <f t="shared" ref="L92" si="100">((E92-I92)/F92)*((E92-I92)/F92)</f>
        <v>11158.584209639992</v>
      </c>
      <c r="M92" s="4">
        <f t="shared" ref="M92" si="101">((E92-J92)/F92)*((E92-J92)/F92)</f>
        <v>13312.509786022507</v>
      </c>
      <c r="N92" s="46" t="s">
        <v>271</v>
      </c>
      <c r="O92" s="1">
        <f t="shared" si="87"/>
        <v>10215.795929340837</v>
      </c>
      <c r="P92" s="1">
        <f t="shared" si="88"/>
        <v>5176.4914726392008</v>
      </c>
      <c r="Q92" s="1">
        <f t="shared" ref="Q92" si="102">P92/O92</f>
        <v>0.50671445557871553</v>
      </c>
      <c r="R92" s="6">
        <f t="shared" si="90"/>
        <v>0.60458273002704055</v>
      </c>
      <c r="S92" s="16">
        <f t="shared" si="91"/>
        <v>1.0922873055433076</v>
      </c>
      <c r="T92" s="4">
        <f t="shared" si="92"/>
        <v>1.3031299644296519</v>
      </c>
      <c r="U92" s="46" t="s">
        <v>271</v>
      </c>
      <c r="Y92" s="25" t="s">
        <v>180</v>
      </c>
      <c r="Z92" s="25" t="s">
        <v>103</v>
      </c>
      <c r="AA92" s="25" t="s">
        <v>23</v>
      </c>
      <c r="AB92" s="40">
        <v>6246.3729999999996</v>
      </c>
      <c r="AC92" s="40">
        <f t="shared" si="96"/>
        <v>6496.2279199999994</v>
      </c>
      <c r="AD92" s="40">
        <f t="shared" si="97"/>
        <v>6121.4455399999997</v>
      </c>
      <c r="AE92" s="40">
        <f t="shared" si="95"/>
        <v>6308.8367299999991</v>
      </c>
      <c r="AF92" s="40">
        <f>(AC92-AD92)/2</f>
        <v>187.39118999999982</v>
      </c>
    </row>
    <row r="93" spans="3:32" ht="17.25" x14ac:dyDescent="0.25">
      <c r="C93">
        <v>16</v>
      </c>
      <c r="D93" s="20" t="s">
        <v>138</v>
      </c>
      <c r="E93" s="2">
        <f>Z53</f>
        <v>3623</v>
      </c>
      <c r="F93" s="2">
        <f>Z54</f>
        <v>2</v>
      </c>
      <c r="G93" t="s">
        <v>3</v>
      </c>
      <c r="H93" s="5">
        <v>3788.8930999999998</v>
      </c>
      <c r="I93" s="7">
        <v>3840.0594999999998</v>
      </c>
      <c r="J93" s="3">
        <v>3838.8791000000001</v>
      </c>
      <c r="K93" s="6">
        <f>((E93-H93)/F93)*((E93-H93)/F93)</f>
        <v>6880.1301569024818</v>
      </c>
      <c r="L93" s="8">
        <f>((E93-I93)/F93)*((E93-I93)/F93)</f>
        <v>11778.706635062483</v>
      </c>
      <c r="M93" s="4">
        <f>((E93-J93)/F93)*((E93-J93)/F93)</f>
        <v>11650.946454202511</v>
      </c>
      <c r="N93" s="46" t="s">
        <v>272</v>
      </c>
      <c r="O93" s="1">
        <f t="shared" si="87"/>
        <v>10103.261082055826</v>
      </c>
      <c r="P93" s="1">
        <f t="shared" si="88"/>
        <v>3948.5466659172785</v>
      </c>
      <c r="Q93" s="1">
        <f>P93/O93</f>
        <v>0.39081902702981747</v>
      </c>
      <c r="R93" s="6">
        <f t="shared" si="90"/>
        <v>0.68098113084716039</v>
      </c>
      <c r="S93" s="16">
        <f t="shared" si="91"/>
        <v>1.165832154529034</v>
      </c>
      <c r="T93" s="4">
        <f t="shared" si="92"/>
        <v>1.1531867146238053</v>
      </c>
      <c r="U93" s="46" t="s">
        <v>272</v>
      </c>
      <c r="Y93" s="25" t="s">
        <v>178</v>
      </c>
      <c r="Z93" s="25" t="s">
        <v>87</v>
      </c>
      <c r="AA93" s="25" t="s">
        <v>23</v>
      </c>
      <c r="AB93" s="40">
        <v>6495</v>
      </c>
      <c r="AC93" s="40">
        <f t="shared" si="96"/>
        <v>6754.8</v>
      </c>
      <c r="AD93" s="40">
        <f t="shared" si="97"/>
        <v>6365.0999999999995</v>
      </c>
      <c r="AE93" s="40">
        <f t="shared" si="95"/>
        <v>6559.95</v>
      </c>
      <c r="AF93" s="40">
        <f>(AC93-AD93)/2</f>
        <v>194.85000000000036</v>
      </c>
    </row>
    <row r="94" spans="3:32" x14ac:dyDescent="0.25">
      <c r="C94">
        <v>17</v>
      </c>
      <c r="D94" s="25" t="s">
        <v>146</v>
      </c>
      <c r="E94" s="2">
        <f>AB88</f>
        <v>3195.3534</v>
      </c>
      <c r="F94" s="2">
        <v>1</v>
      </c>
      <c r="G94" t="s">
        <v>9</v>
      </c>
      <c r="H94" s="5">
        <v>3400.1049686000001</v>
      </c>
      <c r="I94" s="11">
        <v>3418.8618203000001</v>
      </c>
      <c r="J94" s="3">
        <v>3357.5692542000002</v>
      </c>
      <c r="K94" s="6">
        <f t="shared" ref="K94" si="103">((E94-H94)/F94)*((E94-H94)/F94)</f>
        <v>41923.204844160573</v>
      </c>
      <c r="L94" s="8">
        <f t="shared" ref="L94" si="104">((E94-I94)/F94)*((E94-I94)/F94)</f>
        <v>49956.013945001505</v>
      </c>
      <c r="M94" s="4">
        <f t="shared" ref="M94" si="105">((E94-J94)/F94)*((E94-J94)/F94)</f>
        <v>26313.98335383572</v>
      </c>
      <c r="N94" s="40" t="s">
        <v>235</v>
      </c>
      <c r="O94" s="1">
        <f t="shared" si="78"/>
        <v>39397.734047665937</v>
      </c>
      <c r="P94" s="1">
        <f t="shared" si="79"/>
        <v>17001.170822997174</v>
      </c>
      <c r="Q94" s="1">
        <f t="shared" ref="Q94" si="106">P94/O94</f>
        <v>0.43152661527254471</v>
      </c>
      <c r="R94" s="6">
        <f t="shared" si="81"/>
        <v>1.0641019301627641</v>
      </c>
      <c r="S94" s="16">
        <f t="shared" si="82"/>
        <v>1.2679920597606318</v>
      </c>
      <c r="T94" s="4">
        <f t="shared" si="83"/>
        <v>0.66790601007660377</v>
      </c>
      <c r="U94" s="40" t="s">
        <v>235</v>
      </c>
      <c r="Y94" s="25" t="s">
        <v>179</v>
      </c>
      <c r="Z94" s="25" t="s">
        <v>103</v>
      </c>
      <c r="AA94" s="25" t="s">
        <v>23</v>
      </c>
      <c r="AB94" s="40">
        <v>6500.3630000000003</v>
      </c>
      <c r="AC94" s="40">
        <f t="shared" si="96"/>
        <v>6760.3775200000009</v>
      </c>
      <c r="AD94" s="40">
        <f t="shared" si="97"/>
        <v>6370.35574</v>
      </c>
      <c r="AE94" s="40">
        <f t="shared" si="95"/>
        <v>6565.3666300000004</v>
      </c>
      <c r="AF94" s="40">
        <f>(AC94-AD94)/2</f>
        <v>195.01089000000047</v>
      </c>
    </row>
    <row r="95" spans="3:32" x14ac:dyDescent="0.25">
      <c r="C95">
        <v>18</v>
      </c>
      <c r="D95" s="25" t="s">
        <v>149</v>
      </c>
      <c r="E95" s="2">
        <f>AB89</f>
        <v>968.10040000000004</v>
      </c>
      <c r="F95" s="2">
        <v>1</v>
      </c>
      <c r="G95" t="s">
        <v>9</v>
      </c>
      <c r="H95" s="5">
        <v>958.22480780000001</v>
      </c>
      <c r="I95" s="7">
        <v>969.39196800000002</v>
      </c>
      <c r="J95" s="3">
        <v>972.85806119999995</v>
      </c>
      <c r="K95" s="6">
        <f t="shared" ref="K95:K108" si="107">((E95-H95)/F95)*((E95-H95)/F95)</f>
        <v>97.527321300701402</v>
      </c>
      <c r="L95" s="8">
        <f t="shared" ref="L95:L108" si="108">((E95-I95)/F95)*((E95-I95)/F95)</f>
        <v>1.6681478986239582</v>
      </c>
      <c r="M95" s="4">
        <f t="shared" ref="M95:M108" si="109">((E95-J95)/F95)*((E95-J95)/F95)</f>
        <v>22.635340093984638</v>
      </c>
      <c r="N95" s="40" t="s">
        <v>237</v>
      </c>
      <c r="O95" s="1">
        <f t="shared" si="78"/>
        <v>40.610269764436666</v>
      </c>
      <c r="P95" s="1">
        <f t="shared" si="79"/>
        <v>71.268069341405067</v>
      </c>
      <c r="Q95" s="1">
        <f t="shared" ref="Q95:Q108" si="110">P95/O95</f>
        <v>1.7549272574351655</v>
      </c>
      <c r="R95" s="6">
        <f t="shared" si="81"/>
        <v>2.4015433009043514</v>
      </c>
      <c r="S95" s="16">
        <f t="shared" si="82"/>
        <v>4.1076996245043247E-2</v>
      </c>
      <c r="T95" s="4">
        <f t="shared" si="83"/>
        <v>0.55737970285060556</v>
      </c>
      <c r="U95" s="40" t="s">
        <v>237</v>
      </c>
      <c r="Y95" s="25" t="s">
        <v>212</v>
      </c>
      <c r="Z95" s="25" t="s">
        <v>107</v>
      </c>
      <c r="AA95" s="25" t="s">
        <v>22</v>
      </c>
      <c r="AB95" s="41">
        <f>299792458/(1/(((0.201502+0.201488)/2)*100))*0.000001</f>
        <v>6040.6681324709989</v>
      </c>
      <c r="AC95" s="40">
        <f t="shared" si="96"/>
        <v>6282.2948577698389</v>
      </c>
      <c r="AD95" s="40">
        <f t="shared" si="97"/>
        <v>5919.8547698215789</v>
      </c>
      <c r="AE95" s="40">
        <f t="shared" ref="AE95:AE96" si="111">((AC95-AD95)/2)+AD95</f>
        <v>6101.0748137957089</v>
      </c>
      <c r="AF95" s="40">
        <f>(AC95-AD95)/2</f>
        <v>181.22004397413002</v>
      </c>
    </row>
    <row r="96" spans="3:32" x14ac:dyDescent="0.25">
      <c r="C96">
        <v>19</v>
      </c>
      <c r="D96" s="25" t="s">
        <v>150</v>
      </c>
      <c r="E96" s="2">
        <f>AB90</f>
        <v>734.3211</v>
      </c>
      <c r="F96" s="2">
        <v>1</v>
      </c>
      <c r="G96" t="s">
        <v>9</v>
      </c>
      <c r="H96" s="5">
        <v>742.95441960000005</v>
      </c>
      <c r="I96" s="7">
        <v>740.57168369999999</v>
      </c>
      <c r="J96" s="3">
        <v>758.47449489999997</v>
      </c>
      <c r="K96" s="6">
        <f t="shared" si="107"/>
        <v>74.534207315745022</v>
      </c>
      <c r="L96" s="8">
        <f t="shared" si="108"/>
        <v>39.0697965907056</v>
      </c>
      <c r="M96" s="4">
        <f t="shared" si="109"/>
        <v>583.38648519534445</v>
      </c>
      <c r="N96" s="40" t="s">
        <v>237</v>
      </c>
      <c r="O96" s="1">
        <f t="shared" si="78"/>
        <v>232.33016303393171</v>
      </c>
      <c r="P96" s="1">
        <f t="shared" si="79"/>
        <v>430.6851218794115</v>
      </c>
      <c r="Q96" s="1">
        <f t="shared" si="110"/>
        <v>1.8537632662725336</v>
      </c>
      <c r="R96" s="6">
        <f t="shared" si="81"/>
        <v>0.3208115827167019</v>
      </c>
      <c r="S96" s="16">
        <f t="shared" si="82"/>
        <v>0.16816497729138802</v>
      </c>
      <c r="T96" s="4">
        <f t="shared" si="83"/>
        <v>2.5110234399919098</v>
      </c>
      <c r="U96" s="40" t="s">
        <v>237</v>
      </c>
      <c r="Y96" s="25"/>
      <c r="Z96" s="25"/>
      <c r="AA96" s="25" t="s">
        <v>23</v>
      </c>
      <c r="AB96" s="41">
        <f>299792458/(1/(((0.0771304+0.0771141)/2)*100))*0.000001</f>
        <v>2312.0668893990496</v>
      </c>
      <c r="AC96" s="40">
        <f t="shared" si="96"/>
        <v>2404.5495649750119</v>
      </c>
      <c r="AD96" s="40">
        <f t="shared" si="97"/>
        <v>2265.8255516110685</v>
      </c>
      <c r="AE96" s="40">
        <f t="shared" si="111"/>
        <v>2335.1875582930402</v>
      </c>
      <c r="AF96" s="40">
        <f t="shared" ref="AF96:AF97" si="112">(AC96-AD96)/2</f>
        <v>69.362006681971707</v>
      </c>
    </row>
    <row r="97" spans="3:32" x14ac:dyDescent="0.25">
      <c r="C97">
        <v>20</v>
      </c>
      <c r="D97" s="25" t="s">
        <v>151</v>
      </c>
      <c r="E97" s="2">
        <f>AB91</f>
        <v>533.26769999999999</v>
      </c>
      <c r="F97" s="2">
        <v>1</v>
      </c>
      <c r="G97" t="s">
        <v>9</v>
      </c>
      <c r="H97" s="5">
        <v>535.65909069999998</v>
      </c>
      <c r="I97" s="7">
        <v>535.36613750000004</v>
      </c>
      <c r="J97" s="3">
        <v>548.12346860000002</v>
      </c>
      <c r="K97" s="6">
        <f t="shared" si="107"/>
        <v>5.7187494800464327</v>
      </c>
      <c r="L97" s="8">
        <f t="shared" si="108"/>
        <v>4.4034399414064405</v>
      </c>
      <c r="M97" s="4">
        <f t="shared" si="109"/>
        <v>220.69386069674695</v>
      </c>
      <c r="N97" s="40" t="s">
        <v>237</v>
      </c>
      <c r="O97" s="1">
        <f t="shared" si="78"/>
        <v>76.93868337273328</v>
      </c>
      <c r="P97" s="1">
        <f t="shared" si="79"/>
        <v>176.06587270331281</v>
      </c>
      <c r="Q97" s="1">
        <f t="shared" si="110"/>
        <v>2.2883920673603542</v>
      </c>
      <c r="R97" s="6">
        <f t="shared" si="81"/>
        <v>7.4328663155589322E-2</v>
      </c>
      <c r="S97" s="16">
        <f t="shared" si="82"/>
        <v>5.7233107565329087E-2</v>
      </c>
      <c r="T97" s="4">
        <f t="shared" si="83"/>
        <v>2.8684382292790813</v>
      </c>
      <c r="U97" s="40" t="s">
        <v>237</v>
      </c>
      <c r="Y97" s="25"/>
      <c r="Z97" s="25"/>
      <c r="AA97" s="25" t="s">
        <v>24</v>
      </c>
      <c r="AB97" s="41">
        <f>299792458/(1/(((0.05541607+0.05541498)/2)*100))*0.000001</f>
        <v>1661.3156451110449</v>
      </c>
      <c r="AC97" s="40">
        <f t="shared" si="96"/>
        <v>1727.7682709154867</v>
      </c>
      <c r="AD97" s="40">
        <f t="shared" si="97"/>
        <v>1628.0893322088239</v>
      </c>
      <c r="AE97" s="40">
        <f>((AC97-AD97)/2)+AD97</f>
        <v>1677.9288015621553</v>
      </c>
      <c r="AF97" s="40">
        <f t="shared" si="112"/>
        <v>49.839469353331424</v>
      </c>
    </row>
    <row r="98" spans="3:32" x14ac:dyDescent="0.25">
      <c r="C98">
        <v>21</v>
      </c>
      <c r="D98" s="25" t="s">
        <v>147</v>
      </c>
      <c r="E98" s="2">
        <f>AB93</f>
        <v>6495</v>
      </c>
      <c r="F98" s="2">
        <v>1</v>
      </c>
      <c r="G98" t="s">
        <v>9</v>
      </c>
      <c r="H98" s="5">
        <v>6890.4265609000004</v>
      </c>
      <c r="I98" s="11">
        <v>6957.1693512000002</v>
      </c>
      <c r="J98" s="3">
        <v>6922.1780513000003</v>
      </c>
      <c r="K98" s="6">
        <f t="shared" si="107"/>
        <v>156362.1650652017</v>
      </c>
      <c r="L98" s="8">
        <f t="shared" si="108"/>
        <v>213600.5091886291</v>
      </c>
      <c r="M98" s="4">
        <f t="shared" si="109"/>
        <v>182481.08751246572</v>
      </c>
      <c r="N98" s="40" t="s">
        <v>234</v>
      </c>
      <c r="O98" s="1">
        <f t="shared" si="78"/>
        <v>184147.92058876553</v>
      </c>
      <c r="P98" s="1">
        <f t="shared" si="79"/>
        <v>40525.072705083687</v>
      </c>
      <c r="Q98" s="1">
        <f t="shared" si="110"/>
        <v>0.22006804407845176</v>
      </c>
      <c r="R98" s="6">
        <f t="shared" si="81"/>
        <v>0.84911176061762716</v>
      </c>
      <c r="S98" s="16">
        <f t="shared" si="82"/>
        <v>1.1599398380698327</v>
      </c>
      <c r="T98" s="4">
        <f t="shared" si="83"/>
        <v>0.9909484013125397</v>
      </c>
      <c r="U98" s="40" t="s">
        <v>234</v>
      </c>
      <c r="Y98" s="25" t="s">
        <v>213</v>
      </c>
      <c r="Z98" s="25" t="s">
        <v>108</v>
      </c>
      <c r="AA98" s="25" t="s">
        <v>22</v>
      </c>
      <c r="AB98" s="41">
        <f>299792458/(1/(((0.2023634+0.2023891)/2)*100))*0.000001</f>
        <v>6067.0873428322484</v>
      </c>
      <c r="AC98" s="40">
        <f t="shared" si="96"/>
        <v>6309.7708365455383</v>
      </c>
      <c r="AD98" s="40">
        <f t="shared" si="97"/>
        <v>5945.7455959756035</v>
      </c>
      <c r="AE98" s="40">
        <f t="shared" ref="AE98:AE99" si="113">((AC98-AD98)/2)+AD98</f>
        <v>6127.7582162605704</v>
      </c>
      <c r="AF98" s="40">
        <f>(AC98-AD98)/2</f>
        <v>182.0126202849674</v>
      </c>
    </row>
    <row r="99" spans="3:32" x14ac:dyDescent="0.25">
      <c r="C99">
        <v>22</v>
      </c>
      <c r="D99" s="25" t="s">
        <v>148</v>
      </c>
      <c r="E99" s="2">
        <f>AB92</f>
        <v>6246.3729999999996</v>
      </c>
      <c r="F99" s="2">
        <v>1</v>
      </c>
      <c r="G99" t="s">
        <v>9</v>
      </c>
      <c r="H99" s="5">
        <v>6642.7467260000003</v>
      </c>
      <c r="I99" s="11">
        <v>6708.7717411000003</v>
      </c>
      <c r="J99" s="3">
        <v>6672.7633236000001</v>
      </c>
      <c r="K99" s="6">
        <f t="shared" si="107"/>
        <v>157112.13066312365</v>
      </c>
      <c r="L99" s="8">
        <f t="shared" si="108"/>
        <v>213812.5957708655</v>
      </c>
      <c r="M99" s="4">
        <f t="shared" si="109"/>
        <v>181808.70805971319</v>
      </c>
      <c r="N99" s="40" t="s">
        <v>236</v>
      </c>
      <c r="O99" s="1">
        <f t="shared" ref="O99:O115" si="114">(K99+L99+M99)/3</f>
        <v>184244.47816456747</v>
      </c>
      <c r="P99" s="1">
        <f t="shared" ref="P99:P115" si="115">SQRT((K99-(K99+L99+M99)/3)*(K99-(K99+L99+M99)/3)+(L99-(K99+L99+M99)/3)*(L99-(K99+L99+M99)/3)+(M99-(K99+L99+M99)/3)*(M99-(K99+L99+M99)/3))</f>
        <v>40204.114661595006</v>
      </c>
      <c r="Q99" s="1">
        <f t="shared" si="110"/>
        <v>0.21821068974281349</v>
      </c>
      <c r="R99" s="6">
        <f t="shared" ref="R99:R115" si="116">K99/O99</f>
        <v>0.85273725556535185</v>
      </c>
      <c r="S99" s="16">
        <f t="shared" ref="S99:S115" si="117">L99/O99</f>
        <v>1.1604830597956253</v>
      </c>
      <c r="T99" s="4">
        <f t="shared" ref="T99:T115" si="118">M99/O99</f>
        <v>0.98677968463902266</v>
      </c>
      <c r="U99" s="40" t="s">
        <v>236</v>
      </c>
      <c r="Y99" s="25"/>
      <c r="Z99" s="25"/>
      <c r="AA99" s="25" t="s">
        <v>23</v>
      </c>
      <c r="AB99" s="41">
        <f>299792458/(1/(((0.0762989+0.0763994)/2)*100))*0.000001</f>
        <v>2288.8899344710703</v>
      </c>
      <c r="AC99" s="40">
        <f t="shared" si="96"/>
        <v>2380.4455318499131</v>
      </c>
      <c r="AD99" s="40">
        <f t="shared" si="97"/>
        <v>2243.1121357816487</v>
      </c>
      <c r="AE99" s="40">
        <f t="shared" si="113"/>
        <v>2311.7788338157807</v>
      </c>
      <c r="AF99" s="40">
        <f t="shared" ref="AF99:AF100" si="119">(AC99-AD99)/2</f>
        <v>68.666698034132196</v>
      </c>
    </row>
    <row r="100" spans="3:32" x14ac:dyDescent="0.25">
      <c r="C100">
        <v>23</v>
      </c>
      <c r="D100" s="25" t="s">
        <v>158</v>
      </c>
      <c r="E100" s="2">
        <f>AB95</f>
        <v>6040.6681324709989</v>
      </c>
      <c r="F100" s="2">
        <v>1</v>
      </c>
      <c r="G100" t="s">
        <v>9</v>
      </c>
      <c r="H100" s="5">
        <v>6071.9268118999998</v>
      </c>
      <c r="I100" s="11">
        <v>6123.9578678999997</v>
      </c>
      <c r="J100" s="3">
        <v>6158.9464672000004</v>
      </c>
      <c r="K100" s="6">
        <f t="shared" si="107"/>
        <v>977.1050396450471</v>
      </c>
      <c r="L100" s="8">
        <f t="shared" si="108"/>
        <v>6937.1800278329438</v>
      </c>
      <c r="M100" s="4">
        <f t="shared" si="109"/>
        <v>13989.764466265715</v>
      </c>
      <c r="N100" s="40" t="s">
        <v>240</v>
      </c>
      <c r="O100" s="1">
        <f t="shared" si="114"/>
        <v>7301.3498445812356</v>
      </c>
      <c r="P100" s="1">
        <f t="shared" si="115"/>
        <v>9212.1431903632274</v>
      </c>
      <c r="Q100" s="1">
        <f t="shared" si="110"/>
        <v>1.2617041213550539</v>
      </c>
      <c r="R100" s="6">
        <f t="shared" si="116"/>
        <v>0.13382525977305618</v>
      </c>
      <c r="S100" s="16">
        <f t="shared" si="117"/>
        <v>0.95012294650987528</v>
      </c>
      <c r="T100" s="4">
        <f t="shared" si="118"/>
        <v>1.9160517937170685</v>
      </c>
      <c r="U100" s="40" t="s">
        <v>240</v>
      </c>
      <c r="Y100" s="25"/>
      <c r="Z100" s="25"/>
      <c r="AA100" s="25" t="s">
        <v>24</v>
      </c>
      <c r="AB100" s="41">
        <f>299792458/(1/(((0.0555009+0.0554093)/2)*100))*0.000001</f>
        <v>1662.50207376358</v>
      </c>
      <c r="AC100" s="40">
        <f t="shared" si="96"/>
        <v>1729.0021567141232</v>
      </c>
      <c r="AD100" s="40">
        <f t="shared" si="97"/>
        <v>1629.2520322883083</v>
      </c>
      <c r="AE100" s="40">
        <f>((AC100-AD100)/2)+AD100</f>
        <v>1679.1270945012157</v>
      </c>
      <c r="AF100" s="40">
        <f t="shared" si="119"/>
        <v>49.875062212907437</v>
      </c>
    </row>
    <row r="101" spans="3:32" x14ac:dyDescent="0.25">
      <c r="C101">
        <v>24</v>
      </c>
      <c r="D101" s="25" t="s">
        <v>159</v>
      </c>
      <c r="E101" s="2">
        <f>AB96</f>
        <v>2312.0668893990496</v>
      </c>
      <c r="F101" s="2">
        <v>1</v>
      </c>
      <c r="G101" t="s">
        <v>9</v>
      </c>
      <c r="H101" s="5">
        <v>2323.2709743</v>
      </c>
      <c r="I101" s="11">
        <v>2377.9326519000001</v>
      </c>
      <c r="J101" s="3">
        <v>2330.3834062999999</v>
      </c>
      <c r="K101" s="6">
        <f t="shared" si="107"/>
        <v>125.53151846770518</v>
      </c>
      <c r="L101" s="8">
        <f t="shared" si="108"/>
        <v>4338.2986698316163</v>
      </c>
      <c r="M101" s="4">
        <f t="shared" si="109"/>
        <v>335.49479138279867</v>
      </c>
      <c r="N101" s="40" t="s">
        <v>240</v>
      </c>
      <c r="O101" s="1">
        <f t="shared" si="114"/>
        <v>1599.7749932273734</v>
      </c>
      <c r="P101" s="1">
        <f t="shared" si="115"/>
        <v>3357.2771972194428</v>
      </c>
      <c r="Q101" s="1">
        <f t="shared" si="110"/>
        <v>2.0985933718381848</v>
      </c>
      <c r="R101" s="6">
        <f t="shared" si="116"/>
        <v>7.8468233969865284E-2</v>
      </c>
      <c r="S101" s="16">
        <f t="shared" si="117"/>
        <v>2.7118180295339953</v>
      </c>
      <c r="T101" s="4">
        <f t="shared" si="118"/>
        <v>0.20971373649613945</v>
      </c>
      <c r="U101" s="40" t="s">
        <v>240</v>
      </c>
      <c r="Y101" s="25" t="s">
        <v>123</v>
      </c>
      <c r="Z101" s="25" t="s">
        <v>124</v>
      </c>
      <c r="AA101" s="25" t="s">
        <v>22</v>
      </c>
      <c r="AB101" s="41">
        <v>1623.6382000000001</v>
      </c>
      <c r="AC101" s="40">
        <f t="shared" si="96"/>
        <v>1688.5837280000001</v>
      </c>
      <c r="AD101" s="40">
        <f t="shared" si="97"/>
        <v>1591.165436</v>
      </c>
      <c r="AE101" s="40">
        <f t="shared" ref="AE101:AE102" si="120">((AC101-AD101)/2)+AD101</f>
        <v>1639.8745819999999</v>
      </c>
      <c r="AF101" s="40">
        <f>(AC101-AD101)/2</f>
        <v>48.709146000000032</v>
      </c>
    </row>
    <row r="102" spans="3:32" x14ac:dyDescent="0.25">
      <c r="C102">
        <v>25</v>
      </c>
      <c r="D102" s="25" t="s">
        <v>160</v>
      </c>
      <c r="E102" s="2">
        <f>AB97</f>
        <v>1661.3156451110449</v>
      </c>
      <c r="F102" s="2">
        <v>1</v>
      </c>
      <c r="G102" t="s">
        <v>9</v>
      </c>
      <c r="H102" s="5">
        <v>1680.3334096000001</v>
      </c>
      <c r="I102" s="11">
        <v>1712.8377905</v>
      </c>
      <c r="J102" s="3">
        <v>1690.6760440999999</v>
      </c>
      <c r="K102" s="6">
        <f t="shared" si="107"/>
        <v>361.67536615736577</v>
      </c>
      <c r="L102" s="8">
        <f t="shared" si="108"/>
        <v>2654.531465480627</v>
      </c>
      <c r="M102" s="4">
        <f t="shared" si="109"/>
        <v>862.03302879063051</v>
      </c>
      <c r="N102" s="40" t="s">
        <v>240</v>
      </c>
      <c r="O102" s="1">
        <f t="shared" si="114"/>
        <v>1292.7466201428745</v>
      </c>
      <c r="P102" s="1">
        <f t="shared" si="115"/>
        <v>1704.9533256852701</v>
      </c>
      <c r="Q102" s="1">
        <f t="shared" si="110"/>
        <v>1.3188611744324952</v>
      </c>
      <c r="R102" s="6">
        <f t="shared" si="116"/>
        <v>0.27977281899015399</v>
      </c>
      <c r="S102" s="16">
        <f t="shared" si="117"/>
        <v>2.0534042975778566</v>
      </c>
      <c r="T102" s="4">
        <f t="shared" si="118"/>
        <v>0.66682288343198959</v>
      </c>
      <c r="U102" s="40" t="s">
        <v>240</v>
      </c>
      <c r="Y102" s="25"/>
      <c r="Z102" s="25"/>
      <c r="AA102" s="25" t="s">
        <v>23</v>
      </c>
      <c r="AB102" s="41">
        <v>415.57105000000001</v>
      </c>
      <c r="AC102" s="40">
        <f t="shared" si="96"/>
        <v>432.19389200000001</v>
      </c>
      <c r="AD102" s="40">
        <f t="shared" si="97"/>
        <v>407.25962900000002</v>
      </c>
      <c r="AE102" s="40">
        <f t="shared" si="120"/>
        <v>419.72676050000001</v>
      </c>
      <c r="AF102" s="40">
        <f t="shared" ref="AF102:AF103" si="121">(AC102-AD102)/2</f>
        <v>12.467131499999994</v>
      </c>
    </row>
    <row r="103" spans="3:32" x14ac:dyDescent="0.25">
      <c r="C103">
        <v>26</v>
      </c>
      <c r="D103" s="25" t="s">
        <v>152</v>
      </c>
      <c r="E103" s="2">
        <f>AB104</f>
        <v>484.69907999999998</v>
      </c>
      <c r="F103" s="2">
        <v>1</v>
      </c>
      <c r="G103" t="s">
        <v>9</v>
      </c>
      <c r="H103" s="5">
        <v>479.73080049999999</v>
      </c>
      <c r="I103" s="7">
        <v>485.53320989999997</v>
      </c>
      <c r="J103" s="3">
        <v>488.391841</v>
      </c>
      <c r="K103" s="6">
        <f t="shared" si="107"/>
        <v>24.683801190120192</v>
      </c>
      <c r="L103" s="8">
        <f t="shared" si="108"/>
        <v>0.69577269007399922</v>
      </c>
      <c r="M103" s="4">
        <f t="shared" si="109"/>
        <v>13.636483803121138</v>
      </c>
      <c r="N103" s="40" t="s">
        <v>238</v>
      </c>
      <c r="O103" s="1">
        <f t="shared" si="114"/>
        <v>13.005352561105108</v>
      </c>
      <c r="P103" s="1">
        <f t="shared" si="115"/>
        <v>16.97970098754649</v>
      </c>
      <c r="Q103" s="1">
        <f t="shared" si="110"/>
        <v>1.3055932861310813</v>
      </c>
      <c r="R103" s="6">
        <f t="shared" si="116"/>
        <v>1.8979724751131797</v>
      </c>
      <c r="S103" s="16">
        <f t="shared" si="117"/>
        <v>5.3498948744752611E-2</v>
      </c>
      <c r="T103" s="4">
        <f t="shared" si="118"/>
        <v>1.0485285761420682</v>
      </c>
      <c r="U103" s="40" t="s">
        <v>238</v>
      </c>
      <c r="Y103" s="25"/>
      <c r="Z103" s="25"/>
      <c r="AA103" s="25" t="s">
        <v>24</v>
      </c>
      <c r="AB103" s="41">
        <v>397.87513999999999</v>
      </c>
      <c r="AC103" s="40">
        <f t="shared" si="96"/>
        <v>413.79014560000002</v>
      </c>
      <c r="AD103" s="40">
        <f t="shared" si="97"/>
        <v>389.9176372</v>
      </c>
      <c r="AE103" s="40">
        <f t="shared" ref="AE103:AE109" si="122">((AC103-AD103)/2)+AD103</f>
        <v>401.85389140000001</v>
      </c>
      <c r="AF103" s="40">
        <f t="shared" si="121"/>
        <v>11.936254200000008</v>
      </c>
    </row>
    <row r="104" spans="3:32" x14ac:dyDescent="0.25">
      <c r="C104">
        <v>27</v>
      </c>
      <c r="D104" s="25" t="s">
        <v>153</v>
      </c>
      <c r="E104" s="2">
        <f>AB105</f>
        <v>206.661259</v>
      </c>
      <c r="F104" s="2">
        <v>1</v>
      </c>
      <c r="G104" t="s">
        <v>9</v>
      </c>
      <c r="H104" s="5">
        <v>206.1230611</v>
      </c>
      <c r="I104" s="7">
        <v>204.54610270000001</v>
      </c>
      <c r="J104" s="3">
        <v>211.83774070000001</v>
      </c>
      <c r="K104" s="6">
        <f t="shared" si="107"/>
        <v>0.28965697956441011</v>
      </c>
      <c r="L104" s="8">
        <f t="shared" si="108"/>
        <v>4.47388617342967</v>
      </c>
      <c r="M104" s="4">
        <f t="shared" si="109"/>
        <v>26.795962790435002</v>
      </c>
      <c r="N104" s="40" t="s">
        <v>238</v>
      </c>
      <c r="O104" s="1">
        <f t="shared" si="114"/>
        <v>10.51983531447636</v>
      </c>
      <c r="P104" s="1">
        <f t="shared" si="115"/>
        <v>20.152478145227718</v>
      </c>
      <c r="Q104" s="1">
        <f t="shared" si="110"/>
        <v>1.9156647934873909</v>
      </c>
      <c r="R104" s="6">
        <f t="shared" si="116"/>
        <v>2.7534364455859182E-2</v>
      </c>
      <c r="S104" s="16">
        <f t="shared" si="117"/>
        <v>0.42528100865544433</v>
      </c>
      <c r="T104" s="4">
        <f t="shared" si="118"/>
        <v>2.5471846268886966</v>
      </c>
      <c r="U104" s="40" t="s">
        <v>238</v>
      </c>
      <c r="Y104" s="25" t="s">
        <v>209</v>
      </c>
      <c r="Z104" s="25" t="s">
        <v>89</v>
      </c>
      <c r="AA104" s="25" t="s">
        <v>22</v>
      </c>
      <c r="AB104" s="40">
        <v>484.69907999999998</v>
      </c>
      <c r="AC104" s="40">
        <f t="shared" si="96"/>
        <v>504.08704319999998</v>
      </c>
      <c r="AD104" s="40">
        <f t="shared" si="97"/>
        <v>475.00509839999995</v>
      </c>
      <c r="AE104" s="40">
        <f t="shared" si="122"/>
        <v>489.54607079999994</v>
      </c>
      <c r="AF104" s="40">
        <f>(AC104-AD104)/2</f>
        <v>14.540972400000015</v>
      </c>
    </row>
    <row r="105" spans="3:32" x14ac:dyDescent="0.25">
      <c r="C105">
        <v>28</v>
      </c>
      <c r="D105" s="25" t="s">
        <v>154</v>
      </c>
      <c r="E105" s="2">
        <f>AB106</f>
        <v>170.59576999999999</v>
      </c>
      <c r="F105" s="2">
        <v>1</v>
      </c>
      <c r="G105" t="s">
        <v>9</v>
      </c>
      <c r="H105" s="5">
        <v>169.8101695</v>
      </c>
      <c r="I105" s="7">
        <v>168.8706747</v>
      </c>
      <c r="J105" s="3">
        <v>174.4499093</v>
      </c>
      <c r="K105" s="6">
        <f t="shared" si="107"/>
        <v>0.61716814560022926</v>
      </c>
      <c r="L105" s="8">
        <f t="shared" si="108"/>
        <v>2.9759537940820637</v>
      </c>
      <c r="M105" s="4">
        <f t="shared" si="109"/>
        <v>14.8543897438046</v>
      </c>
      <c r="N105" s="40" t="s">
        <v>238</v>
      </c>
      <c r="O105" s="1">
        <f t="shared" si="114"/>
        <v>6.1491705611622978</v>
      </c>
      <c r="P105" s="1">
        <f t="shared" si="115"/>
        <v>10.791348219500065</v>
      </c>
      <c r="Q105" s="1">
        <f t="shared" si="110"/>
        <v>1.7549274511358353</v>
      </c>
      <c r="R105" s="6">
        <f t="shared" si="116"/>
        <v>0.10036608018294649</v>
      </c>
      <c r="S105" s="16">
        <f t="shared" si="117"/>
        <v>0.48396019666098805</v>
      </c>
      <c r="T105" s="4">
        <f t="shared" si="118"/>
        <v>2.4156737231560652</v>
      </c>
      <c r="U105" s="40" t="s">
        <v>238</v>
      </c>
      <c r="Y105" s="25"/>
      <c r="Z105" s="25"/>
      <c r="AA105" s="25" t="s">
        <v>23</v>
      </c>
      <c r="AB105" s="40">
        <f>206.661259</f>
        <v>206.661259</v>
      </c>
      <c r="AC105" s="40">
        <f t="shared" si="96"/>
        <v>214.92770935999999</v>
      </c>
      <c r="AD105" s="40">
        <f t="shared" si="97"/>
        <v>202.52803381999999</v>
      </c>
      <c r="AE105" s="40">
        <f t="shared" si="122"/>
        <v>208.72787159000001</v>
      </c>
      <c r="AF105" s="40">
        <f t="shared" ref="AF105:AF106" si="123">(AC105-AD105)/2</f>
        <v>6.199837770000002</v>
      </c>
    </row>
    <row r="106" spans="3:32" x14ac:dyDescent="0.25">
      <c r="C106">
        <v>29</v>
      </c>
      <c r="D106" s="25" t="s">
        <v>155</v>
      </c>
      <c r="E106" s="2">
        <f>AB110</f>
        <v>137.95240999999999</v>
      </c>
      <c r="F106" s="2">
        <v>1</v>
      </c>
      <c r="G106" t="s">
        <v>9</v>
      </c>
      <c r="H106" s="5">
        <v>138.25665280000001</v>
      </c>
      <c r="I106" s="11">
        <v>138.9639531</v>
      </c>
      <c r="J106" s="3">
        <v>143.39690279999999</v>
      </c>
      <c r="K106" s="6">
        <f t="shared" si="107"/>
        <v>9.2563681351855623E-2</v>
      </c>
      <c r="L106" s="8">
        <f t="shared" si="108"/>
        <v>1.0232194431576331</v>
      </c>
      <c r="M106" s="4">
        <f t="shared" si="109"/>
        <v>29.642501849251907</v>
      </c>
      <c r="N106" s="40" t="s">
        <v>239</v>
      </c>
      <c r="O106" s="1">
        <f t="shared" si="114"/>
        <v>10.252761657920464</v>
      </c>
      <c r="P106" s="1">
        <f t="shared" si="115"/>
        <v>23.756601126939263</v>
      </c>
      <c r="Q106" s="1">
        <f t="shared" si="110"/>
        <v>2.3170928886839781</v>
      </c>
      <c r="R106" s="6">
        <f t="shared" si="116"/>
        <v>9.0281705983429657E-3</v>
      </c>
      <c r="S106" s="16">
        <f t="shared" si="117"/>
        <v>9.9799398181384183E-2</v>
      </c>
      <c r="T106" s="4">
        <f t="shared" si="118"/>
        <v>2.8911724312202733</v>
      </c>
      <c r="U106" s="40" t="s">
        <v>239</v>
      </c>
      <c r="Y106" s="25"/>
      <c r="Z106" s="25"/>
      <c r="AA106" s="25" t="s">
        <v>24</v>
      </c>
      <c r="AB106" s="40">
        <f>170.59577</f>
        <v>170.59576999999999</v>
      </c>
      <c r="AC106" s="40">
        <f t="shared" si="96"/>
        <v>177.41960079999998</v>
      </c>
      <c r="AD106" s="40">
        <f t="shared" si="97"/>
        <v>167.18385459999999</v>
      </c>
      <c r="AE106" s="40">
        <f t="shared" si="122"/>
        <v>172.30172769999999</v>
      </c>
      <c r="AF106" s="40">
        <f t="shared" si="123"/>
        <v>5.1178730999999971</v>
      </c>
    </row>
    <row r="107" spans="3:32" x14ac:dyDescent="0.25">
      <c r="C107">
        <v>30</v>
      </c>
      <c r="D107" s="25" t="s">
        <v>156</v>
      </c>
      <c r="E107" s="2">
        <f>AB111</f>
        <v>128.82813999999999</v>
      </c>
      <c r="F107" s="2">
        <v>1</v>
      </c>
      <c r="G107" t="s">
        <v>9</v>
      </c>
      <c r="H107" s="5">
        <v>127.908293</v>
      </c>
      <c r="I107" s="11">
        <v>127.4769352</v>
      </c>
      <c r="J107" s="3">
        <v>131.0122485</v>
      </c>
      <c r="K107" s="6">
        <f t="shared" si="107"/>
        <v>0.84611850340898176</v>
      </c>
      <c r="L107" s="8">
        <f t="shared" si="108"/>
        <v>1.8257544115430151</v>
      </c>
      <c r="M107" s="4">
        <f t="shared" si="109"/>
        <v>4.7703299397722843</v>
      </c>
      <c r="N107" s="40" t="s">
        <v>239</v>
      </c>
      <c r="O107" s="1">
        <f t="shared" si="114"/>
        <v>2.4807342849080936</v>
      </c>
      <c r="P107" s="1">
        <f t="shared" si="115"/>
        <v>2.8884625063192821</v>
      </c>
      <c r="Q107" s="1">
        <f t="shared" si="110"/>
        <v>1.1643578773799605</v>
      </c>
      <c r="R107" s="6">
        <f t="shared" si="116"/>
        <v>0.34107582926412805</v>
      </c>
      <c r="S107" s="16">
        <f t="shared" si="117"/>
        <v>0.73597338604551743</v>
      </c>
      <c r="T107" s="4">
        <f t="shared" si="118"/>
        <v>1.9229507846903546</v>
      </c>
      <c r="U107" s="40" t="s">
        <v>239</v>
      </c>
      <c r="Y107" s="25" t="s">
        <v>210</v>
      </c>
      <c r="Z107" s="25" t="s">
        <v>89</v>
      </c>
      <c r="AA107" s="25" t="s">
        <v>22</v>
      </c>
      <c r="AB107" s="40">
        <v>581.73604</v>
      </c>
      <c r="AC107" s="40">
        <f t="shared" si="96"/>
        <v>605.00548160000005</v>
      </c>
      <c r="AD107" s="40">
        <f t="shared" si="97"/>
        <v>570.10131920000003</v>
      </c>
      <c r="AE107" s="40">
        <f t="shared" si="122"/>
        <v>587.5534004000001</v>
      </c>
      <c r="AF107" s="40">
        <f>(AC107-AD107)/2</f>
        <v>17.452081200000009</v>
      </c>
    </row>
    <row r="108" spans="3:32" x14ac:dyDescent="0.25">
      <c r="C108">
        <v>31</v>
      </c>
      <c r="D108" s="25" t="s">
        <v>157</v>
      </c>
      <c r="E108" s="2">
        <f>AB112</f>
        <v>79.007099999999994</v>
      </c>
      <c r="F108" s="2">
        <v>1</v>
      </c>
      <c r="G108" t="s">
        <v>9</v>
      </c>
      <c r="H108" s="5">
        <v>79.138688999999999</v>
      </c>
      <c r="I108" s="11">
        <v>79.164381800000001</v>
      </c>
      <c r="J108" s="3">
        <v>80.258318700000004</v>
      </c>
      <c r="K108" s="6">
        <f t="shared" si="107"/>
        <v>1.7315664921001391E-2</v>
      </c>
      <c r="L108" s="8">
        <f t="shared" si="108"/>
        <v>2.4737564611242175E-2</v>
      </c>
      <c r="M108" s="4">
        <f t="shared" si="109"/>
        <v>1.5655482352297143</v>
      </c>
      <c r="N108" s="40" t="s">
        <v>239</v>
      </c>
      <c r="O108" s="1">
        <f t="shared" si="114"/>
        <v>0.53586715492065262</v>
      </c>
      <c r="P108" s="1">
        <f t="shared" si="115"/>
        <v>1.2611075422092917</v>
      </c>
      <c r="Q108" s="1">
        <f t="shared" si="110"/>
        <v>2.3533958568444588</v>
      </c>
      <c r="R108" s="6">
        <f t="shared" si="116"/>
        <v>3.2313353714626104E-2</v>
      </c>
      <c r="S108" s="16">
        <f t="shared" si="117"/>
        <v>4.6163614216857787E-2</v>
      </c>
      <c r="T108" s="4">
        <f t="shared" si="118"/>
        <v>2.9215230320685159</v>
      </c>
      <c r="U108" s="40" t="s">
        <v>239</v>
      </c>
      <c r="Y108" s="25"/>
      <c r="Z108" s="25"/>
      <c r="AA108" s="25" t="s">
        <v>23</v>
      </c>
      <c r="AB108" s="40">
        <v>154.26937000000001</v>
      </c>
      <c r="AC108" s="40">
        <f t="shared" si="96"/>
        <v>160.44014480000001</v>
      </c>
      <c r="AD108" s="40">
        <f t="shared" si="97"/>
        <v>151.18398260000001</v>
      </c>
      <c r="AE108" s="40">
        <f t="shared" si="122"/>
        <v>155.81206370000001</v>
      </c>
      <c r="AF108" s="40">
        <f t="shared" ref="AF108:AF109" si="124">(AC108-AD108)/2</f>
        <v>4.6280811000000028</v>
      </c>
    </row>
    <row r="109" spans="3:32" ht="17.25" x14ac:dyDescent="0.25">
      <c r="C109">
        <v>32</v>
      </c>
      <c r="D109" s="18" t="s">
        <v>173</v>
      </c>
      <c r="E109" s="22">
        <f>AA119</f>
        <v>43.179499999999997</v>
      </c>
      <c r="F109" s="22">
        <v>1</v>
      </c>
      <c r="G109" t="s">
        <v>3</v>
      </c>
      <c r="H109" s="5">
        <f>H84-3992.2118</f>
        <v>92.45510000000013</v>
      </c>
      <c r="I109" s="11">
        <f>I84-4053.0323</f>
        <v>102.00320000000011</v>
      </c>
      <c r="J109" s="3">
        <f>J84-4107.5599</f>
        <v>66.416000000000167</v>
      </c>
      <c r="K109" s="6">
        <f t="shared" ref="K109:K122" si="125">((E109-H109)/F109)*((E109-H109)/F109)</f>
        <v>2428.0847553600129</v>
      </c>
      <c r="L109" s="8">
        <f t="shared" ref="L109:L122" si="126">((E109-I109)/F109)*((E109-I109)/F109)</f>
        <v>3460.227681690013</v>
      </c>
      <c r="M109" s="4">
        <f t="shared" ref="M109:M122" si="127">((E109-J109)/F109)*((E109-J109)/F109)</f>
        <v>539.93493225000793</v>
      </c>
      <c r="N109" s="47" t="s">
        <v>241</v>
      </c>
      <c r="O109" s="1">
        <f t="shared" si="114"/>
        <v>2142.7491231000113</v>
      </c>
      <c r="P109" s="1">
        <f t="shared" si="115"/>
        <v>2094.3207743255939</v>
      </c>
      <c r="Q109" s="1">
        <f t="shared" ref="Q109:Q122" si="128">P109/O109</f>
        <v>0.97739896460470654</v>
      </c>
      <c r="R109" s="6">
        <f t="shared" si="116"/>
        <v>1.133163341048155</v>
      </c>
      <c r="S109" s="16">
        <f t="shared" si="117"/>
        <v>1.6148543216687665</v>
      </c>
      <c r="T109" s="4">
        <f t="shared" si="118"/>
        <v>0.25198233728307862</v>
      </c>
      <c r="U109" s="47" t="s">
        <v>241</v>
      </c>
      <c r="Y109" s="25"/>
      <c r="Z109" s="25"/>
      <c r="AA109" s="25" t="s">
        <v>24</v>
      </c>
      <c r="AB109" s="40">
        <v>152.79670999999999</v>
      </c>
      <c r="AC109" s="40">
        <f t="shared" si="96"/>
        <v>158.90857839999998</v>
      </c>
      <c r="AD109" s="40">
        <f t="shared" si="97"/>
        <v>149.74077579999999</v>
      </c>
      <c r="AE109" s="40">
        <f t="shared" si="122"/>
        <v>154.32467709999997</v>
      </c>
      <c r="AF109" s="40">
        <f t="shared" si="124"/>
        <v>4.5839012999999937</v>
      </c>
    </row>
    <row r="110" spans="3:32" ht="17.25" x14ac:dyDescent="0.25">
      <c r="C110">
        <v>33</v>
      </c>
      <c r="D110" s="18" t="s">
        <v>184</v>
      </c>
      <c r="E110" s="2">
        <f>AA122</f>
        <v>17</v>
      </c>
      <c r="F110" s="2">
        <f>AA123</f>
        <v>4</v>
      </c>
      <c r="G110" t="s">
        <v>3</v>
      </c>
      <c r="H110" s="5">
        <f>H92-3690.3211</f>
        <v>36.857700000000023</v>
      </c>
      <c r="I110" s="7">
        <f>I92-3735.5639</f>
        <v>45.704499999999825</v>
      </c>
      <c r="J110" s="3">
        <f>J92-3773.4397</f>
        <v>27.320000000000164</v>
      </c>
      <c r="K110" s="6">
        <f t="shared" ref="K110:K118" si="129">((E110-H110)/F110)*((E110-H110)/F110)</f>
        <v>24.645515580625055</v>
      </c>
      <c r="L110" s="8">
        <f t="shared" ref="L110:L118" si="130">((E110-I110)/F110)*((E110-I110)/F110)</f>
        <v>51.496770015624371</v>
      </c>
      <c r="M110" s="4">
        <f t="shared" ref="M110:M118" si="131">((E110-J110)/F110)*((E110-J110)/F110)</f>
        <v>6.656400000000211</v>
      </c>
      <c r="N110" s="47" t="s">
        <v>245</v>
      </c>
      <c r="O110" s="1">
        <f t="shared" si="114"/>
        <v>27.599561865416547</v>
      </c>
      <c r="P110" s="1">
        <f t="shared" si="115"/>
        <v>31.912677351611833</v>
      </c>
      <c r="Q110" s="1">
        <f t="shared" ref="Q110:Q118" si="132">P110/O110</f>
        <v>1.1562747809993248</v>
      </c>
      <c r="R110" s="6">
        <f t="shared" si="116"/>
        <v>0.89296763842859983</v>
      </c>
      <c r="S110" s="16">
        <f t="shared" si="117"/>
        <v>1.8658546199659809</v>
      </c>
      <c r="T110" s="4">
        <f t="shared" si="118"/>
        <v>0.2411777416054191</v>
      </c>
      <c r="U110" s="47" t="s">
        <v>245</v>
      </c>
      <c r="Y110" s="25" t="s">
        <v>211</v>
      </c>
      <c r="Z110" s="25" t="s">
        <v>89</v>
      </c>
      <c r="AA110" s="25" t="s">
        <v>22</v>
      </c>
      <c r="AB110" s="40">
        <v>137.95240999999999</v>
      </c>
      <c r="AC110" s="40">
        <f t="shared" si="96"/>
        <v>143.47050639999998</v>
      </c>
      <c r="AD110" s="40">
        <f t="shared" si="97"/>
        <v>135.19336179999999</v>
      </c>
      <c r="AE110" s="40">
        <f t="shared" ref="AE110:AE111" si="133">((AC110-AD110)/2)+AD110</f>
        <v>139.33193409999998</v>
      </c>
      <c r="AF110" s="40">
        <f>(AC110-AD110)/2</f>
        <v>4.1385722999999928</v>
      </c>
    </row>
    <row r="111" spans="3:32" ht="17.25" x14ac:dyDescent="0.25">
      <c r="C111">
        <v>34</v>
      </c>
      <c r="D111" s="18" t="s">
        <v>185</v>
      </c>
      <c r="E111" s="2">
        <f>AA134</f>
        <v>18</v>
      </c>
      <c r="F111" s="2">
        <f>AA135</f>
        <v>4</v>
      </c>
      <c r="G111" t="s">
        <v>3</v>
      </c>
      <c r="H111" s="5">
        <f>H93-3753.4537</f>
        <v>35.43939999999975</v>
      </c>
      <c r="I111" s="7">
        <f>I93-3798.2681</f>
        <v>41.791400000000067</v>
      </c>
      <c r="J111" s="3">
        <f>J93-3808.2337</f>
        <v>30.645399999999881</v>
      </c>
      <c r="K111" s="6">
        <f t="shared" si="129"/>
        <v>19.008292022499457</v>
      </c>
      <c r="L111" s="8">
        <f t="shared" si="130"/>
        <v>35.376919622500196</v>
      </c>
      <c r="M111" s="4">
        <f t="shared" si="131"/>
        <v>9.994133822499812</v>
      </c>
      <c r="N111" s="47" t="s">
        <v>246</v>
      </c>
      <c r="O111" s="1">
        <f t="shared" si="114"/>
        <v>21.459781822499821</v>
      </c>
      <c r="P111" s="1">
        <f t="shared" si="115"/>
        <v>18.197736420874147</v>
      </c>
      <c r="Q111" s="1">
        <f t="shared" si="132"/>
        <v>0.84799261108025181</v>
      </c>
      <c r="R111" s="6">
        <f t="shared" si="116"/>
        <v>0.88576352638263711</v>
      </c>
      <c r="S111" s="16">
        <f t="shared" si="117"/>
        <v>1.6485218682609695</v>
      </c>
      <c r="T111" s="4">
        <f t="shared" si="118"/>
        <v>0.46571460535639353</v>
      </c>
      <c r="U111" s="47" t="s">
        <v>246</v>
      </c>
      <c r="Y111" s="25"/>
      <c r="Z111" s="25"/>
      <c r="AA111" s="25" t="s">
        <v>23</v>
      </c>
      <c r="AB111" s="40">
        <v>128.82813999999999</v>
      </c>
      <c r="AC111" s="40">
        <f t="shared" si="96"/>
        <v>133.9812656</v>
      </c>
      <c r="AD111" s="40">
        <f t="shared" si="97"/>
        <v>126.25157719999999</v>
      </c>
      <c r="AE111" s="40">
        <f t="shared" si="133"/>
        <v>130.11642139999998</v>
      </c>
      <c r="AF111" s="40">
        <f t="shared" ref="AF111:AF112" si="134">(AC111-AD111)/2</f>
        <v>3.8648442000000074</v>
      </c>
    </row>
    <row r="112" spans="3:32" ht="17.25" x14ac:dyDescent="0.25">
      <c r="C112">
        <v>35</v>
      </c>
      <c r="D112" s="18" t="s">
        <v>186</v>
      </c>
      <c r="E112" s="2">
        <f>AA137</f>
        <v>10</v>
      </c>
      <c r="F112" s="2">
        <f>AA138</f>
        <v>4</v>
      </c>
      <c r="G112" t="s">
        <v>3</v>
      </c>
      <c r="H112" s="5">
        <f>H92-3703.1444</f>
        <v>24.034400000000005</v>
      </c>
      <c r="I112" s="7">
        <f>I92-3755.742</f>
        <v>25.52639999999974</v>
      </c>
      <c r="J112" s="3">
        <f>J92-3784.903</f>
        <v>15.856700000000274</v>
      </c>
      <c r="K112" s="6">
        <f t="shared" si="129"/>
        <v>12.310273960000009</v>
      </c>
      <c r="L112" s="8">
        <f t="shared" si="130"/>
        <v>15.066818559999495</v>
      </c>
      <c r="M112" s="4">
        <f t="shared" si="131"/>
        <v>2.1438084306252003</v>
      </c>
      <c r="N112" s="47" t="s">
        <v>247</v>
      </c>
      <c r="O112" s="1">
        <f t="shared" si="114"/>
        <v>9.8403003168749006</v>
      </c>
      <c r="P112" s="1">
        <f t="shared" si="115"/>
        <v>9.6256558269322294</v>
      </c>
      <c r="Q112" s="1">
        <f t="shared" si="132"/>
        <v>0.9781872013017141</v>
      </c>
      <c r="R112" s="6">
        <f t="shared" si="116"/>
        <v>1.2510059209157884</v>
      </c>
      <c r="S112" s="16">
        <f t="shared" si="117"/>
        <v>1.5311340177455521</v>
      </c>
      <c r="T112" s="4">
        <f t="shared" si="118"/>
        <v>0.2178600613386599</v>
      </c>
      <c r="U112" s="47" t="s">
        <v>247</v>
      </c>
      <c r="Y112" s="25"/>
      <c r="Z112" s="25"/>
      <c r="AA112" s="25" t="s">
        <v>24</v>
      </c>
      <c r="AB112" s="40">
        <v>79.007099999999994</v>
      </c>
      <c r="AC112" s="40">
        <f t="shared" si="96"/>
        <v>82.167383999999998</v>
      </c>
      <c r="AD112" s="40">
        <f t="shared" si="97"/>
        <v>77.426957999999999</v>
      </c>
      <c r="AE112" s="40">
        <f>((AC112-AD112)/2)+AD112</f>
        <v>79.797170999999992</v>
      </c>
      <c r="AF112" s="40">
        <f t="shared" si="134"/>
        <v>2.3702129999999997</v>
      </c>
    </row>
    <row r="113" spans="3:28" ht="17.25" x14ac:dyDescent="0.25">
      <c r="C113">
        <v>36</v>
      </c>
      <c r="D113" s="18" t="s">
        <v>187</v>
      </c>
      <c r="E113" s="2">
        <f>AA143</f>
        <v>9</v>
      </c>
      <c r="F113" s="2">
        <f>AA144</f>
        <v>4</v>
      </c>
      <c r="G113" t="s">
        <v>3</v>
      </c>
      <c r="H113" s="5">
        <f>H93-3765.3345</f>
        <v>23.558599999999842</v>
      </c>
      <c r="I113" s="7">
        <f>I93-3816.7062</f>
        <v>23.353299999999763</v>
      </c>
      <c r="J113" s="3">
        <f>J93-3819.1404</f>
        <v>19.738699999999881</v>
      </c>
      <c r="K113" s="6">
        <f t="shared" si="129"/>
        <v>13.247052122499714</v>
      </c>
      <c r="L113" s="8">
        <f t="shared" si="130"/>
        <v>12.876076305624574</v>
      </c>
      <c r="M113" s="4">
        <f t="shared" si="131"/>
        <v>7.2074798556248396</v>
      </c>
      <c r="N113" s="47" t="s">
        <v>248</v>
      </c>
      <c r="O113" s="1">
        <f t="shared" si="114"/>
        <v>11.11020276124971</v>
      </c>
      <c r="P113" s="1">
        <f t="shared" si="115"/>
        <v>4.7870325511204355</v>
      </c>
      <c r="Q113" s="1">
        <f t="shared" si="132"/>
        <v>0.43086815371333287</v>
      </c>
      <c r="R113" s="6">
        <f t="shared" si="116"/>
        <v>1.192332165953166</v>
      </c>
      <c r="S113" s="16">
        <f t="shared" si="117"/>
        <v>1.1589416127070065</v>
      </c>
      <c r="T113" s="4">
        <f t="shared" si="118"/>
        <v>0.64872622133982727</v>
      </c>
      <c r="U113" s="47" t="s">
        <v>248</v>
      </c>
    </row>
    <row r="114" spans="3:28" ht="17.25" x14ac:dyDescent="0.25">
      <c r="C114">
        <v>37</v>
      </c>
      <c r="D114" s="18" t="s">
        <v>174</v>
      </c>
      <c r="E114" s="22">
        <f>AA146</f>
        <v>32.422900000000027</v>
      </c>
      <c r="F114" s="22">
        <f>AA147</f>
        <v>2</v>
      </c>
      <c r="G114" t="s">
        <v>3</v>
      </c>
      <c r="H114" s="5">
        <f>H84-4041.5097</f>
        <v>43.157200000000103</v>
      </c>
      <c r="I114" s="11">
        <f>I84-4110.0367</f>
        <v>44.998800000000301</v>
      </c>
      <c r="J114" s="3">
        <f>J84-4129.1285</f>
        <v>44.847400000000562</v>
      </c>
      <c r="K114" s="6">
        <f t="shared" si="129"/>
        <v>28.806299122500405</v>
      </c>
      <c r="L114" s="8">
        <f t="shared" si="130"/>
        <v>39.538315202501728</v>
      </c>
      <c r="M114" s="4">
        <f t="shared" si="131"/>
        <v>38.592050062503326</v>
      </c>
      <c r="N114" s="47" t="s">
        <v>242</v>
      </c>
      <c r="O114" s="1">
        <f t="shared" si="114"/>
        <v>35.645554795835153</v>
      </c>
      <c r="P114" s="1">
        <f t="shared" si="115"/>
        <v>8.4030254138286651</v>
      </c>
      <c r="Q114" s="1">
        <f t="shared" si="132"/>
        <v>0.23573838202149344</v>
      </c>
      <c r="R114" s="6">
        <f t="shared" si="116"/>
        <v>0.80813159698291892</v>
      </c>
      <c r="S114" s="16">
        <f t="shared" si="117"/>
        <v>1.1092074573944184</v>
      </c>
      <c r="T114" s="4">
        <f t="shared" si="118"/>
        <v>1.0826609456226626</v>
      </c>
      <c r="U114" s="47" t="s">
        <v>242</v>
      </c>
    </row>
    <row r="115" spans="3:28" ht="17.25" x14ac:dyDescent="0.25">
      <c r="C115">
        <v>38</v>
      </c>
      <c r="D115" s="18" t="s">
        <v>175</v>
      </c>
      <c r="E115" s="22">
        <f>AA149</f>
        <v>93.422900000000027</v>
      </c>
      <c r="F115" s="22">
        <f>AA150</f>
        <v>2</v>
      </c>
      <c r="G115" t="s">
        <v>3</v>
      </c>
      <c r="H115" s="5">
        <f>H84-3920.9375</f>
        <v>163.72940000000017</v>
      </c>
      <c r="I115" s="11">
        <f>I84-3979.7986</f>
        <v>175.23689999999988</v>
      </c>
      <c r="J115" s="3">
        <f>J84-4040.7118</f>
        <v>133.26410000000033</v>
      </c>
      <c r="K115" s="6">
        <f t="shared" si="129"/>
        <v>1235.7509855625051</v>
      </c>
      <c r="L115" s="8">
        <f t="shared" si="130"/>
        <v>1673.382648999994</v>
      </c>
      <c r="M115" s="4">
        <f t="shared" si="131"/>
        <v>396.83030436000598</v>
      </c>
      <c r="N115" s="47" t="s">
        <v>242</v>
      </c>
      <c r="O115" s="1">
        <f t="shared" si="114"/>
        <v>1101.987979640835</v>
      </c>
      <c r="P115" s="1">
        <f t="shared" si="115"/>
        <v>917.40490348195021</v>
      </c>
      <c r="Q115" s="1">
        <f t="shared" si="132"/>
        <v>0.83249991872048834</v>
      </c>
      <c r="R115" s="6">
        <f t="shared" si="116"/>
        <v>1.1213833620628664</v>
      </c>
      <c r="S115" s="16">
        <f t="shared" si="117"/>
        <v>1.5185126153058317</v>
      </c>
      <c r="T115" s="4">
        <f t="shared" si="118"/>
        <v>0.36010402263130198</v>
      </c>
      <c r="U115" s="47" t="s">
        <v>242</v>
      </c>
    </row>
    <row r="116" spans="3:28" ht="17.25" x14ac:dyDescent="0.25">
      <c r="C116">
        <v>39</v>
      </c>
      <c r="D116" s="18" t="s">
        <v>177</v>
      </c>
      <c r="E116" s="2">
        <f>AA155</f>
        <v>68.792300000000068</v>
      </c>
      <c r="F116" s="2">
        <f>AA156</f>
        <v>2</v>
      </c>
      <c r="G116" t="s">
        <v>3</v>
      </c>
      <c r="H116" s="5">
        <f>H85-2844.4394</f>
        <v>116.74069999999983</v>
      </c>
      <c r="I116" s="11">
        <f>I85-2887.3033</f>
        <v>124.89049999999997</v>
      </c>
      <c r="J116" s="3">
        <f>J85-2931.1125</f>
        <v>94.812099999999646</v>
      </c>
      <c r="K116" s="6">
        <f t="shared" si="129"/>
        <v>574.76226563999433</v>
      </c>
      <c r="L116" s="8">
        <f t="shared" si="130"/>
        <v>786.75201080999739</v>
      </c>
      <c r="M116" s="4">
        <f t="shared" si="131"/>
        <v>169.25749800999449</v>
      </c>
      <c r="N116" s="47" t="s">
        <v>243</v>
      </c>
      <c r="O116" s="1">
        <f t="shared" ref="O116:O127" si="135">(K116+L116+M116)/3</f>
        <v>510.25725815332879</v>
      </c>
      <c r="P116" s="1">
        <f t="shared" ref="P116:P127" si="136">SQRT((K116-(K116+L116+M116)/3)*(K116-(K116+L116+M116)/3)+(L116-(K116+L116+M116)/3)*(L116-(K116+L116+M116)/3)+(M116-(K116+L116+M116)/3)*(M116-(K116+L116+M116)/3))</f>
        <v>443.72410420816522</v>
      </c>
      <c r="Q116" s="1">
        <f t="shared" si="132"/>
        <v>0.86960860843811683</v>
      </c>
      <c r="R116" s="6">
        <f t="shared" ref="R116:R127" si="137">K116/O116</f>
        <v>1.1264166387757335</v>
      </c>
      <c r="S116" s="16">
        <f t="shared" ref="S116:S127" si="138">L116/O116</f>
        <v>1.5418732379375264</v>
      </c>
      <c r="T116" s="4">
        <f t="shared" ref="T116:T127" si="139">M116/O116</f>
        <v>0.33171012328673977</v>
      </c>
      <c r="U116" s="47" t="s">
        <v>243</v>
      </c>
      <c r="Y116" s="18" t="s">
        <v>29</v>
      </c>
      <c r="Z116" s="12" t="s">
        <v>31</v>
      </c>
      <c r="AA116" s="13">
        <v>0.5</v>
      </c>
    </row>
    <row r="117" spans="3:28" ht="17.25" x14ac:dyDescent="0.25">
      <c r="C117">
        <v>40</v>
      </c>
      <c r="D117" s="18" t="s">
        <v>125</v>
      </c>
      <c r="E117" s="2">
        <f>AA164</f>
        <v>6</v>
      </c>
      <c r="F117" s="2">
        <f>AA165</f>
        <v>4</v>
      </c>
      <c r="G117" t="s">
        <v>3</v>
      </c>
      <c r="H117" s="5">
        <f>H93-3787.7722</f>
        <v>1.1208999999998923</v>
      </c>
      <c r="I117" s="11">
        <f>I93-3837.0064</f>
        <v>3.0530999999996311</v>
      </c>
      <c r="J117" s="3">
        <f>J93-3828.7171</f>
        <v>10.162000000000262</v>
      </c>
      <c r="K117" s="6">
        <f t="shared" si="129"/>
        <v>1.4878510506250657</v>
      </c>
      <c r="L117" s="8">
        <f t="shared" si="130"/>
        <v>0.54276372562513586</v>
      </c>
      <c r="M117" s="4">
        <f t="shared" si="131"/>
        <v>1.0826402500001362</v>
      </c>
      <c r="N117" s="47" t="s">
        <v>244</v>
      </c>
      <c r="O117" s="1">
        <f t="shared" si="135"/>
        <v>1.0377516754167793</v>
      </c>
      <c r="P117" s="1">
        <f t="shared" si="136"/>
        <v>0.67053523556182337</v>
      </c>
      <c r="Q117" s="1">
        <f t="shared" si="132"/>
        <v>0.64614228186384248</v>
      </c>
      <c r="R117" s="6">
        <f t="shared" si="137"/>
        <v>1.4337255105153346</v>
      </c>
      <c r="S117" s="16">
        <f t="shared" si="138"/>
        <v>0.52301888638932093</v>
      </c>
      <c r="T117" s="4">
        <f t="shared" si="139"/>
        <v>1.0432556030953444</v>
      </c>
      <c r="U117" s="47" t="s">
        <v>244</v>
      </c>
      <c r="Y117" s="18"/>
      <c r="Z117" s="18"/>
      <c r="AA117" s="18"/>
      <c r="AB117" s="18"/>
    </row>
    <row r="118" spans="3:28" ht="17.25" x14ac:dyDescent="0.25">
      <c r="C118">
        <v>41</v>
      </c>
      <c r="D118" s="18" t="s">
        <v>126</v>
      </c>
      <c r="E118" s="2">
        <f>AA167</f>
        <v>131</v>
      </c>
      <c r="F118" s="2">
        <f>AA168</f>
        <v>4</v>
      </c>
      <c r="G118" t="s">
        <v>3</v>
      </c>
      <c r="H118" s="5">
        <f>H93-3624.4437</f>
        <v>164.44939999999997</v>
      </c>
      <c r="I118" s="11">
        <f>I93-3666.6519</f>
        <v>173.4076</v>
      </c>
      <c r="J118" s="3">
        <f>J93-3697.7777</f>
        <v>141.10140000000001</v>
      </c>
      <c r="K118" s="6">
        <f t="shared" si="129"/>
        <v>69.928897522499867</v>
      </c>
      <c r="L118" s="8">
        <f t="shared" si="130"/>
        <v>112.40028361000002</v>
      </c>
      <c r="M118" s="4">
        <f t="shared" si="131"/>
        <v>6.3773926225000155</v>
      </c>
      <c r="N118" s="47" t="s">
        <v>244</v>
      </c>
      <c r="O118" s="1">
        <f t="shared" si="135"/>
        <v>62.902191251666636</v>
      </c>
      <c r="P118" s="1">
        <f t="shared" si="136"/>
        <v>75.461835441489924</v>
      </c>
      <c r="Q118" s="1">
        <f t="shared" si="132"/>
        <v>1.1996694223190596</v>
      </c>
      <c r="R118" s="6">
        <f t="shared" si="137"/>
        <v>1.1117084497536809</v>
      </c>
      <c r="S118" s="16">
        <f t="shared" si="138"/>
        <v>1.7869056923676232</v>
      </c>
      <c r="T118" s="4">
        <f t="shared" si="139"/>
        <v>0.10138585787869579</v>
      </c>
      <c r="U118" s="47" t="s">
        <v>244</v>
      </c>
      <c r="Y118" s="18" t="s">
        <v>21</v>
      </c>
      <c r="Z118" s="18"/>
      <c r="AA118" s="18" t="s">
        <v>30</v>
      </c>
      <c r="AB118" s="18" t="s">
        <v>32</v>
      </c>
    </row>
    <row r="119" spans="3:28" ht="18" customHeight="1" x14ac:dyDescent="0.25">
      <c r="C119">
        <v>42</v>
      </c>
      <c r="D119" s="19" t="s">
        <v>188</v>
      </c>
      <c r="E119">
        <f>AA181</f>
        <v>20</v>
      </c>
      <c r="F119">
        <f>AA182</f>
        <v>4</v>
      </c>
      <c r="G119" t="s">
        <v>3</v>
      </c>
      <c r="H119" s="5">
        <f xml:space="preserve"> 3729.2293-3708.2232</f>
        <v>21.00610000000006</v>
      </c>
      <c r="I119" s="11">
        <f>3770.4793-3751.4768</f>
        <v>19.002500000000055</v>
      </c>
      <c r="J119" s="3">
        <f>3783.9327-3757.3696</f>
        <v>26.563099999999849</v>
      </c>
      <c r="K119" s="6">
        <f t="shared" si="125"/>
        <v>6.3264825625007598E-2</v>
      </c>
      <c r="L119" s="8">
        <f t="shared" si="126"/>
        <v>6.2187890624993199E-2</v>
      </c>
      <c r="M119" s="4">
        <f t="shared" si="127"/>
        <v>2.6921426006248765</v>
      </c>
      <c r="N119" s="48" t="s">
        <v>251</v>
      </c>
      <c r="O119" s="1">
        <f t="shared" si="135"/>
        <v>0.93919843895829247</v>
      </c>
      <c r="P119" s="1">
        <f t="shared" si="136"/>
        <v>2.1469095068902977</v>
      </c>
      <c r="Q119" s="1">
        <f t="shared" si="128"/>
        <v>2.2858955230712823</v>
      </c>
      <c r="R119" s="6">
        <f t="shared" si="137"/>
        <v>6.7360445887428733E-2</v>
      </c>
      <c r="S119" s="16">
        <f t="shared" si="138"/>
        <v>6.6213792576112679E-2</v>
      </c>
      <c r="T119" s="4">
        <f t="shared" si="139"/>
        <v>2.8664257615364583</v>
      </c>
      <c r="U119" s="48" t="s">
        <v>251</v>
      </c>
      <c r="Y119" s="18" t="s">
        <v>207</v>
      </c>
      <c r="Z119" s="18" t="s">
        <v>13</v>
      </c>
      <c r="AA119" s="18">
        <v>43.179499999999997</v>
      </c>
      <c r="AB119" s="18">
        <f>AA120+$AA$116*AA119</f>
        <v>21.589949999999998</v>
      </c>
    </row>
    <row r="120" spans="3:28" ht="17.25" x14ac:dyDescent="0.25">
      <c r="C120">
        <v>43</v>
      </c>
      <c r="D120" s="19" t="s">
        <v>189</v>
      </c>
      <c r="E120">
        <f>AA184</f>
        <v>10</v>
      </c>
      <c r="F120">
        <f>AA185</f>
        <v>4</v>
      </c>
      <c r="G120" t="s">
        <v>3</v>
      </c>
      <c r="H120" s="5">
        <f xml:space="preserve"> 3598.9884-3582.2708</f>
        <v>16.717600000000402</v>
      </c>
      <c r="I120" s="11">
        <f>3640.6468-3621.6722</f>
        <v>18.974600000000009</v>
      </c>
      <c r="J120" s="3">
        <f>3679.5083-3664.6887</f>
        <v>14.819599999999809</v>
      </c>
      <c r="K120" s="6">
        <f t="shared" si="125"/>
        <v>2.8203843600003378</v>
      </c>
      <c r="L120" s="8">
        <f t="shared" si="126"/>
        <v>5.0339653225000109</v>
      </c>
      <c r="M120" s="4">
        <f t="shared" si="127"/>
        <v>1.4517840099998851</v>
      </c>
      <c r="N120" s="48" t="s">
        <v>251</v>
      </c>
      <c r="O120" s="1">
        <f t="shared" si="135"/>
        <v>3.1020445641667447</v>
      </c>
      <c r="P120" s="1">
        <f t="shared" si="136"/>
        <v>2.556366598070229</v>
      </c>
      <c r="Q120" s="1">
        <f t="shared" si="128"/>
        <v>0.82409086819708766</v>
      </c>
      <c r="R120" s="6">
        <f t="shared" si="137"/>
        <v>0.90920175441062212</v>
      </c>
      <c r="S120" s="16">
        <f t="shared" si="138"/>
        <v>1.6227894920175685</v>
      </c>
      <c r="T120" s="4">
        <f t="shared" si="139"/>
        <v>0.46800875357180949</v>
      </c>
      <c r="U120" s="48" t="s">
        <v>251</v>
      </c>
      <c r="Y120" s="18"/>
      <c r="Z120" s="18" t="s">
        <v>1</v>
      </c>
      <c r="AA120" s="18">
        <v>2.0000000000000001E-4</v>
      </c>
      <c r="AB120" s="18"/>
    </row>
    <row r="121" spans="3:28" ht="17.25" x14ac:dyDescent="0.25">
      <c r="C121">
        <v>44</v>
      </c>
      <c r="D121" s="19" t="s">
        <v>191</v>
      </c>
      <c r="E121">
        <f>AA187</f>
        <v>38</v>
      </c>
      <c r="F121" s="2">
        <f>AA188</f>
        <v>4</v>
      </c>
      <c r="G121" t="s">
        <v>3</v>
      </c>
      <c r="H121" s="5">
        <f>3627.9682-3597.233</f>
        <v>30.735199999999622</v>
      </c>
      <c r="I121" s="11">
        <f>3662.3573-3631.001</f>
        <v>31.356299999999919</v>
      </c>
      <c r="J121" s="3">
        <f>3741.7122-3688.7856</f>
        <v>52.92659999999978</v>
      </c>
      <c r="K121" s="6">
        <f t="shared" si="125"/>
        <v>3.298582440000343</v>
      </c>
      <c r="L121" s="8">
        <f t="shared" si="126"/>
        <v>2.7586718556250669</v>
      </c>
      <c r="M121" s="4">
        <f t="shared" si="127"/>
        <v>13.92521172249959</v>
      </c>
      <c r="N121" s="48" t="s">
        <v>252</v>
      </c>
      <c r="O121" s="1">
        <f t="shared" si="135"/>
        <v>6.6608220060416663</v>
      </c>
      <c r="P121" s="1">
        <f t="shared" si="136"/>
        <v>8.9052113196953204</v>
      </c>
      <c r="Q121" s="1">
        <f t="shared" si="128"/>
        <v>1.3369538041427758</v>
      </c>
      <c r="R121" s="6">
        <f t="shared" si="137"/>
        <v>0.49522152626333205</v>
      </c>
      <c r="S121" s="16">
        <f t="shared" si="138"/>
        <v>0.41416387543802058</v>
      </c>
      <c r="T121" s="4">
        <f t="shared" si="139"/>
        <v>2.0906145982986475</v>
      </c>
      <c r="U121" s="48" t="s">
        <v>252</v>
      </c>
      <c r="Y121" s="18" t="s">
        <v>65</v>
      </c>
      <c r="Z121" s="18" t="s">
        <v>90</v>
      </c>
      <c r="AA121" s="18"/>
      <c r="AB121" s="18"/>
    </row>
    <row r="122" spans="3:28" ht="17.25" x14ac:dyDescent="0.25">
      <c r="C122">
        <v>45</v>
      </c>
      <c r="D122" s="19" t="s">
        <v>190</v>
      </c>
      <c r="E122">
        <f>AA190</f>
        <v>52</v>
      </c>
      <c r="F122" s="2">
        <f>AA191</f>
        <v>4</v>
      </c>
      <c r="G122" t="s">
        <v>3</v>
      </c>
      <c r="H122" s="5">
        <f>3597.233-3539.4897</f>
        <v>57.74330000000009</v>
      </c>
      <c r="I122" s="11">
        <f>3631.001-3569.1227</f>
        <v>61.878300000000309</v>
      </c>
      <c r="J122" s="3">
        <f>3688.7856-3635.719</f>
        <v>53.066600000000108</v>
      </c>
      <c r="K122" s="6">
        <f t="shared" si="125"/>
        <v>2.0615934306250647</v>
      </c>
      <c r="L122" s="8">
        <f t="shared" si="126"/>
        <v>6.0988006806253807</v>
      </c>
      <c r="M122" s="4">
        <f t="shared" si="127"/>
        <v>7.1102222500014356E-2</v>
      </c>
      <c r="N122" s="48" t="s">
        <v>252</v>
      </c>
      <c r="O122" s="1">
        <f t="shared" si="135"/>
        <v>2.7438321112501534</v>
      </c>
      <c r="P122" s="1">
        <f t="shared" si="136"/>
        <v>4.3433568558264994</v>
      </c>
      <c r="Q122" s="1">
        <f t="shared" si="128"/>
        <v>1.5829528483240782</v>
      </c>
      <c r="R122" s="6">
        <f t="shared" si="137"/>
        <v>0.75135553016243228</v>
      </c>
      <c r="S122" s="16">
        <f t="shared" si="138"/>
        <v>2.2227309956827592</v>
      </c>
      <c r="T122" s="4">
        <f t="shared" si="139"/>
        <v>2.591347415480845E-2</v>
      </c>
      <c r="U122" s="48" t="s">
        <v>252</v>
      </c>
      <c r="Y122" s="18" t="s">
        <v>214</v>
      </c>
      <c r="Z122" s="18" t="s">
        <v>13</v>
      </c>
      <c r="AA122" s="18">
        <v>17</v>
      </c>
      <c r="AB122" s="18">
        <f>AA123+$AA$116*AA122</f>
        <v>12.5</v>
      </c>
    </row>
    <row r="123" spans="3:28" ht="17.25" x14ac:dyDescent="0.25">
      <c r="C123">
        <v>46</v>
      </c>
      <c r="D123" s="17" t="s">
        <v>194</v>
      </c>
      <c r="E123" s="1">
        <f>AA197</f>
        <v>4.7610000000000001</v>
      </c>
      <c r="F123" s="1">
        <f>AA198</f>
        <v>2.4E-2</v>
      </c>
      <c r="G123" t="s">
        <v>10</v>
      </c>
      <c r="H123" s="6">
        <f>-(-210.067019+100.490515+109.574272)*2625.497332</f>
        <v>5.8601100450036263</v>
      </c>
      <c r="I123" s="16">
        <f>-(-209.839319+100.390951+109.446192)*2625.497332</f>
        <v>5.7130821944097301</v>
      </c>
      <c r="J123" s="4">
        <f>-(-209.990562+100.451587+109.537388)*2625.497332</f>
        <v>4.1666642658857622</v>
      </c>
      <c r="K123" s="6">
        <f t="shared" ref="K123:K127" si="140">((E123-H123)/F123)*((E123-H123)/F123)</f>
        <v>2097.29668581228</v>
      </c>
      <c r="L123" s="8">
        <f t="shared" ref="L123:L127" si="141">((E123-I123)/F123)*((E123-I123)/F123)</f>
        <v>1573.7161543611924</v>
      </c>
      <c r="M123" s="4">
        <f t="shared" ref="M123:M127" si="142">((E123-J123)/F123)*((E123-J123)/F123)</f>
        <v>613.25514730053828</v>
      </c>
      <c r="N123" s="49" t="s">
        <v>250</v>
      </c>
      <c r="O123" s="1">
        <f t="shared" si="135"/>
        <v>1428.0893291580035</v>
      </c>
      <c r="P123" s="1">
        <f t="shared" si="136"/>
        <v>1064.4249162539784</v>
      </c>
      <c r="Q123" s="1">
        <f t="shared" ref="Q123:Q127" si="143">P123/O123</f>
        <v>0.74534897398999522</v>
      </c>
      <c r="R123" s="6">
        <f t="shared" si="137"/>
        <v>1.4686032890175287</v>
      </c>
      <c r="S123" s="16">
        <f t="shared" si="138"/>
        <v>1.1019731904929575</v>
      </c>
      <c r="T123" s="4">
        <f t="shared" si="139"/>
        <v>0.42942352048951404</v>
      </c>
      <c r="U123" s="49" t="s">
        <v>250</v>
      </c>
      <c r="Y123" s="18"/>
      <c r="Z123" s="18" t="s">
        <v>1</v>
      </c>
      <c r="AA123" s="18">
        <v>4</v>
      </c>
      <c r="AB123" s="18"/>
    </row>
    <row r="124" spans="3:28" ht="17.25" x14ac:dyDescent="0.25">
      <c r="C124">
        <v>47</v>
      </c>
      <c r="D124" s="17" t="s">
        <v>193</v>
      </c>
      <c r="E124" s="15">
        <f>AA200</f>
        <v>12.7043412</v>
      </c>
      <c r="F124" s="15">
        <f>AA201</f>
        <v>1.2E-2</v>
      </c>
      <c r="G124" t="s">
        <v>10</v>
      </c>
      <c r="H124" s="6">
        <f>-(-200.986208+2*100.490515)*2625.497332</f>
        <v>13.594825185098081</v>
      </c>
      <c r="I124" s="16">
        <f>-(-200.787053+2*100.390951)*2625.497332</f>
        <v>13.523936757089194</v>
      </c>
      <c r="J124" s="4">
        <f>-(-200.908354+2*100.451587)*2625.497332</f>
        <v>13.600076179748823</v>
      </c>
      <c r="K124" s="6">
        <f t="shared" si="140"/>
        <v>5506.6786646955507</v>
      </c>
      <c r="L124" s="8">
        <f t="shared" si="141"/>
        <v>4664.8394250024039</v>
      </c>
      <c r="M124" s="4">
        <f t="shared" si="142"/>
        <v>5571.8135690668414</v>
      </c>
      <c r="N124" s="49" t="s">
        <v>249</v>
      </c>
      <c r="O124" s="1">
        <f t="shared" si="135"/>
        <v>5247.7772195882653</v>
      </c>
      <c r="P124" s="1">
        <f t="shared" si="136"/>
        <v>715.4341244438026</v>
      </c>
      <c r="Q124" s="1">
        <f t="shared" si="143"/>
        <v>0.13633088725133319</v>
      </c>
      <c r="R124" s="6">
        <f t="shared" si="137"/>
        <v>1.049335448947964</v>
      </c>
      <c r="S124" s="16">
        <f t="shared" si="138"/>
        <v>0.88891719861697982</v>
      </c>
      <c r="T124" s="4">
        <f t="shared" si="139"/>
        <v>1.0617473524350562</v>
      </c>
      <c r="U124" s="49" t="s">
        <v>249</v>
      </c>
      <c r="Y124" s="18" t="s">
        <v>65</v>
      </c>
      <c r="Z124" s="18" t="s">
        <v>66</v>
      </c>
      <c r="AA124" s="18"/>
      <c r="AB124" s="18"/>
    </row>
    <row r="125" spans="3:28" ht="17.25" x14ac:dyDescent="0.25">
      <c r="C125">
        <v>48</v>
      </c>
      <c r="D125" s="17" t="s">
        <v>195</v>
      </c>
      <c r="E125" s="1">
        <f>AA206</f>
        <v>12.944000000000001</v>
      </c>
      <c r="F125" s="1">
        <f>AA207</f>
        <v>2.4E-2</v>
      </c>
      <c r="G125" t="s">
        <v>10</v>
      </c>
      <c r="H125" s="6">
        <f>-(-200.989303+100.493074+100.490515)*2625.497332</f>
        <v>15.002091755078888</v>
      </c>
      <c r="I125" s="16">
        <f>-(-200.79019+100.393555+100.390951)*2625.497332</f>
        <v>14.923326835056578</v>
      </c>
      <c r="J125" s="4">
        <f>-(-200.911489+100.454203+100.451587)*2625.497332</f>
        <v>14.962709295011768</v>
      </c>
      <c r="K125" s="6">
        <f t="shared" si="140"/>
        <v>7353.7181811175269</v>
      </c>
      <c r="L125" s="8">
        <f t="shared" si="141"/>
        <v>6801.6227777345257</v>
      </c>
      <c r="M125" s="4">
        <f t="shared" si="142"/>
        <v>7074.9778086231017</v>
      </c>
      <c r="N125" s="49" t="s">
        <v>254</v>
      </c>
      <c r="O125" s="1">
        <f t="shared" si="135"/>
        <v>7076.7729224917175</v>
      </c>
      <c r="P125" s="1">
        <f t="shared" si="136"/>
        <v>390.39659433583864</v>
      </c>
      <c r="Q125" s="1">
        <f t="shared" si="143"/>
        <v>5.5165906637340681E-2</v>
      </c>
      <c r="R125" s="6">
        <f t="shared" si="137"/>
        <v>1.0391343994867503</v>
      </c>
      <c r="S125" s="16">
        <f t="shared" si="138"/>
        <v>0.96111926328981145</v>
      </c>
      <c r="T125" s="4">
        <f t="shared" si="139"/>
        <v>0.99974633722343831</v>
      </c>
      <c r="U125" s="49" t="s">
        <v>254</v>
      </c>
      <c r="Y125" s="18" t="s">
        <v>215</v>
      </c>
      <c r="Z125" s="18" t="s">
        <v>13</v>
      </c>
      <c r="AA125" s="18">
        <v>11</v>
      </c>
      <c r="AB125" s="18">
        <f>AA126+$AA$116*AA125</f>
        <v>9.5</v>
      </c>
    </row>
    <row r="126" spans="3:28" ht="17.25" x14ac:dyDescent="0.25">
      <c r="C126">
        <v>49</v>
      </c>
      <c r="D126" s="17" t="s">
        <v>192</v>
      </c>
      <c r="E126" s="1">
        <f>AA209</f>
        <v>59.5</v>
      </c>
      <c r="F126" s="15">
        <f>AA210</f>
        <v>0.5</v>
      </c>
      <c r="G126" t="s">
        <v>10</v>
      </c>
      <c r="H126" s="9">
        <f>-(-379.687986+2*189.831388)*2625.497332</f>
        <v>66.188787739760684</v>
      </c>
      <c r="I126" s="8">
        <f>-(-379.265543+2*189.623072)*2625.497332</f>
        <v>50.932022743374574</v>
      </c>
      <c r="J126" s="4">
        <f>-(-379.526523+2*189.751061)*2625.497332</f>
        <v>64.064760398162619</v>
      </c>
      <c r="K126" s="6">
        <f t="shared" si="140"/>
        <v>178.95952571029139</v>
      </c>
      <c r="L126" s="8">
        <f t="shared" si="141"/>
        <v>293.64093708020221</v>
      </c>
      <c r="M126" s="4">
        <f t="shared" si="142"/>
        <v>83.348149970535005</v>
      </c>
      <c r="N126" s="49" t="s">
        <v>253</v>
      </c>
      <c r="O126" s="1">
        <f t="shared" si="135"/>
        <v>185.3162042536762</v>
      </c>
      <c r="P126" s="1">
        <f t="shared" si="136"/>
        <v>148.90312017661617</v>
      </c>
      <c r="Q126" s="1">
        <f t="shared" si="143"/>
        <v>0.80350836439961404</v>
      </c>
      <c r="R126" s="6">
        <f t="shared" si="137"/>
        <v>0.96569820448791799</v>
      </c>
      <c r="S126" s="16">
        <f t="shared" si="138"/>
        <v>1.5845399934818549</v>
      </c>
      <c r="T126" s="4">
        <f t="shared" si="139"/>
        <v>0.44976180203022686</v>
      </c>
      <c r="U126" s="49" t="s">
        <v>253</v>
      </c>
      <c r="Y126" s="18"/>
      <c r="Z126" s="18" t="s">
        <v>1</v>
      </c>
      <c r="AA126" s="18">
        <v>4</v>
      </c>
      <c r="AB126" s="18"/>
    </row>
    <row r="127" spans="3:28" ht="17.25" x14ac:dyDescent="0.25">
      <c r="C127">
        <v>50</v>
      </c>
      <c r="D127" s="42" t="s">
        <v>273</v>
      </c>
      <c r="E127" s="1">
        <f>AA215</f>
        <v>0.89361000000000002</v>
      </c>
      <c r="F127" s="1">
        <f>AA216</f>
        <v>5.9810000000000002E-3</v>
      </c>
      <c r="G127" t="s">
        <v>10</v>
      </c>
      <c r="H127" s="6">
        <v>0.99768898617819524</v>
      </c>
      <c r="I127" s="16">
        <v>0.98981249412746131</v>
      </c>
      <c r="J127" s="4">
        <v>1.0003144834289461</v>
      </c>
      <c r="K127" s="6">
        <f t="shared" si="140"/>
        <v>302.81577902786319</v>
      </c>
      <c r="L127" s="8">
        <f t="shared" si="141"/>
        <v>258.71705466531051</v>
      </c>
      <c r="M127" s="4">
        <f t="shared" si="142"/>
        <v>318.28614230517894</v>
      </c>
      <c r="N127" s="50" t="s">
        <v>274</v>
      </c>
      <c r="O127" s="1">
        <f t="shared" si="135"/>
        <v>293.27299199945088</v>
      </c>
      <c r="P127" s="1">
        <f t="shared" si="136"/>
        <v>43.713101897801927</v>
      </c>
      <c r="Q127" s="1">
        <f t="shared" si="143"/>
        <v>0.14905259976303503</v>
      </c>
      <c r="R127" s="6">
        <f t="shared" si="137"/>
        <v>1.0325389220580876</v>
      </c>
      <c r="S127" s="16">
        <f t="shared" si="138"/>
        <v>0.88217142977078133</v>
      </c>
      <c r="T127" s="4">
        <f t="shared" si="139"/>
        <v>1.0852896481711309</v>
      </c>
      <c r="U127" s="50" t="s">
        <v>274</v>
      </c>
      <c r="Y127" s="18" t="s">
        <v>65</v>
      </c>
      <c r="Z127" s="18" t="s">
        <v>66</v>
      </c>
      <c r="AA127" s="18"/>
      <c r="AB127" s="18"/>
    </row>
    <row r="128" spans="3:28" ht="17.25" x14ac:dyDescent="0.25">
      <c r="C128">
        <v>51</v>
      </c>
      <c r="D128" s="42" t="s">
        <v>196</v>
      </c>
      <c r="E128">
        <v>0.3</v>
      </c>
      <c r="F128">
        <v>0.8</v>
      </c>
      <c r="G128" t="s">
        <v>10</v>
      </c>
      <c r="H128" s="6">
        <f>(-1689.902327+1689.902395)*2625.497332</f>
        <v>0.17853381872221441</v>
      </c>
      <c r="I128" s="16">
        <f>(-1688.21664+1688.216868)*2625.497332</f>
        <v>0.59861339137858438</v>
      </c>
      <c r="J128" s="4">
        <f>(1689.333663-1689.333212)*2625.497332</f>
        <v>1.1840992964287971</v>
      </c>
      <c r="K128" s="6">
        <f>((E128-H128)/F128)*((E128-H128)/F128)</f>
        <v>2.3053176865949789E-2</v>
      </c>
      <c r="L128" s="8">
        <f>((E128-I128)/F128)*((E128-I128)/F128)</f>
        <v>0.13932805861034311</v>
      </c>
      <c r="M128" s="4">
        <f>((E128-J128)/F128)*((E128-J128)/F128)</f>
        <v>1.2212993217904593</v>
      </c>
      <c r="N128" s="50" t="s">
        <v>255</v>
      </c>
      <c r="O128" s="1">
        <f>(K128+L128+M128)/3</f>
        <v>0.46122685242225075</v>
      </c>
      <c r="P128" s="1">
        <f>SQRT((K128-(K128+L128+M128)/3)*(K128-(K128+L128+M128)/3)+(L128-(K128+L128+M128)/3)*(L128-(K128+L128+M128)/3)+(M128-(K128+L128+M128)/3)*(M128-(K128+L128+M128)/3))</f>
        <v>0.93451867937434296</v>
      </c>
      <c r="Q128" s="1">
        <f t="shared" ref="Q128" si="144">P128/O128</f>
        <v>2.0261584390988494</v>
      </c>
      <c r="R128" s="6">
        <f>K128/O128</f>
        <v>4.9982295577285098E-2</v>
      </c>
      <c r="S128" s="16">
        <f>L128/O128</f>
        <v>0.3020814115193558</v>
      </c>
      <c r="T128" s="4">
        <f>M128/O128</f>
        <v>2.647936292903359</v>
      </c>
      <c r="U128" s="50" t="s">
        <v>255</v>
      </c>
      <c r="Y128" s="18" t="s">
        <v>216</v>
      </c>
      <c r="Z128" s="18" t="s">
        <v>13</v>
      </c>
      <c r="AA128" s="18">
        <v>13</v>
      </c>
      <c r="AB128" s="18">
        <f>AA129+$AA$116*AA128</f>
        <v>12.5</v>
      </c>
    </row>
    <row r="129" spans="4:28" x14ac:dyDescent="0.25">
      <c r="Y129" s="18"/>
      <c r="Z129" s="18" t="s">
        <v>1</v>
      </c>
      <c r="AA129" s="18">
        <v>6</v>
      </c>
      <c r="AB129" s="18"/>
    </row>
    <row r="130" spans="4:28" ht="17.25" x14ac:dyDescent="0.25">
      <c r="D130" t="s">
        <v>54</v>
      </c>
      <c r="H130" s="2"/>
      <c r="I130" s="2"/>
      <c r="J130" s="2"/>
      <c r="K130" s="6">
        <f>AVERAGE(K86:K128)</f>
        <v>54845.636961302145</v>
      </c>
      <c r="L130" s="16">
        <f>AVERAGE(L86:L128)</f>
        <v>81753.251288787476</v>
      </c>
      <c r="M130" s="4">
        <f>AVERAGE(M86:M128)</f>
        <v>57135.860154489652</v>
      </c>
      <c r="N130" s="15"/>
      <c r="O130" s="15">
        <f t="shared" ref="O130:T130" si="145">AVERAGE(O86:O128)</f>
        <v>64578.249468193098</v>
      </c>
      <c r="P130" s="15">
        <f t="shared" si="145"/>
        <v>22478.981935662327</v>
      </c>
      <c r="Q130" s="15">
        <f t="shared" si="145"/>
        <v>1.0973379120194016</v>
      </c>
      <c r="R130" s="6">
        <f t="shared" si="145"/>
        <v>0.80220423296117027</v>
      </c>
      <c r="S130" s="16">
        <f t="shared" si="145"/>
        <v>0.98578241702339386</v>
      </c>
      <c r="T130" s="4">
        <f t="shared" si="145"/>
        <v>1.2120133500154355</v>
      </c>
      <c r="Y130" s="18" t="s">
        <v>65</v>
      </c>
      <c r="Z130" s="18" t="s">
        <v>66</v>
      </c>
      <c r="AA130" s="18"/>
      <c r="AB130" s="18"/>
    </row>
    <row r="131" spans="4:28" ht="17.25" x14ac:dyDescent="0.25">
      <c r="D131" t="s">
        <v>114</v>
      </c>
      <c r="H131" s="10"/>
      <c r="I131" s="15"/>
      <c r="J131" s="15"/>
      <c r="K131" s="6">
        <f>AVERAGE(K78:K128)</f>
        <v>621876.2983733943</v>
      </c>
      <c r="L131" s="16">
        <f>AVERAGE(L78:L128)</f>
        <v>2762045.8847250952</v>
      </c>
      <c r="M131" s="4">
        <f>AVERAGE(M78:M128)</f>
        <v>2473064.788453144</v>
      </c>
      <c r="N131" s="15"/>
      <c r="O131" s="15">
        <f t="shared" ref="O131:T131" si="146">AVERAGE(O78:O128)</f>
        <v>1952328.9905172097</v>
      </c>
      <c r="P131" s="15">
        <f t="shared" si="146"/>
        <v>1663201.4983234052</v>
      </c>
      <c r="Q131" s="15">
        <f t="shared" si="146"/>
        <v>1.0641759710980372</v>
      </c>
      <c r="R131" s="6">
        <f t="shared" si="146"/>
        <v>0.73063872391111773</v>
      </c>
      <c r="S131" s="16">
        <f t="shared" si="146"/>
        <v>1.0111419475932726</v>
      </c>
      <c r="T131" s="4">
        <f t="shared" si="146"/>
        <v>1.2582193284956094</v>
      </c>
      <c r="Y131" s="18" t="s">
        <v>217</v>
      </c>
      <c r="Z131" s="18" t="s">
        <v>13</v>
      </c>
      <c r="AA131" s="18">
        <v>10</v>
      </c>
      <c r="AB131" s="18">
        <f>AA132+$AA$116*AA131</f>
        <v>9</v>
      </c>
    </row>
    <row r="132" spans="4:28" ht="17.25" x14ac:dyDescent="0.25">
      <c r="D132" t="s">
        <v>57</v>
      </c>
      <c r="K132" s="1">
        <f>((2/16)*(AVERAGE(K92:K93)))+((14/16)*AVERAGE(K109:K122))</f>
        <v>1092.0437476414068</v>
      </c>
      <c r="L132" s="1">
        <f>((2/16)*(AVERAGE(L92:L93)))+((14/16)*AVERAGE(L109:L122))</f>
        <v>1821.1815474371081</v>
      </c>
      <c r="M132" s="1">
        <f>((2/16)*(AVERAGE(M92:M93)))+((14/16)*AVERAGE(M109:M122))</f>
        <v>1634.9795700277753</v>
      </c>
      <c r="N132" s="1"/>
      <c r="O132" s="1">
        <f t="shared" ref="O132:T132" si="147">((2/16)*(AVERAGE(O92:O93)))+((14/16)*AVERAGE(O109:O122))</f>
        <v>1516.0682883687632</v>
      </c>
      <c r="P132" s="1">
        <f t="shared" si="147"/>
        <v>796.71864144338065</v>
      </c>
      <c r="Q132" s="1">
        <f t="shared" si="147"/>
        <v>0.94386292821288054</v>
      </c>
      <c r="R132" s="1">
        <f t="shared" si="147"/>
        <v>0.90408132927605611</v>
      </c>
      <c r="S132" s="1">
        <f t="shared" si="147"/>
        <v>1.3051776215956123</v>
      </c>
      <c r="T132" s="1">
        <f t="shared" si="147"/>
        <v>0.79074104912833154</v>
      </c>
      <c r="Y132" s="18"/>
      <c r="Z132" s="18" t="s">
        <v>1</v>
      </c>
      <c r="AA132" s="18">
        <v>4</v>
      </c>
      <c r="AB132" s="18"/>
    </row>
    <row r="133" spans="4:28" ht="17.25" x14ac:dyDescent="0.25">
      <c r="D133" s="23" t="s">
        <v>56</v>
      </c>
      <c r="E133" s="23"/>
      <c r="F133" s="23"/>
      <c r="G133" s="23"/>
      <c r="H133" s="23"/>
      <c r="I133" s="23"/>
      <c r="J133" s="23"/>
      <c r="K133" s="26">
        <f>AVERAGE(K82:K85)</f>
        <v>8687.2270169970288</v>
      </c>
      <c r="L133" s="26">
        <f>AVERAGE(L82:L85)</f>
        <v>21768.343318729319</v>
      </c>
      <c r="M133" s="26">
        <f>AVERAGE(M82:M85)</f>
        <v>32232.310052836878</v>
      </c>
      <c r="N133" s="26"/>
      <c r="O133" s="26">
        <f t="shared" ref="O133:T133" si="148">AVERAGE(O82:O85)</f>
        <v>20895.960129521074</v>
      </c>
      <c r="P133" s="26">
        <f t="shared" si="148"/>
        <v>16970.430546521442</v>
      </c>
      <c r="Q133" s="26">
        <f t="shared" si="148"/>
        <v>0.85920855692667675</v>
      </c>
      <c r="R133" s="26">
        <f t="shared" si="148"/>
        <v>0.37746943414895295</v>
      </c>
      <c r="S133" s="26">
        <f t="shared" si="148"/>
        <v>1.0522844615045988</v>
      </c>
      <c r="T133" s="26">
        <f t="shared" si="148"/>
        <v>1.570246104346448</v>
      </c>
      <c r="Y133" s="18" t="s">
        <v>65</v>
      </c>
      <c r="Z133" s="18" t="s">
        <v>66</v>
      </c>
      <c r="AA133" s="18"/>
      <c r="AB133" s="18"/>
    </row>
    <row r="134" spans="4:28" ht="17.25" x14ac:dyDescent="0.25">
      <c r="D134" s="20" t="s">
        <v>55</v>
      </c>
      <c r="E134" s="20"/>
      <c r="F134" s="20"/>
      <c r="G134" s="20"/>
      <c r="H134" s="20"/>
      <c r="I134" s="20"/>
      <c r="J134" s="20"/>
      <c r="K134" s="27">
        <f>AVERAGE(K92:K93)</f>
        <v>6528.2119746312464</v>
      </c>
      <c r="L134" s="27">
        <f>AVERAGE(L92:L93)</f>
        <v>11468.645422351237</v>
      </c>
      <c r="M134" s="27">
        <f>AVERAGE(M92:M93)</f>
        <v>12481.728120112508</v>
      </c>
      <c r="N134" s="27"/>
      <c r="O134" s="27">
        <f t="shared" ref="O134:T134" si="149">AVERAGE(O92:O93)</f>
        <v>10159.52850569833</v>
      </c>
      <c r="P134" s="27">
        <f t="shared" si="149"/>
        <v>4562.5190692782398</v>
      </c>
      <c r="Q134" s="27">
        <f t="shared" si="149"/>
        <v>0.44876674130426653</v>
      </c>
      <c r="R134" s="27">
        <f t="shared" si="149"/>
        <v>0.64278193043710052</v>
      </c>
      <c r="S134" s="27">
        <f t="shared" si="149"/>
        <v>1.1290597300361709</v>
      </c>
      <c r="T134" s="27">
        <f t="shared" si="149"/>
        <v>1.2281583395267286</v>
      </c>
      <c r="Y134" s="18" t="s">
        <v>208</v>
      </c>
      <c r="Z134" s="18" t="s">
        <v>13</v>
      </c>
      <c r="AA134" s="18">
        <v>18</v>
      </c>
      <c r="AB134" s="18">
        <f>AA135+$AA$116*AA134</f>
        <v>13</v>
      </c>
    </row>
    <row r="135" spans="4:28" ht="17.25" x14ac:dyDescent="0.25">
      <c r="D135" s="18" t="s">
        <v>58</v>
      </c>
      <c r="E135" s="18"/>
      <c r="F135" s="18"/>
      <c r="G135" s="18"/>
      <c r="H135" s="18"/>
      <c r="I135" s="18"/>
      <c r="J135" s="18"/>
      <c r="K135" s="29">
        <f>AVERAGE(K109:K118)</f>
        <v>440.80321879437622</v>
      </c>
      <c r="L135" s="29">
        <f>AVERAGE(L109:L118)</f>
        <v>618.76602885418799</v>
      </c>
      <c r="M135" s="29">
        <f>AVERAGE(M109:M118)</f>
        <v>117.80766396637621</v>
      </c>
      <c r="N135" s="29"/>
      <c r="O135" s="29">
        <f t="shared" ref="O135:T135" si="150">AVERAGE(O109:O118)</f>
        <v>392.45897053831351</v>
      </c>
      <c r="P135" s="29">
        <f t="shared" si="150"/>
        <v>360.45082802571284</v>
      </c>
      <c r="Q135" s="29">
        <f t="shared" si="150"/>
        <v>0.81743803250623304</v>
      </c>
      <c r="R135" s="29">
        <f t="shared" si="150"/>
        <v>1.0956598150818881</v>
      </c>
      <c r="S135" s="29">
        <f t="shared" si="150"/>
        <v>1.4298824329742996</v>
      </c>
      <c r="T135" s="29">
        <f t="shared" si="150"/>
        <v>0.47445775194381223</v>
      </c>
      <c r="Y135" s="18"/>
      <c r="Z135" s="18" t="s">
        <v>1</v>
      </c>
      <c r="AA135" s="18">
        <v>4</v>
      </c>
      <c r="AB135" s="18"/>
    </row>
    <row r="136" spans="4:28" ht="17.25" x14ac:dyDescent="0.25">
      <c r="D136" s="19" t="s">
        <v>59</v>
      </c>
      <c r="E136" s="19"/>
      <c r="F136" s="19"/>
      <c r="G136" s="19"/>
      <c r="H136" s="19"/>
      <c r="I136" s="19"/>
      <c r="J136" s="19"/>
      <c r="K136" s="30">
        <f>AVERAGE(K119:K122)</f>
        <v>2.0609562640626882</v>
      </c>
      <c r="L136" s="30">
        <f>AVERAGE(L119:L122)</f>
        <v>3.4884064373438628</v>
      </c>
      <c r="M136" s="30">
        <f>AVERAGE(M119:M122)</f>
        <v>4.5350601389060907</v>
      </c>
      <c r="N136" s="30"/>
      <c r="O136" s="30">
        <f t="shared" ref="O136:T136" si="151">AVERAGE(O119:O122)</f>
        <v>3.3614742801042139</v>
      </c>
      <c r="P136" s="30">
        <f t="shared" si="151"/>
        <v>4.487961070120587</v>
      </c>
      <c r="Q136" s="30">
        <f t="shared" si="151"/>
        <v>1.507473260933806</v>
      </c>
      <c r="R136" s="30">
        <f t="shared" si="151"/>
        <v>0.55578481418095382</v>
      </c>
      <c r="S136" s="30">
        <f t="shared" si="151"/>
        <v>1.0814745389286151</v>
      </c>
      <c r="T136" s="30">
        <f t="shared" si="151"/>
        <v>1.3627406468904311</v>
      </c>
      <c r="Y136" s="18" t="s">
        <v>65</v>
      </c>
      <c r="Z136" s="18" t="s">
        <v>88</v>
      </c>
      <c r="AA136" s="18"/>
      <c r="AB136" s="18"/>
    </row>
    <row r="137" spans="4:28" x14ac:dyDescent="0.25">
      <c r="K137" s="2"/>
      <c r="L137" s="2"/>
      <c r="M137" s="2"/>
      <c r="Q137" s="2"/>
      <c r="R137" s="2"/>
      <c r="S137" s="2"/>
      <c r="T137" s="2"/>
      <c r="Y137" s="18" t="s">
        <v>218</v>
      </c>
      <c r="Z137" s="18" t="s">
        <v>13</v>
      </c>
      <c r="AA137" s="18">
        <v>10</v>
      </c>
      <c r="AB137" s="18">
        <f>AA138+$AA$116*AA137</f>
        <v>9</v>
      </c>
    </row>
    <row r="138" spans="4:28" ht="17.25" x14ac:dyDescent="0.25">
      <c r="D138" t="s">
        <v>100</v>
      </c>
      <c r="K138" s="1">
        <f>((6/21)*(AVERAGE(K86:K91)))+((15/21)*AVERAGE(K94:K108))</f>
        <v>110735.72368972335</v>
      </c>
      <c r="L138" s="1">
        <f>((6/21)*(AVERAGE(L86:L91)))+((15/21)*AVERAGE(L94:L108))</f>
        <v>165364.67738009358</v>
      </c>
      <c r="M138" s="1">
        <f>((6/21)*(AVERAGE(M86:M91)))+((15/21)*AVERAGE(M94:M108))</f>
        <v>115096.16244790578</v>
      </c>
      <c r="N138" s="1"/>
      <c r="O138" s="1">
        <f t="shared" ref="O138:T138" si="152">((6/21)*(AVERAGE(O86:O91)))+((15/21)*AVERAGE(O94:O108))</f>
        <v>130398.85450590757</v>
      </c>
      <c r="P138" s="1">
        <f t="shared" si="152"/>
        <v>45308.805647361834</v>
      </c>
      <c r="Q138" s="1">
        <f t="shared" si="152"/>
        <v>1.3413408663946669</v>
      </c>
      <c r="R138" s="1">
        <f t="shared" si="152"/>
        <v>0.68686610425418582</v>
      </c>
      <c r="S138" s="1">
        <f t="shared" si="152"/>
        <v>0.7516666428240194</v>
      </c>
      <c r="T138" s="1">
        <f t="shared" si="152"/>
        <v>1.561467252921795</v>
      </c>
      <c r="Y138" s="18"/>
      <c r="Z138" s="18" t="s">
        <v>1</v>
      </c>
      <c r="AA138" s="18">
        <v>4</v>
      </c>
      <c r="AB138" s="18"/>
    </row>
    <row r="139" spans="4:28" ht="17.25" x14ac:dyDescent="0.25">
      <c r="D139" s="21" t="s">
        <v>60</v>
      </c>
      <c r="E139" s="21"/>
      <c r="F139" s="21"/>
      <c r="G139" s="21"/>
      <c r="H139" s="21"/>
      <c r="I139" s="21"/>
      <c r="J139" s="21"/>
      <c r="K139" s="28">
        <f>AVERAGE(K78:K81)</f>
        <v>7330644.9799097832</v>
      </c>
      <c r="L139" s="28">
        <f>AVERAGE(L78:L81)</f>
        <v>34315469.235571757</v>
      </c>
      <c r="M139" s="28">
        <f>AVERAGE(M78:M81)</f>
        <v>30885133.246063989</v>
      </c>
      <c r="N139" s="28"/>
      <c r="O139" s="28">
        <f t="shared" ref="O139:T139" si="153">AVERAGE(O78:O81)</f>
        <v>24177082.487181839</v>
      </c>
      <c r="P139" s="28">
        <f t="shared" si="153"/>
        <v>20947199.617268525</v>
      </c>
      <c r="Q139" s="28">
        <f t="shared" si="153"/>
        <v>0.91265252036472799</v>
      </c>
      <c r="R139" s="28">
        <f t="shared" si="153"/>
        <v>0.31447879138521906</v>
      </c>
      <c r="S139" s="28">
        <f t="shared" si="153"/>
        <v>1.2426143873081432</v>
      </c>
      <c r="T139" s="28">
        <f t="shared" si="153"/>
        <v>1.4429068213066378</v>
      </c>
      <c r="Y139" s="18" t="s">
        <v>65</v>
      </c>
      <c r="Z139" s="18" t="s">
        <v>91</v>
      </c>
      <c r="AA139" s="18"/>
      <c r="AB139" s="18"/>
    </row>
    <row r="140" spans="4:28" ht="17.25" x14ac:dyDescent="0.25">
      <c r="D140" s="24" t="s">
        <v>61</v>
      </c>
      <c r="E140" s="24"/>
      <c r="F140" s="24"/>
      <c r="G140" s="24"/>
      <c r="H140" s="24"/>
      <c r="I140" s="24"/>
      <c r="J140" s="24"/>
      <c r="K140" s="31">
        <f>AVERAGE(K86:K91)</f>
        <v>328064.00968086219</v>
      </c>
      <c r="L140" s="31">
        <f>AVERAGE(L86:L91)</f>
        <v>496883.82253430277</v>
      </c>
      <c r="M140" s="31">
        <f>AVERAGE(M86:M91)</f>
        <v>335051.72654853668</v>
      </c>
      <c r="N140" s="31"/>
      <c r="O140" s="31">
        <f t="shared" ref="O140:T140" si="154">AVERAGE(O86:O91)</f>
        <v>386666.51958790049</v>
      </c>
      <c r="P140" s="31">
        <f t="shared" si="154"/>
        <v>139787.72298820046</v>
      </c>
      <c r="Q140" s="31">
        <f t="shared" si="154"/>
        <v>0.98517990547295076</v>
      </c>
      <c r="R140" s="31">
        <f t="shared" si="154"/>
        <v>0.99353285169222605</v>
      </c>
      <c r="S140" s="31">
        <f t="shared" si="154"/>
        <v>0.72834793907498074</v>
      </c>
      <c r="T140" s="31">
        <f t="shared" si="154"/>
        <v>1.2781192092327933</v>
      </c>
      <c r="Y140" s="18" t="s">
        <v>219</v>
      </c>
      <c r="Z140" s="18" t="s">
        <v>13</v>
      </c>
      <c r="AA140" s="18">
        <v>7</v>
      </c>
      <c r="AB140" s="18">
        <f>AA141+$AA$116*AA140</f>
        <v>9.5</v>
      </c>
    </row>
    <row r="141" spans="4:28" ht="17.25" x14ac:dyDescent="0.25">
      <c r="D141" s="25" t="s">
        <v>62</v>
      </c>
      <c r="E141" s="25"/>
      <c r="F141" s="25"/>
      <c r="G141" s="25"/>
      <c r="H141" s="25"/>
      <c r="I141" s="25"/>
      <c r="J141" s="25"/>
      <c r="K141" s="32">
        <f>AVERAGE(K94:K108)</f>
        <v>23804.409293267832</v>
      </c>
      <c r="L141" s="32">
        <f>AVERAGE(L94:L108)</f>
        <v>32757.019318409923</v>
      </c>
      <c r="M141" s="32">
        <f>AVERAGE(M94:M108)</f>
        <v>27113.936807653434</v>
      </c>
      <c r="N141" s="32"/>
      <c r="O141" s="32">
        <f t="shared" ref="O141:T141" si="155">AVERAGE(O94:O108)</f>
        <v>27891.788473110406</v>
      </c>
      <c r="P141" s="32">
        <f t="shared" si="155"/>
        <v>7517.238711026379</v>
      </c>
      <c r="Q141" s="32">
        <f t="shared" si="155"/>
        <v>1.4838052507633532</v>
      </c>
      <c r="R141" s="32">
        <f t="shared" si="155"/>
        <v>0.56419940527896972</v>
      </c>
      <c r="S141" s="32">
        <f t="shared" si="155"/>
        <v>0.76099412432363478</v>
      </c>
      <c r="T141" s="32">
        <f t="shared" si="155"/>
        <v>1.6748064703973957</v>
      </c>
      <c r="Y141" s="18"/>
      <c r="Z141" s="18" t="s">
        <v>1</v>
      </c>
      <c r="AA141" s="18">
        <v>6</v>
      </c>
      <c r="AB141" s="18"/>
    </row>
    <row r="142" spans="4:28" x14ac:dyDescent="0.25">
      <c r="K142" s="1"/>
      <c r="L142" s="1"/>
      <c r="M142" s="1"/>
      <c r="N142" s="1"/>
      <c r="O142" s="1"/>
      <c r="P142" s="1"/>
      <c r="Y142" s="18" t="s">
        <v>65</v>
      </c>
      <c r="Z142" s="18" t="s">
        <v>91</v>
      </c>
      <c r="AA142" s="18"/>
      <c r="AB142" s="18"/>
    </row>
    <row r="143" spans="4:28" ht="17.25" x14ac:dyDescent="0.25">
      <c r="D143" t="s">
        <v>52</v>
      </c>
      <c r="K143" s="1">
        <f>AVERAGE(K123:K128)</f>
        <v>2573.2486482567301</v>
      </c>
      <c r="L143" s="1">
        <f>AVERAGE(L123:L128)</f>
        <v>2265.4459461503743</v>
      </c>
      <c r="M143" s="1">
        <f>AVERAGE(M123:M128)</f>
        <v>2277.1503527646641</v>
      </c>
      <c r="N143" s="1"/>
      <c r="O143" s="1">
        <f t="shared" ref="O143:T143" si="156">AVERAGE(O123:O128)</f>
        <v>2371.9483157239224</v>
      </c>
      <c r="P143" s="1">
        <f t="shared" si="156"/>
        <v>393.967729297902</v>
      </c>
      <c r="Q143" s="1">
        <f t="shared" si="156"/>
        <v>0.65259419519002793</v>
      </c>
      <c r="R143" s="1">
        <f t="shared" si="156"/>
        <v>0.93421542659592227</v>
      </c>
      <c r="S143" s="1">
        <f t="shared" si="156"/>
        <v>0.95346708119529</v>
      </c>
      <c r="T143" s="1">
        <f t="shared" si="156"/>
        <v>1.1123174922087877</v>
      </c>
      <c r="Y143" s="18" t="s">
        <v>220</v>
      </c>
      <c r="Z143" s="18" t="s">
        <v>13</v>
      </c>
      <c r="AA143" s="18">
        <v>9</v>
      </c>
      <c r="AB143" s="18">
        <f>AA144+$AA$116*AA143</f>
        <v>8.5</v>
      </c>
    </row>
    <row r="144" spans="4:28" ht="17.25" x14ac:dyDescent="0.25">
      <c r="D144" s="17" t="s">
        <v>115</v>
      </c>
      <c r="E144" s="17"/>
      <c r="F144" s="17"/>
      <c r="G144" s="17"/>
      <c r="H144" s="17"/>
      <c r="I144" s="17"/>
      <c r="J144" s="17"/>
      <c r="K144" s="36">
        <f>AVERAGE(K123:K126)</f>
        <v>3784.1632643339126</v>
      </c>
      <c r="L144" s="36">
        <f>AVERAGE(L123:L126)</f>
        <v>3333.4548235445809</v>
      </c>
      <c r="M144" s="36">
        <f>AVERAGE(M123:M126)</f>
        <v>3335.8486687402542</v>
      </c>
      <c r="N144" s="36"/>
      <c r="O144" s="36">
        <f t="shared" ref="O144:T144" si="157">AVERAGE(O123:O126)</f>
        <v>3484.4889188729157</v>
      </c>
      <c r="P144" s="36">
        <f t="shared" si="157"/>
        <v>579.78968880255889</v>
      </c>
      <c r="Q144" s="36">
        <f t="shared" si="157"/>
        <v>0.43508853306957074</v>
      </c>
      <c r="R144" s="36">
        <f t="shared" si="157"/>
        <v>1.1306928354850403</v>
      </c>
      <c r="S144" s="36">
        <f t="shared" si="157"/>
        <v>1.1341374114704008</v>
      </c>
      <c r="T144" s="36">
        <f t="shared" si="157"/>
        <v>0.73516975304455889</v>
      </c>
      <c r="Y144" s="18"/>
      <c r="Z144" s="18" t="s">
        <v>1</v>
      </c>
      <c r="AA144" s="18">
        <v>4</v>
      </c>
      <c r="AB144" s="18"/>
    </row>
    <row r="145" spans="4:28" ht="17.25" x14ac:dyDescent="0.25">
      <c r="D145" s="42" t="s">
        <v>116</v>
      </c>
      <c r="E145" s="42"/>
      <c r="F145" s="42"/>
      <c r="G145" s="42"/>
      <c r="H145" s="42"/>
      <c r="I145" s="42"/>
      <c r="J145" s="42"/>
      <c r="K145" s="43">
        <f>AVERAGE(K127:K128)</f>
        <v>151.41941610236458</v>
      </c>
      <c r="L145" s="43">
        <f t="shared" ref="L145:T145" si="158">AVERAGE(L127:L128)</f>
        <v>129.42819136196042</v>
      </c>
      <c r="M145" s="43">
        <f t="shared" si="158"/>
        <v>159.7537208134847</v>
      </c>
      <c r="N145" s="43" t="e">
        <f t="shared" si="158"/>
        <v>#DIV/0!</v>
      </c>
      <c r="O145" s="43">
        <f t="shared" si="158"/>
        <v>146.86710942593658</v>
      </c>
      <c r="P145" s="43">
        <f t="shared" si="158"/>
        <v>22.323810288588135</v>
      </c>
      <c r="Q145" s="43">
        <f t="shared" si="158"/>
        <v>1.0876055194309422</v>
      </c>
      <c r="R145" s="43">
        <f t="shared" si="158"/>
        <v>0.54126060881768634</v>
      </c>
      <c r="S145" s="43">
        <f t="shared" si="158"/>
        <v>0.5921264206450686</v>
      </c>
      <c r="T145" s="43">
        <f t="shared" si="158"/>
        <v>1.866612970537245</v>
      </c>
      <c r="Y145" s="18" t="s">
        <v>65</v>
      </c>
      <c r="Z145" s="18" t="s">
        <v>91</v>
      </c>
      <c r="AA145" s="18"/>
      <c r="AB145" s="18"/>
    </row>
    <row r="146" spans="4:28" x14ac:dyDescent="0.25">
      <c r="Y146" s="18" t="s">
        <v>221</v>
      </c>
      <c r="Z146" s="18" t="s">
        <v>13</v>
      </c>
      <c r="AA146" s="18">
        <f>Z18-3929</f>
        <v>32.422900000000027</v>
      </c>
      <c r="AB146" s="18">
        <f>AA147+$AA$116*AA146</f>
        <v>18.211450000000013</v>
      </c>
    </row>
    <row r="147" spans="4:28" x14ac:dyDescent="0.25">
      <c r="Y147" s="18"/>
      <c r="Z147" s="18" t="s">
        <v>1</v>
      </c>
      <c r="AA147" s="18">
        <v>2</v>
      </c>
      <c r="AB147" s="18"/>
    </row>
    <row r="148" spans="4:28" x14ac:dyDescent="0.25">
      <c r="Y148" s="18" t="s">
        <v>65</v>
      </c>
      <c r="Z148" s="18" t="s">
        <v>86</v>
      </c>
      <c r="AA148" s="18"/>
      <c r="AB148" s="18"/>
    </row>
    <row r="149" spans="4:28" x14ac:dyDescent="0.25">
      <c r="Y149" s="18" t="s">
        <v>222</v>
      </c>
      <c r="Z149" s="18" t="s">
        <v>13</v>
      </c>
      <c r="AA149" s="18">
        <f>Z18-3868</f>
        <v>93.422900000000027</v>
      </c>
      <c r="AB149" s="18">
        <f>AA150+$AA$116*AA149</f>
        <v>48.711450000000013</v>
      </c>
    </row>
    <row r="150" spans="4:28" x14ac:dyDescent="0.25">
      <c r="Y150" s="18"/>
      <c r="Z150" s="18" t="s">
        <v>1</v>
      </c>
      <c r="AA150" s="18">
        <v>2</v>
      </c>
      <c r="AB150" s="18"/>
    </row>
    <row r="151" spans="4:28" x14ac:dyDescent="0.25">
      <c r="Y151" s="18" t="s">
        <v>65</v>
      </c>
      <c r="Z151" s="18" t="s">
        <v>86</v>
      </c>
      <c r="AA151" s="18"/>
      <c r="AB151" s="18"/>
    </row>
    <row r="152" spans="4:28" x14ac:dyDescent="0.25">
      <c r="Y152" s="18" t="s">
        <v>223</v>
      </c>
      <c r="Z152" s="18" t="s">
        <v>13</v>
      </c>
      <c r="AA152" s="18">
        <f>Z23-2882.065</f>
        <v>24.775000000000091</v>
      </c>
      <c r="AB152" s="18">
        <f>AA153+$AA$116*AA152</f>
        <v>14.387500000000045</v>
      </c>
    </row>
    <row r="153" spans="4:28" x14ac:dyDescent="0.25">
      <c r="Y153" s="18"/>
      <c r="Z153" s="18" t="s">
        <v>1</v>
      </c>
      <c r="AA153" s="18">
        <v>2</v>
      </c>
      <c r="AB153" s="18"/>
    </row>
    <row r="154" spans="4:28" x14ac:dyDescent="0.25">
      <c r="Y154" s="18" t="s">
        <v>65</v>
      </c>
      <c r="Z154" s="18" t="s">
        <v>104</v>
      </c>
      <c r="AA154" s="18"/>
      <c r="AB154" s="18"/>
    </row>
    <row r="155" spans="4:28" x14ac:dyDescent="0.25">
      <c r="Y155" s="18" t="s">
        <v>224</v>
      </c>
      <c r="Z155" s="18" t="s">
        <v>13</v>
      </c>
      <c r="AA155" s="18">
        <f>Z23-2838.0477</f>
        <v>68.792300000000068</v>
      </c>
      <c r="AB155" s="18">
        <f>AA156+$AA$116*AA155</f>
        <v>36.396150000000034</v>
      </c>
    </row>
    <row r="156" spans="4:28" x14ac:dyDescent="0.25">
      <c r="Y156" s="18"/>
      <c r="Z156" s="18" t="s">
        <v>1</v>
      </c>
      <c r="AA156" s="18">
        <v>2</v>
      </c>
      <c r="AB156" s="18"/>
    </row>
    <row r="157" spans="4:28" x14ac:dyDescent="0.25">
      <c r="Y157" s="18" t="s">
        <v>65</v>
      </c>
      <c r="Z157" s="18" t="s">
        <v>104</v>
      </c>
      <c r="AA157" s="18"/>
      <c r="AB157" s="18"/>
    </row>
    <row r="158" spans="4:28" x14ac:dyDescent="0.25">
      <c r="Y158" s="18" t="s">
        <v>121</v>
      </c>
      <c r="Z158" s="18" t="s">
        <v>13</v>
      </c>
      <c r="AA158" s="18">
        <f>Z48-3633</f>
        <v>23.699999999999818</v>
      </c>
      <c r="AB158" s="18">
        <f>AA159+$AA$116*AA158</f>
        <v>14.849999999999909</v>
      </c>
    </row>
    <row r="159" spans="4:28" x14ac:dyDescent="0.25">
      <c r="Y159" s="18"/>
      <c r="Z159" s="18" t="s">
        <v>1</v>
      </c>
      <c r="AA159" s="18">
        <v>3</v>
      </c>
      <c r="AB159" s="18"/>
    </row>
    <row r="160" spans="4:28" x14ac:dyDescent="0.25">
      <c r="Y160" s="18" t="s">
        <v>65</v>
      </c>
      <c r="Z160" s="18" t="s">
        <v>120</v>
      </c>
      <c r="AA160" s="18"/>
      <c r="AB160" s="18"/>
    </row>
    <row r="161" spans="25:28" x14ac:dyDescent="0.25">
      <c r="Y161" s="18" t="s">
        <v>122</v>
      </c>
      <c r="Z161" s="18" t="s">
        <v>13</v>
      </c>
      <c r="AA161" s="18">
        <f>Z48-3554</f>
        <v>102.69999999999982</v>
      </c>
      <c r="AB161" s="18">
        <f>AA162+$AA$116*AA161</f>
        <v>54.349999999999909</v>
      </c>
    </row>
    <row r="162" spans="25:28" x14ac:dyDescent="0.25">
      <c r="Y162" s="18"/>
      <c r="Z162" s="18" t="s">
        <v>1</v>
      </c>
      <c r="AA162" s="18">
        <v>3</v>
      </c>
      <c r="AB162" s="18"/>
    </row>
    <row r="163" spans="25:28" x14ac:dyDescent="0.25">
      <c r="Y163" s="18" t="s">
        <v>65</v>
      </c>
      <c r="Z163" s="18" t="s">
        <v>120</v>
      </c>
      <c r="AA163" s="18"/>
      <c r="AB163" s="18"/>
    </row>
    <row r="164" spans="25:28" x14ac:dyDescent="0.25">
      <c r="Y164" s="18" t="s">
        <v>118</v>
      </c>
      <c r="Z164" s="18" t="s">
        <v>13</v>
      </c>
      <c r="AA164" s="18">
        <f>Z53-3617</f>
        <v>6</v>
      </c>
      <c r="AB164" s="18">
        <f>AA165+$AA$116*AA164</f>
        <v>7</v>
      </c>
    </row>
    <row r="165" spans="25:28" x14ac:dyDescent="0.25">
      <c r="Y165" s="18"/>
      <c r="Z165" s="18" t="s">
        <v>1</v>
      </c>
      <c r="AA165" s="18">
        <v>4</v>
      </c>
      <c r="AB165" s="18"/>
    </row>
    <row r="166" spans="25:28" x14ac:dyDescent="0.25">
      <c r="Y166" s="18" t="s">
        <v>65</v>
      </c>
      <c r="Z166" s="18" t="s">
        <v>92</v>
      </c>
      <c r="AA166" s="18"/>
      <c r="AB166" s="18"/>
    </row>
    <row r="167" spans="25:28" x14ac:dyDescent="0.25">
      <c r="Y167" s="18" t="s">
        <v>119</v>
      </c>
      <c r="Z167" s="18" t="s">
        <v>13</v>
      </c>
      <c r="AA167" s="18">
        <f>Z53-3492</f>
        <v>131</v>
      </c>
      <c r="AB167" s="18">
        <f>AA168+$AA$116*AA167</f>
        <v>69.5</v>
      </c>
    </row>
    <row r="168" spans="25:28" x14ac:dyDescent="0.25">
      <c r="Y168" s="18"/>
      <c r="Z168" s="18" t="s">
        <v>1</v>
      </c>
      <c r="AA168" s="18">
        <v>4</v>
      </c>
      <c r="AB168" s="18"/>
    </row>
    <row r="169" spans="25:28" x14ac:dyDescent="0.25">
      <c r="Y169" s="18" t="s">
        <v>65</v>
      </c>
      <c r="Z169" s="18" t="s">
        <v>92</v>
      </c>
      <c r="AA169" s="18"/>
      <c r="AB169" s="18"/>
    </row>
    <row r="175" spans="25:28" x14ac:dyDescent="0.25">
      <c r="Y175" s="19" t="s">
        <v>33</v>
      </c>
      <c r="Z175" s="12" t="s">
        <v>31</v>
      </c>
      <c r="AA175" s="13">
        <v>0.1</v>
      </c>
    </row>
    <row r="176" spans="25:28" x14ac:dyDescent="0.25">
      <c r="Y176" s="19"/>
      <c r="Z176" s="19"/>
      <c r="AA176" s="19"/>
      <c r="AB176" s="19"/>
    </row>
    <row r="177" spans="25:28" ht="17.25" x14ac:dyDescent="0.25">
      <c r="Y177" s="19" t="s">
        <v>34</v>
      </c>
      <c r="Z177" s="19"/>
      <c r="AA177" s="19" t="s">
        <v>35</v>
      </c>
      <c r="AB177" s="19" t="s">
        <v>32</v>
      </c>
    </row>
    <row r="178" spans="25:28" x14ac:dyDescent="0.25">
      <c r="Y178" s="19" t="s">
        <v>225</v>
      </c>
      <c r="Z178" s="19" t="s">
        <v>13</v>
      </c>
      <c r="AA178" s="19">
        <v>44</v>
      </c>
      <c r="AB178" s="19">
        <f>AA179+$AA$175*AA178</f>
        <v>8.4</v>
      </c>
    </row>
    <row r="179" spans="25:28" x14ac:dyDescent="0.25">
      <c r="Y179" s="19"/>
      <c r="Z179" s="19" t="s">
        <v>1</v>
      </c>
      <c r="AA179" s="19">
        <v>4</v>
      </c>
      <c r="AB179" s="19"/>
    </row>
    <row r="180" spans="25:28" x14ac:dyDescent="0.25">
      <c r="Y180" s="19" t="s">
        <v>65</v>
      </c>
      <c r="Z180" s="19" t="s">
        <v>69</v>
      </c>
      <c r="AA180" s="19"/>
      <c r="AB180" s="19"/>
    </row>
    <row r="181" spans="25:28" x14ac:dyDescent="0.25">
      <c r="Y181" s="19" t="s">
        <v>226</v>
      </c>
      <c r="Z181" s="19" t="s">
        <v>13</v>
      </c>
      <c r="AA181" s="19">
        <v>20</v>
      </c>
      <c r="AB181" s="19">
        <f>AA182+$AA$175*44</f>
        <v>8.4</v>
      </c>
    </row>
    <row r="182" spans="25:28" x14ac:dyDescent="0.25">
      <c r="Y182" s="19"/>
      <c r="Z182" s="19" t="s">
        <v>1</v>
      </c>
      <c r="AA182" s="19">
        <v>4</v>
      </c>
      <c r="AB182" s="19"/>
    </row>
    <row r="183" spans="25:28" x14ac:dyDescent="0.25">
      <c r="Y183" s="19" t="s">
        <v>65</v>
      </c>
      <c r="Z183" s="19" t="s">
        <v>92</v>
      </c>
      <c r="AA183" s="19"/>
      <c r="AB183" s="19"/>
    </row>
    <row r="184" spans="25:28" x14ac:dyDescent="0.25">
      <c r="Y184" s="19" t="s">
        <v>227</v>
      </c>
      <c r="Z184" s="19" t="s">
        <v>13</v>
      </c>
      <c r="AA184" s="19">
        <v>10</v>
      </c>
      <c r="AB184" s="19">
        <f>AA185+$AA$175*24</f>
        <v>6.4</v>
      </c>
    </row>
    <row r="185" spans="25:28" x14ac:dyDescent="0.25">
      <c r="Y185" s="19"/>
      <c r="Z185" s="19" t="s">
        <v>1</v>
      </c>
      <c r="AA185" s="19">
        <v>4</v>
      </c>
      <c r="AB185" s="19"/>
    </row>
    <row r="186" spans="25:28" x14ac:dyDescent="0.25">
      <c r="Y186" s="19" t="s">
        <v>65</v>
      </c>
      <c r="Z186" s="19" t="s">
        <v>92</v>
      </c>
      <c r="AA186" s="19"/>
      <c r="AB186" s="19"/>
    </row>
    <row r="187" spans="25:28" x14ac:dyDescent="0.25">
      <c r="Y187" s="19" t="s">
        <v>228</v>
      </c>
      <c r="Z187" s="19" t="s">
        <v>13</v>
      </c>
      <c r="AA187" s="19">
        <v>38</v>
      </c>
      <c r="AB187" s="19">
        <f>AA188+$AA$175*181</f>
        <v>22.1</v>
      </c>
    </row>
    <row r="188" spans="25:28" x14ac:dyDescent="0.25">
      <c r="Y188" s="19"/>
      <c r="Z188" s="19" t="s">
        <v>1</v>
      </c>
      <c r="AA188" s="19">
        <v>4</v>
      </c>
      <c r="AB188" s="19"/>
    </row>
    <row r="189" spans="25:28" x14ac:dyDescent="0.25">
      <c r="Y189" s="19" t="s">
        <v>65</v>
      </c>
      <c r="Z189" s="19" t="s">
        <v>89</v>
      </c>
      <c r="AA189" s="19"/>
      <c r="AB189" s="19"/>
    </row>
    <row r="190" spans="25:28" x14ac:dyDescent="0.25">
      <c r="Y190" s="19" t="s">
        <v>229</v>
      </c>
      <c r="Z190" s="19" t="s">
        <v>13</v>
      </c>
      <c r="AA190" s="19">
        <v>52</v>
      </c>
      <c r="AB190" s="19">
        <f>AA191+$AA$175*226</f>
        <v>26.6</v>
      </c>
    </row>
    <row r="191" spans="25:28" x14ac:dyDescent="0.25">
      <c r="Y191" s="19"/>
      <c r="Z191" s="19" t="s">
        <v>1</v>
      </c>
      <c r="AA191" s="19">
        <v>4</v>
      </c>
      <c r="AB191" s="19"/>
    </row>
    <row r="192" spans="25:28" x14ac:dyDescent="0.25">
      <c r="Y192" s="19" t="s">
        <v>65</v>
      </c>
      <c r="Z192" s="19" t="s">
        <v>89</v>
      </c>
      <c r="AA192" s="19"/>
      <c r="AB192" s="19"/>
    </row>
    <row r="194" spans="25:31" ht="18" x14ac:dyDescent="0.35">
      <c r="Y194" s="17" t="s">
        <v>36</v>
      </c>
      <c r="Z194" s="12" t="s">
        <v>37</v>
      </c>
      <c r="AA194" s="14">
        <v>1.05</v>
      </c>
      <c r="AB194" s="12" t="s">
        <v>38</v>
      </c>
      <c r="AC194" s="14">
        <v>0.9</v>
      </c>
    </row>
    <row r="195" spans="25:31" x14ac:dyDescent="0.25">
      <c r="Y195" s="17"/>
      <c r="Z195" s="17"/>
      <c r="AA195" s="17"/>
      <c r="AB195" s="17"/>
      <c r="AC195" s="17"/>
      <c r="AD195" s="17"/>
      <c r="AE195" s="17"/>
    </row>
    <row r="196" spans="25:31" ht="17.25" x14ac:dyDescent="0.25">
      <c r="Y196" s="17" t="s">
        <v>34</v>
      </c>
      <c r="Z196" s="17"/>
      <c r="AA196" s="17" t="s">
        <v>39</v>
      </c>
      <c r="AB196" s="17" t="s">
        <v>40</v>
      </c>
      <c r="AC196" s="17" t="s">
        <v>41</v>
      </c>
      <c r="AD196" s="17" t="s">
        <v>19</v>
      </c>
      <c r="AE196" s="17" t="s">
        <v>1</v>
      </c>
    </row>
    <row r="197" spans="25:31" x14ac:dyDescent="0.25">
      <c r="Y197" s="17" t="s">
        <v>233</v>
      </c>
      <c r="Z197" s="17" t="s">
        <v>13</v>
      </c>
      <c r="AA197" s="17">
        <v>4.7610000000000001</v>
      </c>
      <c r="AB197" s="17">
        <f>AA197*$AA$194</f>
        <v>4.9990500000000004</v>
      </c>
      <c r="AC197" s="17">
        <f>AA197*$AC$194</f>
        <v>4.2849000000000004</v>
      </c>
      <c r="AD197" s="36">
        <f>((AB197-AC197)/2)+AC197</f>
        <v>4.6419750000000004</v>
      </c>
      <c r="AE197" s="36">
        <f>((AB197-AC197)/2)+AA198</f>
        <v>0.38107500000000005</v>
      </c>
    </row>
    <row r="198" spans="25:31" x14ac:dyDescent="0.25">
      <c r="Y198" s="17"/>
      <c r="Z198" s="17" t="s">
        <v>1</v>
      </c>
      <c r="AA198" s="17">
        <v>2.4E-2</v>
      </c>
      <c r="AB198" s="17"/>
      <c r="AC198" s="17"/>
      <c r="AD198" s="17"/>
      <c r="AE198" s="17"/>
    </row>
    <row r="199" spans="25:31" x14ac:dyDescent="0.25">
      <c r="Y199" s="17"/>
      <c r="Z199" s="17" t="s">
        <v>65</v>
      </c>
      <c r="AA199" s="17" t="s">
        <v>96</v>
      </c>
      <c r="AB199" s="17"/>
      <c r="AC199" s="17"/>
      <c r="AD199" s="17"/>
      <c r="AE199" s="17"/>
    </row>
    <row r="200" spans="25:31" x14ac:dyDescent="0.25">
      <c r="Y200" s="17" t="s">
        <v>232</v>
      </c>
      <c r="Z200" s="17" t="s">
        <v>13</v>
      </c>
      <c r="AA200" s="17">
        <v>12.7043412</v>
      </c>
      <c r="AB200" s="17">
        <f>AA200*$AA$194</f>
        <v>13.33955826</v>
      </c>
      <c r="AC200" s="17">
        <f>AA200*$AC$194</f>
        <v>11.433907080000001</v>
      </c>
      <c r="AD200" s="36">
        <f>((AB200-AC200)/2)+AC200</f>
        <v>12.386732670000001</v>
      </c>
      <c r="AE200" s="36">
        <f>((AB200-AC200)/2)+AA201</f>
        <v>0.96482558999999979</v>
      </c>
    </row>
    <row r="201" spans="25:31" x14ac:dyDescent="0.25">
      <c r="Y201" s="17"/>
      <c r="Z201" s="17" t="s">
        <v>1</v>
      </c>
      <c r="AA201" s="17">
        <v>1.2E-2</v>
      </c>
      <c r="AB201" s="17"/>
      <c r="AC201" s="17"/>
      <c r="AD201" s="17"/>
      <c r="AE201" s="17"/>
    </row>
    <row r="202" spans="25:31" x14ac:dyDescent="0.25">
      <c r="Y202" s="17"/>
      <c r="Z202" s="17" t="s">
        <v>65</v>
      </c>
      <c r="AA202" s="17" t="s">
        <v>95</v>
      </c>
      <c r="AB202" s="17"/>
      <c r="AC202" s="17"/>
      <c r="AD202" s="17"/>
      <c r="AE202" s="17"/>
    </row>
    <row r="203" spans="25:31" x14ac:dyDescent="0.25">
      <c r="Y203" s="17" t="s">
        <v>181</v>
      </c>
      <c r="Z203" s="17" t="s">
        <v>13</v>
      </c>
      <c r="AA203" s="17">
        <v>13.840999999999999</v>
      </c>
      <c r="AB203" s="17">
        <f>AA203*$AA$194</f>
        <v>14.533049999999999</v>
      </c>
      <c r="AC203" s="17">
        <f>AA203*$AC$194</f>
        <v>12.456899999999999</v>
      </c>
      <c r="AD203" s="36">
        <f>((AB203-AC203)/2)+AC203</f>
        <v>13.494975</v>
      </c>
      <c r="AE203" s="36">
        <f>((AB203-AC203)/2)+AA204</f>
        <v>1.0620750000000001</v>
      </c>
    </row>
    <row r="204" spans="25:31" x14ac:dyDescent="0.25">
      <c r="Y204" s="17"/>
      <c r="Z204" s="17" t="s">
        <v>1</v>
      </c>
      <c r="AA204" s="17">
        <v>2.4E-2</v>
      </c>
      <c r="AB204" s="17"/>
      <c r="AC204" s="17"/>
      <c r="AD204" s="17"/>
      <c r="AE204" s="17"/>
    </row>
    <row r="205" spans="25:31" x14ac:dyDescent="0.25">
      <c r="Y205" s="17"/>
      <c r="Z205" s="17" t="s">
        <v>65</v>
      </c>
      <c r="AA205" s="17" t="s">
        <v>97</v>
      </c>
      <c r="AB205" s="17"/>
      <c r="AC205" s="17"/>
      <c r="AD205" s="17"/>
      <c r="AE205" s="17"/>
    </row>
    <row r="206" spans="25:31" x14ac:dyDescent="0.25">
      <c r="Y206" s="17" t="s">
        <v>182</v>
      </c>
      <c r="Z206" s="17" t="s">
        <v>13</v>
      </c>
      <c r="AA206" s="17">
        <v>12.944000000000001</v>
      </c>
      <c r="AB206" s="17">
        <f>AA206*$AA$194</f>
        <v>13.591200000000001</v>
      </c>
      <c r="AC206" s="17">
        <f>AA206*$AC$194</f>
        <v>11.649600000000001</v>
      </c>
      <c r="AD206" s="36">
        <f>((AB206-AC206)/2)+AC206</f>
        <v>12.6204</v>
      </c>
      <c r="AE206" s="36">
        <f>((AB206-AC206)/2)+AA207</f>
        <v>0.99479999999999968</v>
      </c>
    </row>
    <row r="207" spans="25:31" x14ac:dyDescent="0.25">
      <c r="Y207" s="17"/>
      <c r="Z207" s="17" t="s">
        <v>1</v>
      </c>
      <c r="AA207" s="17">
        <v>2.4E-2</v>
      </c>
      <c r="AB207" s="17"/>
      <c r="AC207" s="17"/>
      <c r="AD207" s="17"/>
      <c r="AE207" s="17"/>
    </row>
    <row r="208" spans="25:31" x14ac:dyDescent="0.25">
      <c r="Y208" s="17"/>
      <c r="Z208" s="17" t="s">
        <v>65</v>
      </c>
      <c r="AA208" s="17" t="s">
        <v>97</v>
      </c>
      <c r="AB208" s="17"/>
      <c r="AC208" s="17"/>
      <c r="AD208" s="17"/>
      <c r="AE208" s="17"/>
    </row>
    <row r="209" spans="25:31" x14ac:dyDescent="0.25">
      <c r="Y209" s="17" t="s">
        <v>230</v>
      </c>
      <c r="Z209" s="17" t="s">
        <v>13</v>
      </c>
      <c r="AA209" s="17">
        <v>59.5</v>
      </c>
      <c r="AB209" s="17">
        <f>AA209*$AA$194</f>
        <v>62.475000000000001</v>
      </c>
      <c r="AC209" s="17">
        <f>AA209*$AC$194</f>
        <v>53.550000000000004</v>
      </c>
      <c r="AD209" s="36">
        <f>((AB209-AC209)/2)+AC209</f>
        <v>58.012500000000003</v>
      </c>
      <c r="AE209" s="36">
        <f>((AB209-AC209)/2)+AA210</f>
        <v>4.9624999999999986</v>
      </c>
    </row>
    <row r="210" spans="25:31" x14ac:dyDescent="0.25">
      <c r="Y210" s="17"/>
      <c r="Z210" s="17" t="s">
        <v>1</v>
      </c>
      <c r="AA210" s="17">
        <v>0.5</v>
      </c>
      <c r="AB210" s="17"/>
      <c r="AC210" s="17"/>
      <c r="AD210" s="17"/>
      <c r="AE210" s="17"/>
    </row>
    <row r="211" spans="25:31" x14ac:dyDescent="0.25">
      <c r="Y211" s="17"/>
      <c r="Z211" s="17" t="s">
        <v>65</v>
      </c>
      <c r="AA211" s="17" t="s">
        <v>93</v>
      </c>
      <c r="AB211" s="17"/>
      <c r="AC211" s="17"/>
      <c r="AD211" s="17"/>
      <c r="AE211" s="17"/>
    </row>
    <row r="212" spans="25:31" x14ac:dyDescent="0.25">
      <c r="Y212" s="17" t="s">
        <v>231</v>
      </c>
      <c r="Z212" s="17" t="s">
        <v>13</v>
      </c>
      <c r="AA212" s="17">
        <v>68</v>
      </c>
      <c r="AB212" s="17">
        <f>AA212*$AA$194</f>
        <v>71.400000000000006</v>
      </c>
      <c r="AC212" s="17">
        <f>AA212*$AC$194</f>
        <v>61.2</v>
      </c>
      <c r="AD212" s="36">
        <f>((AB212-AC212)/2)+AC212</f>
        <v>66.300000000000011</v>
      </c>
      <c r="AE212" s="36">
        <f>((AB212-AC212)/2)+AA213</f>
        <v>15.100000000000001</v>
      </c>
    </row>
    <row r="213" spans="25:31" x14ac:dyDescent="0.25">
      <c r="Y213" s="17"/>
      <c r="Z213" s="17" t="s">
        <v>1</v>
      </c>
      <c r="AA213" s="17">
        <v>10</v>
      </c>
      <c r="AB213" s="17"/>
      <c r="AC213" s="17"/>
      <c r="AD213" s="17"/>
      <c r="AE213" s="17"/>
    </row>
    <row r="214" spans="25:31" x14ac:dyDescent="0.25">
      <c r="Y214" s="17"/>
      <c r="Z214" s="17" t="s">
        <v>65</v>
      </c>
      <c r="AA214" s="17" t="s">
        <v>94</v>
      </c>
      <c r="AB214" s="17"/>
      <c r="AC214" s="17"/>
      <c r="AD214" s="17"/>
      <c r="AE214" s="17"/>
    </row>
    <row r="215" spans="25:31" x14ac:dyDescent="0.25">
      <c r="Y215" s="42" t="s">
        <v>183</v>
      </c>
      <c r="Z215" s="42" t="s">
        <v>13</v>
      </c>
      <c r="AA215" s="42">
        <v>0.89361000000000002</v>
      </c>
      <c r="AB215" s="42">
        <f>AA215*$AA$194</f>
        <v>0.93829050000000003</v>
      </c>
      <c r="AC215" s="42">
        <f>AA215*$AC$194</f>
        <v>0.80424899999999999</v>
      </c>
      <c r="AD215" s="43">
        <f>((AB215-AC215)/2)+AC215</f>
        <v>0.87126974999999995</v>
      </c>
      <c r="AE215" s="43">
        <f>((AB215-AC215)/2)+AA216</f>
        <v>7.3001750000000018E-2</v>
      </c>
    </row>
    <row r="216" spans="25:31" x14ac:dyDescent="0.25">
      <c r="Y216" s="42"/>
      <c r="Z216" s="42" t="s">
        <v>1</v>
      </c>
      <c r="AA216" s="42">
        <v>5.9810000000000002E-3</v>
      </c>
      <c r="AB216" s="42"/>
      <c r="AC216" s="42"/>
      <c r="AD216" s="42"/>
      <c r="AE216" s="42"/>
    </row>
    <row r="217" spans="25:31" x14ac:dyDescent="0.25">
      <c r="Y217" s="42"/>
      <c r="Z217" s="42" t="s">
        <v>65</v>
      </c>
      <c r="AA217" s="42" t="s">
        <v>97</v>
      </c>
      <c r="AB217" s="42"/>
      <c r="AC217" s="42"/>
      <c r="AD217" s="42"/>
      <c r="AE217" s="42"/>
    </row>
  </sheetData>
  <mergeCells count="16">
    <mergeCell ref="AG65:AJ65"/>
    <mergeCell ref="Y21:AC21"/>
    <mergeCell ref="Y11:AC11"/>
    <mergeCell ref="Y16:AC16"/>
    <mergeCell ref="Y3:AE3"/>
    <mergeCell ref="Y6:AC6"/>
    <mergeCell ref="Y36:AC36"/>
    <mergeCell ref="Y51:AC51"/>
    <mergeCell ref="Y46:AC46"/>
    <mergeCell ref="Y56:AC56"/>
    <mergeCell ref="Y41:AC41"/>
    <mergeCell ref="K5:M5"/>
    <mergeCell ref="K4:T4"/>
    <mergeCell ref="R5:T5"/>
    <mergeCell ref="Y26:AC26"/>
    <mergeCell ref="Y31:AC3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2019-06-25T16:02:46Z</dcterms:modified>
</cp:coreProperties>
</file>