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liu/Dropbox (MIT)/06 Publications/2019_EES_Thin_Si_Perspective/Thin Si-Clean Data/Cost Model Excel in ESI/"/>
    </mc:Choice>
  </mc:AlternateContent>
  <xr:revisionPtr revIDLastSave="0" documentId="8_{06CB3332-4BD4-AB42-9C7B-703754821D5D}" xr6:coauthVersionLast="36" xr6:coauthVersionMax="36" xr10:uidLastSave="{00000000-0000-0000-0000-000000000000}"/>
  <bookViews>
    <workbookView xWindow="100" yWindow="460" windowWidth="32700" windowHeight="20540" xr2:uid="{00000000-000D-0000-FFFF-FFFF00000000}"/>
  </bookViews>
  <sheets>
    <sheet name="Cost and Capex" sheetId="1" r:id="rId1"/>
    <sheet name="Utility LCOE" sheetId="3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6" i="3"/>
  <c r="B16" i="3"/>
  <c r="B22" i="3"/>
  <c r="H6" i="3"/>
  <c r="J6" i="3"/>
  <c r="K7" i="3"/>
  <c r="I7" i="3"/>
  <c r="J7" i="3"/>
  <c r="K8" i="3"/>
  <c r="I8" i="3"/>
  <c r="J8" i="3"/>
  <c r="K9" i="3"/>
  <c r="I9" i="3"/>
  <c r="J9" i="3"/>
  <c r="K10" i="3"/>
  <c r="I10" i="3"/>
  <c r="J10" i="3"/>
  <c r="K11" i="3"/>
  <c r="I11" i="3"/>
  <c r="J11" i="3"/>
  <c r="K12" i="3"/>
  <c r="I12" i="3"/>
  <c r="J12" i="3"/>
  <c r="K13" i="3"/>
  <c r="I13" i="3"/>
  <c r="J13" i="3"/>
  <c r="K14" i="3"/>
  <c r="I14" i="3"/>
  <c r="J14" i="3"/>
  <c r="K15" i="3"/>
  <c r="I15" i="3"/>
  <c r="J15" i="3"/>
  <c r="K16" i="3"/>
  <c r="I16" i="3"/>
  <c r="J16" i="3"/>
  <c r="K17" i="3"/>
  <c r="I17" i="3"/>
  <c r="J17" i="3"/>
  <c r="K18" i="3"/>
  <c r="I18" i="3"/>
  <c r="J18" i="3"/>
  <c r="K19" i="3"/>
  <c r="I19" i="3"/>
  <c r="J19" i="3"/>
  <c r="K20" i="3"/>
  <c r="I20" i="3"/>
  <c r="J20" i="3"/>
  <c r="K21" i="3"/>
  <c r="I21" i="3"/>
  <c r="J21" i="3"/>
  <c r="K22" i="3"/>
  <c r="I22" i="3"/>
  <c r="J22" i="3"/>
  <c r="K23" i="3"/>
  <c r="I23" i="3"/>
  <c r="J23" i="3"/>
  <c r="K24" i="3"/>
  <c r="I24" i="3"/>
  <c r="J24" i="3"/>
  <c r="K25" i="3"/>
  <c r="I25" i="3"/>
  <c r="J25" i="3"/>
  <c r="K26" i="3"/>
  <c r="I26" i="3"/>
  <c r="J26" i="3"/>
  <c r="K27" i="3"/>
  <c r="I27" i="3"/>
  <c r="J27" i="3"/>
  <c r="K28" i="3"/>
  <c r="I28" i="3"/>
  <c r="J28" i="3"/>
  <c r="K29" i="3"/>
  <c r="I29" i="3"/>
  <c r="J29" i="3"/>
  <c r="K30" i="3"/>
  <c r="I30" i="3"/>
  <c r="J30" i="3"/>
  <c r="K31" i="3"/>
  <c r="I31" i="3"/>
  <c r="J31" i="3"/>
  <c r="K32" i="3"/>
  <c r="I32" i="3"/>
  <c r="J32" i="3"/>
  <c r="K33" i="3"/>
  <c r="I33" i="3"/>
  <c r="J33" i="3"/>
  <c r="K34" i="3"/>
  <c r="I34" i="3"/>
  <c r="J34" i="3"/>
  <c r="K35" i="3"/>
  <c r="I35" i="3"/>
  <c r="J35" i="3"/>
  <c r="K36" i="3"/>
  <c r="I36" i="3"/>
  <c r="J36" i="3"/>
  <c r="K37" i="3"/>
  <c r="I37" i="3"/>
  <c r="J37" i="3"/>
  <c r="K38" i="3"/>
  <c r="I38" i="3"/>
  <c r="J38" i="3"/>
  <c r="K39" i="3"/>
  <c r="I39" i="3"/>
  <c r="J39" i="3"/>
  <c r="K40" i="3"/>
  <c r="I40" i="3"/>
  <c r="J40" i="3"/>
  <c r="K41" i="3"/>
  <c r="I41" i="3"/>
  <c r="J41" i="3"/>
  <c r="J42" i="3"/>
  <c r="I42" i="3"/>
  <c r="H42" i="3"/>
  <c r="B9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G42" i="3"/>
  <c r="F42" i="3"/>
  <c r="B28" i="3"/>
  <c r="G6" i="3"/>
  <c r="H29" i="1"/>
  <c r="H27" i="1"/>
  <c r="H28" i="1"/>
  <c r="H30" i="1"/>
  <c r="H31" i="1"/>
  <c r="H32" i="1"/>
  <c r="H33" i="1"/>
  <c r="H34" i="1"/>
  <c r="H4" i="1"/>
  <c r="H5" i="1"/>
  <c r="H6" i="1"/>
  <c r="H7" i="1"/>
  <c r="H8" i="1"/>
  <c r="H12" i="1"/>
  <c r="H13" i="1"/>
  <c r="H14" i="1"/>
  <c r="H15" i="1"/>
  <c r="H16" i="1"/>
  <c r="H17" i="1"/>
  <c r="H18" i="1"/>
  <c r="H19" i="1"/>
  <c r="H20" i="1"/>
  <c r="H21" i="1"/>
  <c r="H22" i="1"/>
  <c r="H36" i="1"/>
  <c r="H39" i="1"/>
  <c r="G34" i="1"/>
  <c r="G36" i="1"/>
  <c r="G39" i="1"/>
  <c r="L4" i="1"/>
  <c r="L5" i="1"/>
  <c r="L6" i="1"/>
  <c r="L7" i="1"/>
  <c r="L8" i="1"/>
  <c r="L9" i="1"/>
  <c r="L10" i="1"/>
  <c r="L13" i="1"/>
  <c r="L14" i="1"/>
  <c r="L15" i="1"/>
  <c r="L16" i="1"/>
  <c r="L17" i="1"/>
  <c r="L20" i="1"/>
  <c r="L21" i="1"/>
  <c r="L22" i="1"/>
  <c r="L23" i="1"/>
  <c r="L24" i="1"/>
  <c r="L25" i="1"/>
  <c r="L26" i="1"/>
  <c r="L27" i="1"/>
  <c r="L28" i="1"/>
  <c r="L29" i="1"/>
  <c r="L30" i="1"/>
  <c r="L33" i="1"/>
  <c r="L34" i="1"/>
  <c r="L35" i="1"/>
  <c r="L36" i="1"/>
  <c r="L37" i="1"/>
  <c r="L38" i="1"/>
  <c r="L39" i="1"/>
  <c r="L40" i="1"/>
  <c r="L42" i="1"/>
  <c r="K10" i="1"/>
  <c r="K17" i="1"/>
  <c r="K30" i="1"/>
  <c r="K40" i="1"/>
  <c r="K42" i="1"/>
  <c r="G22" i="1"/>
  <c r="C3" i="1"/>
  <c r="C4" i="1"/>
</calcChain>
</file>

<file path=xl/sharedStrings.xml><?xml version="1.0" encoding="utf-8"?>
<sst xmlns="http://schemas.openxmlformats.org/spreadsheetml/2006/main" count="123" uniqueCount="102">
  <si>
    <t>Automated Glass Loading and Laydown of First EVA Sheet</t>
  </si>
  <si>
    <t>Automated Cell Loading, Tabbing, Stringing, and Contactless IR Soldering to Front and Back Silver on Cells</t>
  </si>
  <si>
    <t>Automated Placement of Cell Strings. Manual Solder of Connector Ribbons and Laydown of EVA and Backsheet.</t>
  </si>
  <si>
    <t>Visual Inspection and Electroluminescence Testing. Module Lamination.</t>
  </si>
  <si>
    <t>Automated Module Edge Trimming. Aluminum Frame and Silicone Sealant.</t>
  </si>
  <si>
    <t>Solder string connector leads in J-Box and Fill with Potting Agent. Sticker Placement and Module Curing.</t>
  </si>
  <si>
    <t>I-V Module Test and EL Inspection.  Module Sorting and Palletizing.  Warehouse CapEx and OpEx.</t>
  </si>
  <si>
    <t>Receiving Department.  Wafer Unloading and Inspection.</t>
  </si>
  <si>
    <t>Wet Chemical Saw Damage Removal and Surface Texturization</t>
  </si>
  <si>
    <t>POCl3 Diffusion in Tube Furnace</t>
  </si>
  <si>
    <t>Edge Isolation and Phosphosilicate Glass (PSG) Layer Removal</t>
  </si>
  <si>
    <t>PECVD of  AlOx  layer</t>
  </si>
  <si>
    <t>PECVD of Backside SiNx and Frontside SiNx Anti Reflection Coating</t>
  </si>
  <si>
    <t>Laser contact opening of dielectric layer stack on cell backside</t>
  </si>
  <si>
    <t>Screen Print Ag and Al Pastes</t>
  </si>
  <si>
    <t>Cofire Pastes</t>
  </si>
  <si>
    <t>Inspection, I-V Testing, and Sorting of Cells.  Package for Shipping in Cartridges and Boxes.</t>
  </si>
  <si>
    <t>Czochralski Ingot Formation</t>
  </si>
  <si>
    <t>Ingot Cropping, Squaring, Grinding, and Gluing to Glass</t>
  </si>
  <si>
    <t>Diamond Wire Wafer Slicing</t>
  </si>
  <si>
    <t>Wafer Cleaning, Singulation, and Metrology</t>
  </si>
  <si>
    <t>Sub-Total</t>
  </si>
  <si>
    <t>Wafer thickness</t>
  </si>
  <si>
    <t>um</t>
  </si>
  <si>
    <t>Kerf loss per wafer</t>
  </si>
  <si>
    <t>PERC efficiency</t>
  </si>
  <si>
    <t>%</t>
  </si>
  <si>
    <t>TCS Production</t>
  </si>
  <si>
    <t>Pull Filament</t>
  </si>
  <si>
    <t>Anneal &amp; Saw Filament</t>
  </si>
  <si>
    <t>Machine &amp; Etch Filament</t>
  </si>
  <si>
    <t>Siemens CVD</t>
  </si>
  <si>
    <t>Harvest Chunk, Package</t>
  </si>
  <si>
    <t xml:space="preserve">Czochralski Growth </t>
  </si>
  <si>
    <t>Brick Preparation</t>
  </si>
  <si>
    <t>Wire Sawing</t>
  </si>
  <si>
    <t>Inspect and Sort, Package</t>
  </si>
  <si>
    <t>Wafer Testing</t>
  </si>
  <si>
    <t>Texture &amp; Damage Etch</t>
  </si>
  <si>
    <t>Emitter Diffusion</t>
  </si>
  <si>
    <t>PSG Removal &amp; Edge Isolate</t>
  </si>
  <si>
    <r>
      <t>PECVD of SiN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:H</t>
    </r>
  </si>
  <si>
    <t>PECVD of SiNx:H and/or AlOx (backside)</t>
  </si>
  <si>
    <t>Laser contact opening (wafer baackside)</t>
  </si>
  <si>
    <t>Screen Print</t>
  </si>
  <si>
    <t>Co-fire</t>
  </si>
  <si>
    <t>Inspect, Sort, Package</t>
  </si>
  <si>
    <t>Cell Testing</t>
  </si>
  <si>
    <t>String, Tab, and Interconnect</t>
  </si>
  <si>
    <t>Front Glass Load &amp; Wash</t>
  </si>
  <si>
    <t>Encapsulate &amp; Laminate</t>
  </si>
  <si>
    <t>Frame and Seal</t>
  </si>
  <si>
    <t>J-Box and Potting</t>
  </si>
  <si>
    <t>Test, Sort, Package</t>
  </si>
  <si>
    <t>$/m2</t>
  </si>
  <si>
    <t>Poly Si</t>
  </si>
  <si>
    <t>Cz Growth and Wafering</t>
  </si>
  <si>
    <t>Cell Conversion</t>
  </si>
  <si>
    <t>Module Assembly</t>
  </si>
  <si>
    <t xml:space="preserve"> $/m2</t>
  </si>
  <si>
    <t>$/W</t>
  </si>
  <si>
    <t xml:space="preserve">Manuacturing Cost of PERC Si Module </t>
  </si>
  <si>
    <t>Total Cost</t>
  </si>
  <si>
    <t>Total Capex</t>
  </si>
  <si>
    <t xml:space="preserve">Factory PPE Capex for PERC Si Module </t>
  </si>
  <si>
    <t>SG&amp;A +R&amp;D</t>
  </si>
  <si>
    <t>Reference Cell and Module Inputs</t>
  </si>
  <si>
    <t>Simple solar LCOE calculator</t>
  </si>
  <si>
    <t>System Inputs</t>
  </si>
  <si>
    <t>Values</t>
  </si>
  <si>
    <t>Input Description</t>
  </si>
  <si>
    <t>Year</t>
  </si>
  <si>
    <t>Production (kWh)</t>
  </si>
  <si>
    <t>NPV of electricity (kWh)</t>
  </si>
  <si>
    <t>Direct Purchase Cost ($)</t>
  </si>
  <si>
    <t>O&amp;M Cost ($)</t>
  </si>
  <si>
    <t>Levelized total cost ($)</t>
  </si>
  <si>
    <t>Include this year?</t>
  </si>
  <si>
    <t>System Size (kW-DC)</t>
  </si>
  <si>
    <t>System Area (m^2)</t>
  </si>
  <si>
    <t>Module Efficiency (%)</t>
  </si>
  <si>
    <t>Mono-PERC 2018</t>
  </si>
  <si>
    <t>Normalized energy yield (kWh/year/kW-DC)</t>
  </si>
  <si>
    <t>Fixed tilt in Kansas CIty MO (incl. 90%  performance ratio)</t>
  </si>
  <si>
    <t>Annual Degradation (/year)</t>
  </si>
  <si>
    <t>System Lifetime (year)</t>
  </si>
  <si>
    <t>Financial Inputs</t>
  </si>
  <si>
    <t>Module price [$/W-DC]</t>
  </si>
  <si>
    <t>assume 15% operting margin on top of module cost</t>
  </si>
  <si>
    <t>Module price mark-up [-]</t>
  </si>
  <si>
    <t>supply chain, profit, and sales tax</t>
  </si>
  <si>
    <t>Project fixed cost [$]</t>
  </si>
  <si>
    <t>Area-dependent cost [$/m^2]</t>
  </si>
  <si>
    <t>Power-dependent cost [$/W-DC]</t>
  </si>
  <si>
    <t>Additional system mark-up [-]</t>
  </si>
  <si>
    <t>Total system costs ($/kW-DC)</t>
  </si>
  <si>
    <t>Discount rate / IRR (-)</t>
  </si>
  <si>
    <t>O&amp;M Cost ($/kW-yr)</t>
  </si>
  <si>
    <t>Output</t>
  </si>
  <si>
    <t>U.S. Utility LCOE (cents/kWh)</t>
  </si>
  <si>
    <t>Total</t>
  </si>
  <si>
    <t>Varying with module efficiency (fixed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</si>
</sst>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_-&quot;$&quot;* #,##0.000_-;\-&quot;$&quot;* #,##0.000_-;_-&quot;$&quot;* &quot;-&quot;??_-;_-@_-"/>
    <numFmt numFmtId="170" formatCode="0.000"/>
    <numFmt numFmtId="171" formatCode="_(&quot;$&quot;* #,##0_);_(&quot;$&quot;* \(#,##0\);_(&quot;$&quot;* &quot;-&quot;??_);_(@_)"/>
    <numFmt numFmtId="172" formatCode="0.0"/>
    <numFmt numFmtId="173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double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2">
    <xf numFmtId="0" fontId="0" fillId="0" borderId="0" xfId="0"/>
    <xf numFmtId="1" fontId="0" fillId="0" borderId="0" xfId="0" applyNumberFormat="1" applyBorder="1"/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 applyAlignment="1">
      <alignment horizontal="right" wrapText="1"/>
    </xf>
    <xf numFmtId="0" fontId="0" fillId="0" borderId="10" xfId="0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3" xfId="2" applyNumberFormat="1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5" xfId="1" applyNumberFormat="1" applyFont="1" applyBorder="1"/>
    <xf numFmtId="0" fontId="0" fillId="0" borderId="0" xfId="0" applyFill="1" applyBorder="1"/>
    <xf numFmtId="0" fontId="2" fillId="0" borderId="0" xfId="0" applyFont="1"/>
    <xf numFmtId="0" fontId="0" fillId="0" borderId="16" xfId="0" applyBorder="1"/>
    <xf numFmtId="167" fontId="0" fillId="0" borderId="0" xfId="2" applyNumberFormat="1" applyFont="1"/>
    <xf numFmtId="165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19" xfId="0" applyFont="1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4" fillId="0" borderId="17" xfId="0" applyFont="1" applyBorder="1"/>
    <xf numFmtId="0" fontId="6" fillId="0" borderId="17" xfId="0" applyFont="1" applyBorder="1"/>
    <xf numFmtId="0" fontId="0" fillId="0" borderId="25" xfId="0" applyFont="1" applyBorder="1" applyAlignment="1">
      <alignment horizontal="center"/>
    </xf>
    <xf numFmtId="165" fontId="0" fillId="0" borderId="5" xfId="2" applyNumberFormat="1" applyFont="1" applyBorder="1"/>
    <xf numFmtId="165" fontId="0" fillId="0" borderId="6" xfId="2" applyNumberFormat="1" applyFont="1" applyBorder="1"/>
    <xf numFmtId="165" fontId="0" fillId="0" borderId="9" xfId="2" applyNumberFormat="1" applyFont="1" applyBorder="1"/>
    <xf numFmtId="168" fontId="0" fillId="0" borderId="23" xfId="0" applyNumberFormat="1" applyBorder="1"/>
    <xf numFmtId="168" fontId="0" fillId="0" borderId="24" xfId="0" applyNumberFormat="1" applyBorder="1"/>
    <xf numFmtId="0" fontId="0" fillId="0" borderId="25" xfId="0" applyBorder="1" applyAlignment="1">
      <alignment horizontal="center"/>
    </xf>
    <xf numFmtId="168" fontId="0" fillId="0" borderId="26" xfId="0" applyNumberFormat="1" applyBorder="1"/>
    <xf numFmtId="168" fontId="0" fillId="0" borderId="27" xfId="0" applyNumberForma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9" fontId="0" fillId="0" borderId="18" xfId="2" applyNumberFormat="1" applyFont="1" applyBorder="1"/>
    <xf numFmtId="169" fontId="0" fillId="0" borderId="19" xfId="2" applyNumberFormat="1" applyFont="1" applyBorder="1"/>
    <xf numFmtId="169" fontId="0" fillId="0" borderId="24" xfId="0" applyNumberFormat="1" applyBorder="1"/>
    <xf numFmtId="169" fontId="0" fillId="0" borderId="22" xfId="2" applyNumberFormat="1" applyFont="1" applyBorder="1"/>
    <xf numFmtId="169" fontId="0" fillId="0" borderId="23" xfId="2" applyNumberFormat="1" applyFont="1" applyBorder="1"/>
    <xf numFmtId="169" fontId="0" fillId="0" borderId="24" xfId="2" applyNumberFormat="1" applyFont="1" applyBorder="1"/>
    <xf numFmtId="165" fontId="0" fillId="0" borderId="24" xfId="2" applyNumberFormat="1" applyFont="1" applyBorder="1"/>
    <xf numFmtId="166" fontId="0" fillId="0" borderId="23" xfId="2" applyNumberFormat="1" applyFont="1" applyBorder="1"/>
    <xf numFmtId="166" fontId="0" fillId="0" borderId="24" xfId="2" applyNumberFormat="1" applyFont="1" applyBorder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4" fontId="0" fillId="0" borderId="0" xfId="0" applyNumberFormat="1"/>
    <xf numFmtId="0" fontId="0" fillId="0" borderId="0" xfId="0" applyFill="1" applyBorder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9" fontId="0" fillId="0" borderId="0" xfId="3" applyFont="1" applyFill="1" applyBorder="1"/>
    <xf numFmtId="168" fontId="0" fillId="0" borderId="0" xfId="0" applyNumberFormat="1" applyBorder="1"/>
    <xf numFmtId="168" fontId="0" fillId="0" borderId="22" xfId="0" applyNumberFormat="1" applyBorder="1"/>
    <xf numFmtId="165" fontId="0" fillId="0" borderId="24" xfId="0" applyNumberFormat="1" applyBorder="1"/>
    <xf numFmtId="165" fontId="0" fillId="0" borderId="21" xfId="2" applyNumberFormat="1" applyFont="1" applyBorder="1"/>
    <xf numFmtId="165" fontId="0" fillId="0" borderId="17" xfId="0" applyNumberFormat="1" applyBorder="1"/>
    <xf numFmtId="165" fontId="0" fillId="0" borderId="30" xfId="0" applyNumberFormat="1" applyBorder="1"/>
    <xf numFmtId="0" fontId="0" fillId="0" borderId="29" xfId="0" applyFill="1" applyBorder="1" applyAlignment="1">
      <alignment horizontal="left" wrapText="1"/>
    </xf>
    <xf numFmtId="0" fontId="0" fillId="0" borderId="20" xfId="0" applyFill="1" applyBorder="1" applyAlignment="1">
      <alignment horizontal="right" wrapText="1"/>
    </xf>
    <xf numFmtId="0" fontId="0" fillId="0" borderId="31" xfId="0" applyBorder="1"/>
    <xf numFmtId="165" fontId="0" fillId="0" borderId="32" xfId="2" applyNumberFormat="1" applyFont="1" applyBorder="1"/>
    <xf numFmtId="0" fontId="0" fillId="0" borderId="33" xfId="0" applyBorder="1"/>
    <xf numFmtId="169" fontId="0" fillId="0" borderId="33" xfId="2" applyNumberFormat="1" applyFont="1" applyBorder="1"/>
    <xf numFmtId="166" fontId="0" fillId="0" borderId="27" xfId="2" applyNumberFormat="1" applyFont="1" applyBorder="1"/>
    <xf numFmtId="169" fontId="0" fillId="0" borderId="27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0" xfId="4" applyFont="1"/>
    <xf numFmtId="0" fontId="7" fillId="0" borderId="0" xfId="4"/>
    <xf numFmtId="0" fontId="7" fillId="0" borderId="0" xfId="4" applyFont="1"/>
    <xf numFmtId="0" fontId="8" fillId="0" borderId="0" xfId="4" applyFont="1"/>
    <xf numFmtId="0" fontId="4" fillId="2" borderId="34" xfId="4" applyFont="1" applyFill="1" applyBorder="1" applyAlignment="1">
      <alignment vertical="center"/>
    </xf>
    <xf numFmtId="0" fontId="4" fillId="2" borderId="34" xfId="4" applyFont="1" applyFill="1" applyBorder="1" applyAlignment="1">
      <alignment horizontal="center" vertical="center"/>
    </xf>
    <xf numFmtId="0" fontId="4" fillId="0" borderId="35" xfId="4" applyFont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center" vertical="center" wrapText="1"/>
    </xf>
    <xf numFmtId="0" fontId="4" fillId="3" borderId="36" xfId="4" applyFont="1" applyFill="1" applyBorder="1" applyAlignment="1">
      <alignment horizontal="center" vertical="center" wrapText="1"/>
    </xf>
    <xf numFmtId="0" fontId="4" fillId="4" borderId="37" xfId="4" applyFont="1" applyFill="1" applyBorder="1" applyAlignment="1">
      <alignment horizontal="center" vertical="center" wrapText="1"/>
    </xf>
    <xf numFmtId="0" fontId="7" fillId="0" borderId="34" xfId="4" applyBorder="1" applyAlignment="1">
      <alignment vertical="center"/>
    </xf>
    <xf numFmtId="0" fontId="7" fillId="0" borderId="34" xfId="4" applyFont="1" applyBorder="1" applyAlignment="1">
      <alignment wrapText="1"/>
    </xf>
    <xf numFmtId="0" fontId="7" fillId="5" borderId="38" xfId="4" applyFill="1" applyBorder="1"/>
    <xf numFmtId="164" fontId="0" fillId="5" borderId="39" xfId="5" applyNumberFormat="1" applyFont="1" applyFill="1" applyBorder="1"/>
    <xf numFmtId="171" fontId="0" fillId="5" borderId="39" xfId="6" applyNumberFormat="1" applyFont="1" applyFill="1" applyBorder="1"/>
    <xf numFmtId="0" fontId="7" fillId="6" borderId="40" xfId="4" applyFill="1" applyBorder="1"/>
    <xf numFmtId="0" fontId="7" fillId="0" borderId="41" xfId="4" applyFill="1" applyBorder="1" applyAlignment="1">
      <alignment vertical="center"/>
    </xf>
    <xf numFmtId="0" fontId="9" fillId="0" borderId="34" xfId="4" applyFont="1" applyBorder="1" applyAlignment="1">
      <alignment wrapText="1"/>
    </xf>
    <xf numFmtId="0" fontId="7" fillId="0" borderId="34" xfId="4" applyFill="1" applyBorder="1" applyAlignment="1">
      <alignment vertical="center"/>
    </xf>
    <xf numFmtId="0" fontId="7" fillId="0" borderId="34" xfId="4" applyBorder="1" applyAlignment="1">
      <alignment vertical="center" wrapText="1"/>
    </xf>
    <xf numFmtId="0" fontId="7" fillId="0" borderId="42" xfId="4" applyFont="1" applyBorder="1"/>
    <xf numFmtId="0" fontId="7" fillId="0" borderId="39" xfId="4" applyFont="1" applyBorder="1"/>
    <xf numFmtId="0" fontId="4" fillId="3" borderId="39" xfId="4" applyFont="1" applyFill="1" applyBorder="1" applyAlignment="1">
      <alignment vertical="center"/>
    </xf>
    <xf numFmtId="0" fontId="7" fillId="3" borderId="39" xfId="4" applyFill="1" applyBorder="1" applyAlignment="1">
      <alignment vertical="center"/>
    </xf>
    <xf numFmtId="0" fontId="4" fillId="3" borderId="39" xfId="4" applyFont="1" applyFill="1" applyBorder="1" applyAlignment="1">
      <alignment horizontal="center" vertical="center"/>
    </xf>
    <xf numFmtId="0" fontId="7" fillId="0" borderId="39" xfId="4" applyBorder="1"/>
    <xf numFmtId="0" fontId="7" fillId="0" borderId="39" xfId="4" applyFont="1" applyBorder="1" applyAlignment="1">
      <alignment wrapText="1"/>
    </xf>
    <xf numFmtId="0" fontId="7" fillId="0" borderId="34" xfId="4" applyBorder="1"/>
    <xf numFmtId="0" fontId="7" fillId="0" borderId="34" xfId="4" applyFont="1" applyFill="1" applyBorder="1" applyAlignment="1">
      <alignment vertical="center"/>
    </xf>
    <xf numFmtId="0" fontId="7" fillId="0" borderId="39" xfId="4" applyFill="1" applyBorder="1"/>
    <xf numFmtId="0" fontId="7" fillId="0" borderId="39" xfId="4" applyBorder="1" applyAlignment="1">
      <alignment vertical="center"/>
    </xf>
    <xf numFmtId="0" fontId="7" fillId="0" borderId="0" xfId="4" applyFill="1" applyBorder="1" applyAlignment="1">
      <alignment vertical="center"/>
    </xf>
    <xf numFmtId="173" fontId="7" fillId="0" borderId="0" xfId="4" applyNumberFormat="1" applyBorder="1"/>
    <xf numFmtId="0" fontId="4" fillId="7" borderId="34" xfId="4" applyFont="1" applyFill="1" applyBorder="1" applyAlignment="1">
      <alignment vertical="center"/>
    </xf>
    <xf numFmtId="0" fontId="7" fillId="7" borderId="42" xfId="4" applyFill="1" applyBorder="1" applyAlignment="1">
      <alignment vertical="center"/>
    </xf>
    <xf numFmtId="0" fontId="9" fillId="0" borderId="0" xfId="4" applyFont="1" applyAlignment="1">
      <alignment wrapText="1"/>
    </xf>
    <xf numFmtId="0" fontId="7" fillId="0" borderId="43" xfId="4" applyBorder="1" applyAlignment="1">
      <alignment vertical="center"/>
    </xf>
    <xf numFmtId="2" fontId="7" fillId="8" borderId="17" xfId="4" applyNumberFormat="1" applyFill="1" applyBorder="1" applyAlignment="1">
      <alignment vertical="center"/>
    </xf>
    <xf numFmtId="0" fontId="7" fillId="0" borderId="0" xfId="4" applyFont="1" applyBorder="1" applyAlignment="1">
      <alignment wrapText="1"/>
    </xf>
    <xf numFmtId="164" fontId="0" fillId="5" borderId="39" xfId="5" applyNumberFormat="1" applyFont="1" applyFill="1" applyBorder="1" applyAlignment="1">
      <alignment horizontal="center"/>
    </xf>
    <xf numFmtId="0" fontId="7" fillId="5" borderId="44" xfId="4" applyFill="1" applyBorder="1"/>
    <xf numFmtId="164" fontId="0" fillId="5" borderId="45" xfId="5" applyNumberFormat="1" applyFont="1" applyFill="1" applyBorder="1"/>
    <xf numFmtId="171" fontId="0" fillId="5" borderId="45" xfId="6" applyNumberFormat="1" applyFont="1" applyFill="1" applyBorder="1"/>
    <xf numFmtId="0" fontId="4" fillId="0" borderId="46" xfId="4" applyFont="1" applyBorder="1"/>
    <xf numFmtId="164" fontId="4" fillId="0" borderId="47" xfId="5" applyNumberFormat="1" applyFont="1" applyBorder="1"/>
    <xf numFmtId="171" fontId="4" fillId="0" borderId="47" xfId="6" applyNumberFormat="1" applyFont="1" applyBorder="1"/>
    <xf numFmtId="0" fontId="7" fillId="0" borderId="48" xfId="4" applyBorder="1"/>
    <xf numFmtId="3" fontId="0" fillId="0" borderId="34" xfId="5" applyNumberFormat="1" applyFont="1" applyFill="1" applyBorder="1" applyAlignment="1">
      <alignment vertical="center"/>
    </xf>
    <xf numFmtId="11" fontId="7" fillId="0" borderId="0" xfId="4" applyNumberFormat="1" applyFill="1" applyAlignment="1">
      <alignment vertical="center"/>
    </xf>
    <xf numFmtId="172" fontId="7" fillId="0" borderId="34" xfId="4" applyNumberFormat="1" applyFill="1" applyBorder="1" applyAlignment="1">
      <alignment vertical="center"/>
    </xf>
    <xf numFmtId="173" fontId="0" fillId="0" borderId="34" xfId="7" applyNumberFormat="1" applyFont="1" applyFill="1" applyBorder="1" applyAlignment="1">
      <alignment vertical="center"/>
    </xf>
    <xf numFmtId="0" fontId="7" fillId="0" borderId="43" xfId="4" applyNumberFormat="1" applyFill="1" applyBorder="1" applyAlignment="1">
      <alignment vertical="center"/>
    </xf>
    <xf numFmtId="170" fontId="7" fillId="0" borderId="39" xfId="4" applyNumberFormat="1" applyFill="1" applyBorder="1" applyAlignment="1">
      <alignment horizontal="right"/>
    </xf>
    <xf numFmtId="173" fontId="7" fillId="0" borderId="39" xfId="4" applyNumberFormat="1" applyFill="1" applyBorder="1"/>
    <xf numFmtId="11" fontId="7" fillId="0" borderId="39" xfId="4" applyNumberFormat="1" applyFill="1" applyBorder="1"/>
    <xf numFmtId="0" fontId="7" fillId="0" borderId="39" xfId="4" applyFont="1" applyFill="1" applyBorder="1" applyAlignment="1">
      <alignment vertical="center"/>
    </xf>
    <xf numFmtId="9" fontId="7" fillId="0" borderId="39" xfId="4" applyNumberFormat="1" applyFill="1" applyBorder="1"/>
    <xf numFmtId="2" fontId="0" fillId="0" borderId="39" xfId="6" applyNumberFormat="1" applyFont="1" applyFill="1" applyBorder="1" applyAlignment="1">
      <alignment vertical="center"/>
    </xf>
    <xf numFmtId="173" fontId="0" fillId="0" borderId="39" xfId="7" applyNumberFormat="1" applyFont="1" applyFill="1" applyBorder="1" applyAlignment="1">
      <alignment vertical="center"/>
    </xf>
    <xf numFmtId="172" fontId="7" fillId="0" borderId="39" xfId="4" applyNumberFormat="1" applyFill="1" applyBorder="1" applyAlignment="1">
      <alignment vertical="center"/>
    </xf>
  </cellXfs>
  <cellStyles count="8">
    <cellStyle name="Comma" xfId="1" builtinId="3"/>
    <cellStyle name="Comma 2" xfId="5" xr:uid="{9DEFF02D-1B71-4446-A7E9-1AB719F20B3C}"/>
    <cellStyle name="Currency" xfId="2" builtinId="4"/>
    <cellStyle name="Currency 2" xfId="6" xr:uid="{AA053EC6-209D-F64C-9D28-D36E421B674C}"/>
    <cellStyle name="Normal" xfId="0" builtinId="0"/>
    <cellStyle name="Normal 2" xfId="4" xr:uid="{03C71798-379F-1940-BFDB-6872EC611C9E}"/>
    <cellStyle name="Percent" xfId="3" builtinId="5"/>
    <cellStyle name="Percent 2" xfId="7" xr:uid="{D6ED5D81-5058-DF4C-A8E8-78E41590B3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8"/>
  <sheetViews>
    <sheetView tabSelected="1" zoomScale="92" zoomScaleNormal="55" workbookViewId="0">
      <selection activeCell="B15" sqref="B15"/>
    </sheetView>
  </sheetViews>
  <sheetFormatPr baseColWidth="10" defaultColWidth="11.5" defaultRowHeight="16" x14ac:dyDescent="0.2"/>
  <cols>
    <col min="2" max="2" width="18" customWidth="1"/>
    <col min="5" max="5" width="12" bestFit="1" customWidth="1"/>
    <col min="6" max="6" width="94.6640625" customWidth="1"/>
    <col min="7" max="7" width="12.6640625" bestFit="1" customWidth="1"/>
    <col min="10" max="10" width="85" customWidth="1"/>
    <col min="11" max="11" width="12.6640625" bestFit="1" customWidth="1"/>
  </cols>
  <sheetData>
    <row r="2" spans="1:12" ht="22" thickBot="1" x14ac:dyDescent="0.3">
      <c r="B2" s="17" t="s">
        <v>66</v>
      </c>
      <c r="F2" s="70" t="s">
        <v>61</v>
      </c>
      <c r="G2" s="70"/>
      <c r="H2" s="70"/>
      <c r="J2" s="71" t="s">
        <v>64</v>
      </c>
      <c r="K2" s="71"/>
      <c r="L2" s="71"/>
    </row>
    <row r="3" spans="1:12" ht="17" thickBot="1" x14ac:dyDescent="0.25">
      <c r="B3" s="11" t="s">
        <v>22</v>
      </c>
      <c r="C3" s="12">
        <f>160/160*160</f>
        <v>160</v>
      </c>
      <c r="D3" s="3" t="s">
        <v>23</v>
      </c>
      <c r="F3" s="27" t="s">
        <v>56</v>
      </c>
      <c r="G3" s="28" t="s">
        <v>54</v>
      </c>
      <c r="H3" s="37" t="s">
        <v>60</v>
      </c>
      <c r="J3" s="26" t="s">
        <v>55</v>
      </c>
      <c r="K3" s="38" t="s">
        <v>54</v>
      </c>
      <c r="L3" s="37" t="s">
        <v>60</v>
      </c>
    </row>
    <row r="4" spans="1:12" ht="17" x14ac:dyDescent="0.2">
      <c r="B4" s="13" t="s">
        <v>24</v>
      </c>
      <c r="C4" s="1">
        <f>95/160*C3</f>
        <v>95</v>
      </c>
      <c r="D4" s="4" t="s">
        <v>23</v>
      </c>
      <c r="F4" s="48" t="s">
        <v>17</v>
      </c>
      <c r="G4" s="29">
        <v>10.941708201863573</v>
      </c>
      <c r="H4" s="57">
        <f>G4/($C$5/100*1000)</f>
        <v>5.7587937904545125E-2</v>
      </c>
      <c r="J4" s="21" t="s">
        <v>27</v>
      </c>
      <c r="K4" s="39">
        <v>7.6105400779518702</v>
      </c>
      <c r="L4" s="46">
        <f t="shared" ref="L4:L9" si="0">K4/($C$5/100*1000)</f>
        <v>4.0055474094483526E-2</v>
      </c>
    </row>
    <row r="5" spans="1:12" ht="18" thickBot="1" x14ac:dyDescent="0.25">
      <c r="B5" s="14" t="s">
        <v>25</v>
      </c>
      <c r="C5" s="15">
        <v>19</v>
      </c>
      <c r="D5" s="6" t="s">
        <v>26</v>
      </c>
      <c r="F5" s="49" t="s">
        <v>18</v>
      </c>
      <c r="G5" s="29">
        <v>0.77463010987920189</v>
      </c>
      <c r="H5" s="32">
        <f>G5/($C$5/100*1000)</f>
        <v>4.0770005783115886E-3</v>
      </c>
      <c r="J5" s="22" t="s">
        <v>28</v>
      </c>
      <c r="K5" s="40">
        <v>0.26991892335064455</v>
      </c>
      <c r="L5" s="46">
        <f t="shared" si="0"/>
        <v>1.4206259123718133E-3</v>
      </c>
    </row>
    <row r="6" spans="1:12" ht="17" x14ac:dyDescent="0.2">
      <c r="B6" s="16"/>
      <c r="C6" s="2"/>
      <c r="D6" s="10"/>
      <c r="F6" s="49" t="s">
        <v>19</v>
      </c>
      <c r="G6" s="29">
        <v>5.7072241741779095</v>
      </c>
      <c r="H6" s="32">
        <f>G6/($C$5/100*1000)</f>
        <v>3.0038021969357419E-2</v>
      </c>
      <c r="J6" s="22" t="s">
        <v>29</v>
      </c>
      <c r="K6" s="40">
        <v>8.2149237541500525E-2</v>
      </c>
      <c r="L6" s="46">
        <f t="shared" si="0"/>
        <v>4.3236440811316064E-4</v>
      </c>
    </row>
    <row r="7" spans="1:12" ht="18" thickBot="1" x14ac:dyDescent="0.25">
      <c r="F7" s="50" t="s">
        <v>20</v>
      </c>
      <c r="G7" s="30">
        <v>1.6217930901665507</v>
      </c>
      <c r="H7" s="36">
        <f>G7/($C$5/100*1000)</f>
        <v>8.5357531061397412E-3</v>
      </c>
      <c r="J7" s="22" t="s">
        <v>30</v>
      </c>
      <c r="K7" s="40">
        <v>9.3884842904572025E-2</v>
      </c>
      <c r="L7" s="46">
        <f t="shared" si="0"/>
        <v>4.9413075212932644E-4</v>
      </c>
    </row>
    <row r="8" spans="1:12" ht="19" thickTop="1" thickBot="1" x14ac:dyDescent="0.25">
      <c r="F8" s="5" t="s">
        <v>21</v>
      </c>
      <c r="G8" s="31">
        <v>19.0453555760872</v>
      </c>
      <c r="H8" s="33">
        <f>SUM(H4:H7)</f>
        <v>0.10023871355835387</v>
      </c>
      <c r="J8" s="22" t="s">
        <v>31</v>
      </c>
      <c r="K8" s="40">
        <v>9.6936100298970604</v>
      </c>
      <c r="L8" s="46">
        <f t="shared" si="0"/>
        <v>5.1019000157352952E-2</v>
      </c>
    </row>
    <row r="9" spans="1:12" ht="17" thickBot="1" x14ac:dyDescent="0.25">
      <c r="A9" s="51"/>
      <c r="G9" s="51"/>
      <c r="H9" s="56"/>
      <c r="J9" s="66" t="s">
        <v>32</v>
      </c>
      <c r="K9" s="67">
        <v>1.3202556033455439</v>
      </c>
      <c r="L9" s="68">
        <f t="shared" si="0"/>
        <v>6.9487137018186523E-3</v>
      </c>
    </row>
    <row r="10" spans="1:12" ht="19" thickTop="1" thickBot="1" x14ac:dyDescent="0.25">
      <c r="J10" s="5" t="s">
        <v>21</v>
      </c>
      <c r="K10" s="41">
        <f>SUM(K4:K9)</f>
        <v>19.070358714991194</v>
      </c>
      <c r="L10" s="47">
        <f>SUM(L4:L9)</f>
        <v>0.10037030902626942</v>
      </c>
    </row>
    <row r="11" spans="1:12" ht="17" thickBot="1" x14ac:dyDescent="0.25">
      <c r="F11" s="27" t="s">
        <v>57</v>
      </c>
      <c r="G11" s="34" t="s">
        <v>59</v>
      </c>
      <c r="H11" s="37" t="s">
        <v>60</v>
      </c>
      <c r="J11" s="18"/>
      <c r="K11" s="19"/>
      <c r="L11" s="20"/>
    </row>
    <row r="12" spans="1:12" ht="18" thickBot="1" x14ac:dyDescent="0.25">
      <c r="F12" s="48" t="s">
        <v>7</v>
      </c>
      <c r="G12" s="29">
        <v>0.44406225237468389</v>
      </c>
      <c r="H12" s="32">
        <f t="shared" ref="H12:H21" si="1">G12/($C$5/100*1000)</f>
        <v>2.3371697493404413E-3</v>
      </c>
      <c r="J12" s="27" t="s">
        <v>56</v>
      </c>
      <c r="K12" s="25" t="s">
        <v>54</v>
      </c>
      <c r="L12" s="37" t="s">
        <v>60</v>
      </c>
    </row>
    <row r="13" spans="1:12" ht="17" x14ac:dyDescent="0.2">
      <c r="F13" s="49" t="s">
        <v>8</v>
      </c>
      <c r="G13" s="29">
        <v>2.4848255611570123</v>
      </c>
      <c r="H13" s="32">
        <f t="shared" si="1"/>
        <v>1.3078029269247433E-2</v>
      </c>
      <c r="J13" s="21" t="s">
        <v>33</v>
      </c>
      <c r="K13" s="42">
        <v>14.9303225806452</v>
      </c>
      <c r="L13" s="46">
        <f>K13/($C$5/100*1000)</f>
        <v>7.8580645161290527E-2</v>
      </c>
    </row>
    <row r="14" spans="1:12" ht="17" x14ac:dyDescent="0.2">
      <c r="F14" s="49" t="s">
        <v>9</v>
      </c>
      <c r="G14" s="29">
        <v>0.7520171008129608</v>
      </c>
      <c r="H14" s="32">
        <f t="shared" si="1"/>
        <v>3.9579847411208464E-3</v>
      </c>
      <c r="J14" s="22" t="s">
        <v>34</v>
      </c>
      <c r="K14" s="43">
        <v>1.0480645161290323</v>
      </c>
      <c r="L14" s="46">
        <f>K14/($C$5/100*1000)</f>
        <v>5.516129032258065E-3</v>
      </c>
    </row>
    <row r="15" spans="1:12" ht="17" x14ac:dyDescent="0.2">
      <c r="F15" s="49" t="s">
        <v>10</v>
      </c>
      <c r="G15" s="29">
        <v>0.42826120936571888</v>
      </c>
      <c r="H15" s="32">
        <f t="shared" si="1"/>
        <v>2.2540063650827308E-3</v>
      </c>
      <c r="J15" s="23" t="s">
        <v>35</v>
      </c>
      <c r="K15" s="43">
        <v>1.776193548387097</v>
      </c>
      <c r="L15" s="46">
        <f>K15/($C$5/100*1000)</f>
        <v>9.3483870967741942E-3</v>
      </c>
    </row>
    <row r="16" spans="1:12" ht="18" thickBot="1" x14ac:dyDescent="0.25">
      <c r="F16" s="49" t="s">
        <v>11</v>
      </c>
      <c r="G16" s="29">
        <v>1.2092004180225144</v>
      </c>
      <c r="H16" s="32">
        <f t="shared" si="1"/>
        <v>6.3642127264342862E-3</v>
      </c>
      <c r="J16" s="66" t="s">
        <v>36</v>
      </c>
      <c r="K16" s="69">
        <v>1.9196129032258065</v>
      </c>
      <c r="L16" s="68">
        <f>K16/($C$5/100*1000)</f>
        <v>1.0103225806451612E-2</v>
      </c>
    </row>
    <row r="17" spans="2:12" ht="19" thickTop="1" thickBot="1" x14ac:dyDescent="0.25">
      <c r="F17" s="49" t="s">
        <v>12</v>
      </c>
      <c r="G17" s="29">
        <v>2.1620679545081209</v>
      </c>
      <c r="H17" s="32">
        <f t="shared" si="1"/>
        <v>1.1379305023726952E-2</v>
      </c>
      <c r="J17" s="5" t="s">
        <v>21</v>
      </c>
      <c r="K17" s="41">
        <f>SUM(K13:K16)</f>
        <v>19.674193548387137</v>
      </c>
      <c r="L17" s="47">
        <f>SUM(L13:L16)</f>
        <v>0.1035483870967744</v>
      </c>
    </row>
    <row r="18" spans="2:12" ht="18" thickBot="1" x14ac:dyDescent="0.25">
      <c r="F18" s="49" t="s">
        <v>13</v>
      </c>
      <c r="G18" s="29">
        <v>0.2562410423034559</v>
      </c>
      <c r="H18" s="32">
        <f t="shared" si="1"/>
        <v>1.3486370647550312E-3</v>
      </c>
      <c r="J18" s="18"/>
      <c r="K18" s="19"/>
      <c r="L18" s="20"/>
    </row>
    <row r="19" spans="2:12" ht="18" thickBot="1" x14ac:dyDescent="0.25">
      <c r="F19" s="49" t="s">
        <v>14</v>
      </c>
      <c r="G19" s="29">
        <v>3.5169844343681627</v>
      </c>
      <c r="H19" s="32">
        <f t="shared" si="1"/>
        <v>1.8510444391411383E-2</v>
      </c>
      <c r="J19" s="27" t="s">
        <v>57</v>
      </c>
      <c r="K19" s="25" t="s">
        <v>54</v>
      </c>
      <c r="L19" s="37" t="s">
        <v>60</v>
      </c>
    </row>
    <row r="20" spans="2:12" ht="17" x14ac:dyDescent="0.2">
      <c r="F20" s="49" t="s">
        <v>15</v>
      </c>
      <c r="G20" s="29">
        <v>0.23823340262550866</v>
      </c>
      <c r="H20" s="32">
        <f t="shared" si="1"/>
        <v>1.2538600138184666E-3</v>
      </c>
      <c r="J20" s="21" t="s">
        <v>37</v>
      </c>
      <c r="K20" s="42">
        <v>1.9000000000000001</v>
      </c>
      <c r="L20" s="46">
        <f t="shared" ref="L20:L29" si="2">K20/($C$5/100*1000)</f>
        <v>0.01</v>
      </c>
    </row>
    <row r="21" spans="2:12" ht="18" thickBot="1" x14ac:dyDescent="0.25">
      <c r="F21" s="50" t="s">
        <v>16</v>
      </c>
      <c r="G21" s="30">
        <v>0.48511800547764827</v>
      </c>
      <c r="H21" s="36">
        <f t="shared" si="1"/>
        <v>2.553252660408675E-3</v>
      </c>
      <c r="J21" s="22" t="s">
        <v>38</v>
      </c>
      <c r="K21" s="43">
        <v>4.8259999999999996</v>
      </c>
      <c r="L21" s="46">
        <f t="shared" si="2"/>
        <v>2.5399999999999999E-2</v>
      </c>
    </row>
    <row r="22" spans="2:12" ht="19" thickTop="1" thickBot="1" x14ac:dyDescent="0.25">
      <c r="F22" s="5" t="s">
        <v>21</v>
      </c>
      <c r="G22" s="31">
        <f>SUM(G12:G21)</f>
        <v>11.977011381015787</v>
      </c>
      <c r="H22" s="33">
        <f>SUM(H12:H21)</f>
        <v>6.3036902005346257E-2</v>
      </c>
      <c r="J22" s="22" t="s">
        <v>39</v>
      </c>
      <c r="K22" s="43">
        <v>2.2800000000000002</v>
      </c>
      <c r="L22" s="46">
        <f t="shared" si="2"/>
        <v>1.2000000000000002E-2</v>
      </c>
    </row>
    <row r="23" spans="2:12" x14ac:dyDescent="0.2">
      <c r="J23" s="22" t="s">
        <v>40</v>
      </c>
      <c r="K23" s="43">
        <v>0.76</v>
      </c>
      <c r="L23" s="46">
        <f t="shared" si="2"/>
        <v>4.0000000000000001E-3</v>
      </c>
    </row>
    <row r="24" spans="2:12" ht="17" x14ac:dyDescent="0.25">
      <c r="J24" s="22" t="s">
        <v>41</v>
      </c>
      <c r="K24" s="43">
        <v>3.61</v>
      </c>
      <c r="L24" s="46">
        <f t="shared" si="2"/>
        <v>1.9E-2</v>
      </c>
    </row>
    <row r="25" spans="2:12" ht="17" thickBot="1" x14ac:dyDescent="0.25">
      <c r="J25" s="22" t="s">
        <v>42</v>
      </c>
      <c r="K25" s="43">
        <v>3.8000000000000003</v>
      </c>
      <c r="L25" s="46">
        <f t="shared" si="2"/>
        <v>0.02</v>
      </c>
    </row>
    <row r="26" spans="2:12" ht="17" thickBot="1" x14ac:dyDescent="0.25">
      <c r="F26" s="27" t="s">
        <v>58</v>
      </c>
      <c r="G26" s="34" t="s">
        <v>54</v>
      </c>
      <c r="H26" s="37" t="s">
        <v>60</v>
      </c>
      <c r="J26" s="22" t="s">
        <v>43</v>
      </c>
      <c r="K26" s="43">
        <v>0.76</v>
      </c>
      <c r="L26" s="46">
        <f t="shared" si="2"/>
        <v>4.0000000000000001E-3</v>
      </c>
    </row>
    <row r="27" spans="2:12" ht="17" x14ac:dyDescent="0.2">
      <c r="F27" s="48" t="s">
        <v>0</v>
      </c>
      <c r="G27" s="7">
        <v>5.7941833434036276</v>
      </c>
      <c r="H27" s="32">
        <f t="shared" ref="H27:H33" si="3">G27/($C$5/100*1000)</f>
        <v>3.0495701807387515E-2</v>
      </c>
      <c r="J27" s="22" t="s">
        <v>44</v>
      </c>
      <c r="K27" s="43">
        <v>2.09</v>
      </c>
      <c r="L27" s="46">
        <f t="shared" si="2"/>
        <v>1.0999999999999999E-2</v>
      </c>
    </row>
    <row r="28" spans="2:12" ht="18" customHeight="1" x14ac:dyDescent="0.2">
      <c r="F28" s="49" t="s">
        <v>1</v>
      </c>
      <c r="G28" s="7">
        <v>2.0658118666589473</v>
      </c>
      <c r="H28" s="32">
        <f t="shared" si="3"/>
        <v>1.0872694035047091E-2</v>
      </c>
      <c r="J28" s="22" t="s">
        <v>45</v>
      </c>
      <c r="K28" s="43">
        <v>0.76</v>
      </c>
      <c r="L28" s="46">
        <f t="shared" si="2"/>
        <v>4.0000000000000001E-3</v>
      </c>
    </row>
    <row r="29" spans="2:12" ht="35" thickBot="1" x14ac:dyDescent="0.25">
      <c r="F29" s="49" t="s">
        <v>2</v>
      </c>
      <c r="G29" s="7">
        <v>5.0883142525223501</v>
      </c>
      <c r="H29" s="32">
        <f t="shared" si="3"/>
        <v>2.6780601329065002E-2</v>
      </c>
      <c r="J29" s="66" t="s">
        <v>46</v>
      </c>
      <c r="K29" s="69">
        <v>2.09</v>
      </c>
      <c r="L29" s="68">
        <f t="shared" si="2"/>
        <v>1.0999999999999999E-2</v>
      </c>
    </row>
    <row r="30" spans="2:12" ht="19" thickTop="1" thickBot="1" x14ac:dyDescent="0.25">
      <c r="B30" s="10"/>
      <c r="F30" s="49" t="s">
        <v>3</v>
      </c>
      <c r="G30" s="7">
        <v>1.8114663090961203</v>
      </c>
      <c r="H30" s="32">
        <f t="shared" si="3"/>
        <v>9.5340332057690536E-3</v>
      </c>
      <c r="J30" s="5" t="s">
        <v>21</v>
      </c>
      <c r="K30" s="41">
        <f>SUM(K20:K29)</f>
        <v>22.876000000000001</v>
      </c>
      <c r="L30" s="47">
        <f>SUM(L20:L29)</f>
        <v>0.12040000000000001</v>
      </c>
    </row>
    <row r="31" spans="2:12" ht="18" thickBot="1" x14ac:dyDescent="0.25">
      <c r="F31" s="49" t="s">
        <v>4</v>
      </c>
      <c r="G31" s="7">
        <v>4.8274527687238331</v>
      </c>
      <c r="H31" s="32">
        <f t="shared" si="3"/>
        <v>2.5407646151178069E-2</v>
      </c>
      <c r="J31" s="18"/>
      <c r="K31" s="19"/>
      <c r="L31" s="20"/>
    </row>
    <row r="32" spans="2:12" ht="35" thickBot="1" x14ac:dyDescent="0.25">
      <c r="B32" s="10"/>
      <c r="F32" s="49" t="s">
        <v>5</v>
      </c>
      <c r="G32" s="7">
        <v>3.5982691252079109</v>
      </c>
      <c r="H32" s="32">
        <f t="shared" si="3"/>
        <v>1.8938258553725846E-2</v>
      </c>
      <c r="J32" s="27" t="s">
        <v>58</v>
      </c>
      <c r="K32" s="38" t="s">
        <v>54</v>
      </c>
      <c r="L32" s="37" t="s">
        <v>60</v>
      </c>
    </row>
    <row r="33" spans="2:12" ht="18" thickBot="1" x14ac:dyDescent="0.25">
      <c r="F33" s="50" t="s">
        <v>6</v>
      </c>
      <c r="G33" s="8">
        <v>0.4127430717812372</v>
      </c>
      <c r="H33" s="35">
        <f t="shared" si="3"/>
        <v>2.1723319567433538E-3</v>
      </c>
      <c r="J33" s="21" t="s">
        <v>47</v>
      </c>
      <c r="K33" s="42">
        <v>1.33</v>
      </c>
      <c r="L33" s="46">
        <f t="shared" ref="L33:L39" si="4">K33/($C$5/100*1000)</f>
        <v>7.0000000000000001E-3</v>
      </c>
    </row>
    <row r="34" spans="2:12" ht="19" thickTop="1" thickBot="1" x14ac:dyDescent="0.25">
      <c r="F34" s="5" t="s">
        <v>21</v>
      </c>
      <c r="G34" s="9">
        <f>SUM(G27:G33)</f>
        <v>23.598240737394026</v>
      </c>
      <c r="H34" s="33">
        <f>SUM(H27:H33)</f>
        <v>0.12420126703891592</v>
      </c>
      <c r="J34" s="22" t="s">
        <v>48</v>
      </c>
      <c r="K34" s="43">
        <v>3.2300000000000004</v>
      </c>
      <c r="L34" s="46">
        <f t="shared" si="4"/>
        <v>1.7000000000000001E-2</v>
      </c>
    </row>
    <row r="35" spans="2:12" ht="17" thickBot="1" x14ac:dyDescent="0.25">
      <c r="J35" s="22" t="s">
        <v>49</v>
      </c>
      <c r="K35" s="43">
        <v>0.57000000000000006</v>
      </c>
      <c r="L35" s="46">
        <f t="shared" si="4"/>
        <v>3.0000000000000005E-3</v>
      </c>
    </row>
    <row r="36" spans="2:12" ht="18" thickBot="1" x14ac:dyDescent="0.25">
      <c r="F36" s="62" t="s">
        <v>65</v>
      </c>
      <c r="G36" s="60">
        <f>(G8+G22+G34)*0.13</f>
        <v>7.1006790002846119</v>
      </c>
      <c r="H36" s="61">
        <f>(H8+H22+H34)*0.13</f>
        <v>3.7371994738340089E-2</v>
      </c>
      <c r="J36" s="22" t="s">
        <v>50</v>
      </c>
      <c r="K36" s="43">
        <v>3.04</v>
      </c>
      <c r="L36" s="46">
        <f t="shared" si="4"/>
        <v>1.6E-2</v>
      </c>
    </row>
    <row r="37" spans="2:12" x14ac:dyDescent="0.2">
      <c r="J37" s="22" t="s">
        <v>51</v>
      </c>
      <c r="K37" s="43">
        <v>1.1400000000000001</v>
      </c>
      <c r="L37" s="46">
        <f t="shared" si="4"/>
        <v>6.000000000000001E-3</v>
      </c>
    </row>
    <row r="38" spans="2:12" ht="17" thickBot="1" x14ac:dyDescent="0.25">
      <c r="F38" s="64"/>
      <c r="G38" s="64"/>
      <c r="H38" s="64"/>
      <c r="J38" s="22" t="s">
        <v>52</v>
      </c>
      <c r="K38" s="43">
        <v>1.1400000000000001</v>
      </c>
      <c r="L38" s="46">
        <f t="shared" si="4"/>
        <v>6.000000000000001E-3</v>
      </c>
    </row>
    <row r="39" spans="2:12" ht="19" thickTop="1" thickBot="1" x14ac:dyDescent="0.25">
      <c r="F39" s="63" t="s">
        <v>62</v>
      </c>
      <c r="G39" s="58">
        <f>(G8+G22+G34+G36)</f>
        <v>61.721286694781625</v>
      </c>
      <c r="H39" s="59">
        <f>(H8+H22+H34+H36)</f>
        <v>0.32484887734095613</v>
      </c>
      <c r="J39" s="24" t="s">
        <v>53</v>
      </c>
      <c r="K39" s="44">
        <v>1.71</v>
      </c>
      <c r="L39" s="47">
        <f t="shared" si="4"/>
        <v>8.9999999999999993E-3</v>
      </c>
    </row>
    <row r="40" spans="2:12" ht="18" thickBot="1" x14ac:dyDescent="0.25">
      <c r="J40" s="5" t="s">
        <v>21</v>
      </c>
      <c r="K40" s="45">
        <f>SUM(K33:K39)</f>
        <v>12.160000000000004</v>
      </c>
      <c r="L40" s="47">
        <f>SUM(L33:L39)</f>
        <v>6.3999999999999987E-2</v>
      </c>
    </row>
    <row r="41" spans="2:12" ht="17" thickBot="1" x14ac:dyDescent="0.25">
      <c r="J41" s="64"/>
      <c r="K41" s="64"/>
      <c r="L41" s="64"/>
    </row>
    <row r="42" spans="2:12" ht="19" thickTop="1" thickBot="1" x14ac:dyDescent="0.25">
      <c r="J42" s="63" t="s">
        <v>63</v>
      </c>
      <c r="K42" s="65">
        <f>K10+K17+K30+K40</f>
        <v>73.780552263378326</v>
      </c>
      <c r="L42" s="65">
        <f>L10+L17+L30+L40</f>
        <v>0.38831869612304382</v>
      </c>
    </row>
    <row r="46" spans="2:12" x14ac:dyDescent="0.2">
      <c r="B46" s="16"/>
      <c r="C46" s="52"/>
      <c r="D46" s="52"/>
      <c r="E46" s="53"/>
    </row>
    <row r="47" spans="2:12" x14ac:dyDescent="0.2">
      <c r="B47" s="16"/>
      <c r="C47" s="54"/>
      <c r="D47" s="54"/>
      <c r="E47" s="54"/>
    </row>
    <row r="48" spans="2:12" x14ac:dyDescent="0.2">
      <c r="B48" s="16"/>
      <c r="C48" s="54"/>
      <c r="D48" s="54"/>
      <c r="E48" s="54"/>
    </row>
    <row r="49" spans="2:5" x14ac:dyDescent="0.2">
      <c r="B49" s="16"/>
      <c r="C49" s="16"/>
      <c r="D49" s="16"/>
      <c r="E49" s="16"/>
    </row>
    <row r="50" spans="2:5" x14ac:dyDescent="0.2">
      <c r="B50" s="16"/>
      <c r="C50" s="55"/>
      <c r="D50" s="16"/>
      <c r="E50" s="16"/>
    </row>
    <row r="51" spans="2:5" x14ac:dyDescent="0.2">
      <c r="B51" s="16"/>
      <c r="C51" s="16"/>
      <c r="D51" s="16"/>
      <c r="E51" s="16"/>
    </row>
    <row r="52" spans="2:5" x14ac:dyDescent="0.2">
      <c r="B52" s="16"/>
      <c r="C52" s="16"/>
      <c r="D52" s="16"/>
      <c r="E52" s="16"/>
    </row>
    <row r="53" spans="2:5" x14ac:dyDescent="0.2">
      <c r="B53" s="16"/>
      <c r="C53" s="16"/>
      <c r="D53" s="16"/>
      <c r="E53" s="16"/>
    </row>
    <row r="54" spans="2:5" x14ac:dyDescent="0.2">
      <c r="B54" s="16"/>
      <c r="C54" s="16"/>
      <c r="D54" s="16"/>
      <c r="E54" s="16"/>
    </row>
    <row r="55" spans="2:5" x14ac:dyDescent="0.2">
      <c r="B55" s="16"/>
      <c r="C55" s="16"/>
      <c r="D55" s="16"/>
      <c r="E55" s="16"/>
    </row>
    <row r="56" spans="2:5" x14ac:dyDescent="0.2">
      <c r="B56" s="16"/>
      <c r="C56" s="16"/>
      <c r="D56" s="16"/>
      <c r="E56" s="16"/>
    </row>
    <row r="57" spans="2:5" ht="15.75" customHeight="1" x14ac:dyDescent="0.2">
      <c r="B57" s="16"/>
      <c r="C57" s="16"/>
      <c r="D57" s="16"/>
      <c r="E57" s="16"/>
    </row>
    <row r="58" spans="2:5" x14ac:dyDescent="0.2">
      <c r="B58" s="16"/>
      <c r="C58" s="16"/>
      <c r="D58" s="16"/>
      <c r="E58" s="16"/>
    </row>
    <row r="59" spans="2:5" x14ac:dyDescent="0.2">
      <c r="B59" s="16"/>
      <c r="C59" s="16"/>
      <c r="D59" s="16"/>
      <c r="E59" s="16"/>
    </row>
    <row r="60" spans="2:5" x14ac:dyDescent="0.2">
      <c r="B60" s="16"/>
      <c r="C60" s="16"/>
      <c r="D60" s="16"/>
      <c r="E60" s="16"/>
    </row>
    <row r="61" spans="2:5" x14ac:dyDescent="0.2">
      <c r="B61" s="16"/>
      <c r="C61" s="16"/>
      <c r="D61" s="16"/>
      <c r="E61" s="16"/>
    </row>
    <row r="62" spans="2:5" x14ac:dyDescent="0.2">
      <c r="B62" s="16"/>
      <c r="C62" s="16"/>
      <c r="D62" s="16"/>
      <c r="E62" s="16"/>
    </row>
    <row r="63" spans="2:5" x14ac:dyDescent="0.2">
      <c r="B63" s="16"/>
      <c r="C63" s="16"/>
      <c r="D63" s="16"/>
      <c r="E63" s="16"/>
    </row>
    <row r="64" spans="2:5" x14ac:dyDescent="0.2">
      <c r="B64" s="16"/>
      <c r="C64" s="16"/>
      <c r="D64" s="16"/>
      <c r="E64" s="16"/>
    </row>
    <row r="65" spans="1:5" x14ac:dyDescent="0.2">
      <c r="B65" s="16"/>
      <c r="C65" s="16"/>
      <c r="D65" s="16"/>
      <c r="E65" s="16"/>
    </row>
    <row r="66" spans="1:5" x14ac:dyDescent="0.2">
      <c r="B66" s="16"/>
      <c r="C66" s="16"/>
      <c r="D66" s="16"/>
      <c r="E66" s="16"/>
    </row>
    <row r="67" spans="1:5" x14ac:dyDescent="0.2">
      <c r="B67" s="16"/>
      <c r="C67" s="16"/>
      <c r="D67" s="16"/>
      <c r="E67" s="16"/>
    </row>
    <row r="68" spans="1:5" x14ac:dyDescent="0.2">
      <c r="A68" s="10"/>
      <c r="B68" s="16"/>
      <c r="C68" s="16"/>
      <c r="D68" s="16"/>
      <c r="E68" s="16"/>
    </row>
    <row r="69" spans="1:5" x14ac:dyDescent="0.2">
      <c r="A69" s="10"/>
      <c r="B69" s="16"/>
      <c r="C69" s="16"/>
      <c r="D69" s="16"/>
      <c r="E69" s="16"/>
    </row>
    <row r="70" spans="1:5" x14ac:dyDescent="0.2">
      <c r="B70" s="16"/>
      <c r="C70" s="16"/>
      <c r="D70" s="16"/>
      <c r="E70" s="16"/>
    </row>
    <row r="71" spans="1:5" x14ac:dyDescent="0.2">
      <c r="B71" s="16"/>
      <c r="C71" s="16"/>
      <c r="D71" s="16"/>
      <c r="E71" s="16"/>
    </row>
    <row r="72" spans="1:5" x14ac:dyDescent="0.2">
      <c r="B72" s="16"/>
      <c r="C72" s="16"/>
      <c r="D72" s="16"/>
      <c r="E72" s="16"/>
    </row>
    <row r="73" spans="1:5" x14ac:dyDescent="0.2">
      <c r="B73" s="16"/>
      <c r="C73" s="16"/>
      <c r="D73" s="16"/>
      <c r="E73" s="16"/>
    </row>
    <row r="74" spans="1:5" x14ac:dyDescent="0.2">
      <c r="B74" s="16"/>
      <c r="C74" s="16"/>
      <c r="D74" s="16"/>
      <c r="E74" s="16"/>
    </row>
    <row r="75" spans="1:5" x14ac:dyDescent="0.2">
      <c r="B75" s="16"/>
      <c r="C75" s="16"/>
      <c r="D75" s="16"/>
      <c r="E75" s="16"/>
    </row>
    <row r="76" spans="1:5" x14ac:dyDescent="0.2">
      <c r="B76" s="16"/>
      <c r="C76" s="16"/>
      <c r="D76" s="16"/>
      <c r="E76" s="16"/>
    </row>
    <row r="77" spans="1:5" x14ac:dyDescent="0.2">
      <c r="B77" s="16"/>
      <c r="C77" s="16"/>
      <c r="D77" s="16"/>
      <c r="E77" s="16"/>
    </row>
    <row r="78" spans="1:5" x14ac:dyDescent="0.2">
      <c r="B78" s="16"/>
      <c r="C78" s="16"/>
      <c r="D78" s="16"/>
      <c r="E78" s="16"/>
    </row>
    <row r="79" spans="1:5" x14ac:dyDescent="0.2">
      <c r="B79" s="16"/>
      <c r="C79" s="16"/>
      <c r="D79" s="16"/>
      <c r="E79" s="16"/>
    </row>
    <row r="80" spans="1:5" x14ac:dyDescent="0.2">
      <c r="B80" s="16"/>
      <c r="C80" s="16"/>
      <c r="D80" s="16"/>
      <c r="E80" s="16"/>
    </row>
    <row r="81" spans="2:5" x14ac:dyDescent="0.2">
      <c r="B81" s="16"/>
      <c r="C81" s="16"/>
      <c r="D81" s="16"/>
      <c r="E81" s="16"/>
    </row>
    <row r="82" spans="2:5" x14ac:dyDescent="0.2">
      <c r="B82" s="16"/>
      <c r="C82" s="16"/>
      <c r="D82" s="16"/>
      <c r="E82" s="16"/>
    </row>
    <row r="83" spans="2:5" x14ac:dyDescent="0.2">
      <c r="B83" s="16"/>
      <c r="C83" s="16"/>
      <c r="D83" s="16"/>
      <c r="E83" s="16"/>
    </row>
    <row r="84" spans="2:5" x14ac:dyDescent="0.2">
      <c r="B84" s="16"/>
      <c r="C84" s="16"/>
      <c r="D84" s="16"/>
      <c r="E84" s="16"/>
    </row>
    <row r="85" spans="2:5" x14ac:dyDescent="0.2">
      <c r="B85" s="16"/>
      <c r="C85" s="16"/>
      <c r="D85" s="16"/>
      <c r="E85" s="16"/>
    </row>
    <row r="86" spans="2:5" x14ac:dyDescent="0.2">
      <c r="B86" s="16"/>
      <c r="C86" s="16"/>
      <c r="D86" s="16"/>
      <c r="E86" s="16"/>
    </row>
    <row r="87" spans="2:5" x14ac:dyDescent="0.2">
      <c r="B87" s="16"/>
      <c r="C87" s="16"/>
      <c r="D87" s="16"/>
      <c r="E87" s="16"/>
    </row>
    <row r="88" spans="2:5" x14ac:dyDescent="0.2">
      <c r="B88" s="16"/>
      <c r="C88" s="16"/>
      <c r="D88" s="16"/>
      <c r="E88" s="16"/>
    </row>
  </sheetData>
  <mergeCells count="2">
    <mergeCell ref="F2:H2"/>
    <mergeCell ref="J2:L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5E89-D32A-8D42-8051-D1EB205F92A3}">
  <dimension ref="A1:K42"/>
  <sheetViews>
    <sheetView zoomScaleNormal="100" workbookViewId="0">
      <selection activeCell="C17" sqref="C17"/>
    </sheetView>
  </sheetViews>
  <sheetFormatPr baseColWidth="10" defaultColWidth="8.83203125" defaultRowHeight="15" x14ac:dyDescent="0.2"/>
  <cols>
    <col min="1" max="1" width="34.33203125" style="73" bestFit="1" customWidth="1"/>
    <col min="2" max="2" width="16.1640625" style="73" customWidth="1"/>
    <col min="3" max="3" width="47" style="73" customWidth="1"/>
    <col min="4" max="5" width="8.83203125" style="73"/>
    <col min="6" max="6" width="17.5" style="73" customWidth="1"/>
    <col min="7" max="7" width="20" style="73" customWidth="1"/>
    <col min="8" max="8" width="22.6640625" style="73" customWidth="1"/>
    <col min="9" max="9" width="15.6640625" style="73" customWidth="1"/>
    <col min="10" max="10" width="18.5" style="73" customWidth="1"/>
    <col min="11" max="11" width="14.6640625" style="73" customWidth="1"/>
    <col min="12" max="16384" width="8.83203125" style="73"/>
  </cols>
  <sheetData>
    <row r="1" spans="1:11" x14ac:dyDescent="0.2">
      <c r="A1" s="72" t="s">
        <v>67</v>
      </c>
    </row>
    <row r="2" spans="1:11" x14ac:dyDescent="0.2">
      <c r="A2" s="74"/>
      <c r="E2" s="75"/>
    </row>
    <row r="4" spans="1:11" ht="16" thickBot="1" x14ac:dyDescent="0.25"/>
    <row r="5" spans="1:11" ht="46" customHeight="1" x14ac:dyDescent="0.2">
      <c r="A5" s="76" t="s">
        <v>68</v>
      </c>
      <c r="B5" s="76" t="s">
        <v>69</v>
      </c>
      <c r="C5" s="77" t="s">
        <v>70</v>
      </c>
      <c r="E5" s="78" t="s">
        <v>71</v>
      </c>
      <c r="F5" s="79" t="s">
        <v>72</v>
      </c>
      <c r="G5" s="79" t="s">
        <v>73</v>
      </c>
      <c r="H5" s="80" t="s">
        <v>74</v>
      </c>
      <c r="I5" s="80" t="s">
        <v>75</v>
      </c>
      <c r="J5" s="80" t="s">
        <v>76</v>
      </c>
      <c r="K5" s="81" t="s">
        <v>77</v>
      </c>
    </row>
    <row r="6" spans="1:11" ht="20" customHeight="1" x14ac:dyDescent="0.2">
      <c r="A6" s="82" t="s">
        <v>78</v>
      </c>
      <c r="B6" s="119">
        <f>(B8/100)*B7</f>
        <v>114600</v>
      </c>
      <c r="C6" s="83" t="s">
        <v>101</v>
      </c>
      <c r="E6" s="84">
        <v>0</v>
      </c>
      <c r="F6" s="85"/>
      <c r="G6" s="85">
        <f>F6/(1+$B$23/100)^E6</f>
        <v>0</v>
      </c>
      <c r="H6" s="86">
        <f>B6*B22</f>
        <v>115204207.05882353</v>
      </c>
      <c r="I6" s="86"/>
      <c r="J6" s="86">
        <f>(H6+I6)/(1+$B$23/100)^E6</f>
        <v>115204207.05882353</v>
      </c>
      <c r="K6" s="87"/>
    </row>
    <row r="7" spans="1:11" ht="20" customHeight="1" x14ac:dyDescent="0.2">
      <c r="A7" s="88" t="s">
        <v>79</v>
      </c>
      <c r="B7" s="120">
        <f>600000</f>
        <v>600000</v>
      </c>
      <c r="C7" s="89"/>
      <c r="E7" s="84">
        <v>1</v>
      </c>
      <c r="F7" s="85">
        <f>B9*B6/(1+$B$10)</f>
        <v>179597014.92537317</v>
      </c>
      <c r="G7" s="85">
        <f t="shared" ref="G7:G41" si="0">F7/(1+$B$23)^E7*K7</f>
        <v>169431146.15601242</v>
      </c>
      <c r="H7" s="86"/>
      <c r="I7" s="86">
        <f t="shared" ref="I7:I41" si="1">$B$24*$B$6*K7</f>
        <v>1489800</v>
      </c>
      <c r="J7" s="86">
        <f t="shared" ref="J7:J41" si="2">(H7+I7)/(1+$B$23)^E7*K7</f>
        <v>1405471.6981132075</v>
      </c>
      <c r="K7" s="85">
        <f t="shared" ref="K7:K41" si="3">IF(B$11&gt;=E7,1,0)</f>
        <v>1</v>
      </c>
    </row>
    <row r="8" spans="1:11" ht="20" customHeight="1" x14ac:dyDescent="0.2">
      <c r="A8" s="90" t="s">
        <v>80</v>
      </c>
      <c r="B8" s="121">
        <v>19.100000000000001</v>
      </c>
      <c r="C8" s="74" t="s">
        <v>81</v>
      </c>
      <c r="E8" s="84">
        <v>2</v>
      </c>
      <c r="F8" s="85">
        <f>F7/(1+$B$10)*K8</f>
        <v>178703497.43818226</v>
      </c>
      <c r="G8" s="85">
        <f t="shared" si="0"/>
        <v>159045476.53807604</v>
      </c>
      <c r="H8" s="86"/>
      <c r="I8" s="86">
        <f t="shared" si="1"/>
        <v>1489800</v>
      </c>
      <c r="J8" s="86">
        <f t="shared" si="2"/>
        <v>1325916.6963332144</v>
      </c>
      <c r="K8" s="85">
        <f t="shared" si="3"/>
        <v>1</v>
      </c>
    </row>
    <row r="9" spans="1:11" ht="20" customHeight="1" x14ac:dyDescent="0.2">
      <c r="A9" s="91" t="s">
        <v>82</v>
      </c>
      <c r="B9" s="90">
        <f>15.75*20/200*1000</f>
        <v>1575</v>
      </c>
      <c r="C9" s="83" t="s">
        <v>83</v>
      </c>
      <c r="E9" s="84">
        <v>3</v>
      </c>
      <c r="F9" s="85">
        <f t="shared" ref="F9:F41" si="4">F8/(1+$B$10)*K9</f>
        <v>177814425.31162417</v>
      </c>
      <c r="G9" s="85">
        <f t="shared" si="0"/>
        <v>149296420.29294664</v>
      </c>
      <c r="H9" s="86"/>
      <c r="I9" s="86">
        <f t="shared" si="1"/>
        <v>1489800</v>
      </c>
      <c r="J9" s="86">
        <f t="shared" si="2"/>
        <v>1250864.807861523</v>
      </c>
      <c r="K9" s="85">
        <f t="shared" si="3"/>
        <v>1</v>
      </c>
    </row>
    <row r="10" spans="1:11" ht="20" customHeight="1" x14ac:dyDescent="0.2">
      <c r="A10" s="82" t="s">
        <v>84</v>
      </c>
      <c r="B10" s="122">
        <v>5.0000000000000001E-3</v>
      </c>
      <c r="C10" s="92"/>
      <c r="E10" s="84">
        <v>4</v>
      </c>
      <c r="F10" s="85">
        <f t="shared" si="4"/>
        <v>176929776.4294768</v>
      </c>
      <c r="G10" s="85">
        <f t="shared" si="0"/>
        <v>140144954.74790823</v>
      </c>
      <c r="H10" s="86"/>
      <c r="I10" s="86">
        <f t="shared" si="1"/>
        <v>1489800</v>
      </c>
      <c r="J10" s="86">
        <f t="shared" si="2"/>
        <v>1180061.1394920028</v>
      </c>
      <c r="K10" s="85">
        <f t="shared" si="3"/>
        <v>1</v>
      </c>
    </row>
    <row r="11" spans="1:11" ht="20" customHeight="1" x14ac:dyDescent="0.2">
      <c r="A11" s="90" t="s">
        <v>85</v>
      </c>
      <c r="B11" s="123">
        <v>30</v>
      </c>
      <c r="C11" s="93"/>
      <c r="E11" s="84">
        <v>5</v>
      </c>
      <c r="F11" s="85">
        <f t="shared" si="4"/>
        <v>176049528.78554907</v>
      </c>
      <c r="G11" s="85">
        <f t="shared" si="0"/>
        <v>131554449.21421969</v>
      </c>
      <c r="H11" s="86"/>
      <c r="I11" s="86">
        <f t="shared" si="1"/>
        <v>1489800</v>
      </c>
      <c r="J11" s="86">
        <f t="shared" si="2"/>
        <v>1113265.2259358515</v>
      </c>
      <c r="K11" s="85">
        <f t="shared" si="3"/>
        <v>1</v>
      </c>
    </row>
    <row r="12" spans="1:11" ht="20" customHeight="1" x14ac:dyDescent="0.2">
      <c r="C12" s="74"/>
      <c r="E12" s="84">
        <v>6</v>
      </c>
      <c r="F12" s="85">
        <f t="shared" si="4"/>
        <v>175173660.48313344</v>
      </c>
      <c r="G12" s="85">
        <f t="shared" si="0"/>
        <v>123490518.36498611</v>
      </c>
      <c r="H12" s="86"/>
      <c r="I12" s="86">
        <f t="shared" si="1"/>
        <v>1489800</v>
      </c>
      <c r="J12" s="86">
        <f t="shared" si="2"/>
        <v>1050250.2131470297</v>
      </c>
      <c r="K12" s="85">
        <f t="shared" si="3"/>
        <v>1</v>
      </c>
    </row>
    <row r="13" spans="1:11" ht="20" customHeight="1" x14ac:dyDescent="0.2">
      <c r="C13" s="74"/>
      <c r="E13" s="84">
        <v>7</v>
      </c>
      <c r="F13" s="85">
        <f t="shared" si="4"/>
        <v>174302149.73446116</v>
      </c>
      <c r="G13" s="85">
        <f t="shared" si="0"/>
        <v>115920884.60056897</v>
      </c>
      <c r="H13" s="86"/>
      <c r="I13" s="86">
        <f t="shared" si="1"/>
        <v>1489800</v>
      </c>
      <c r="J13" s="86">
        <f t="shared" si="2"/>
        <v>990802.08787455619</v>
      </c>
      <c r="K13" s="85">
        <f t="shared" si="3"/>
        <v>1</v>
      </c>
    </row>
    <row r="14" spans="1:11" ht="20" customHeight="1" x14ac:dyDescent="0.2">
      <c r="C14" s="74"/>
      <c r="E14" s="84">
        <v>8</v>
      </c>
      <c r="F14" s="85">
        <f t="shared" si="4"/>
        <v>173434974.86016038</v>
      </c>
      <c r="G14" s="85">
        <f t="shared" si="0"/>
        <v>108815248.85062329</v>
      </c>
      <c r="H14" s="86"/>
      <c r="I14" s="86">
        <f t="shared" si="1"/>
        <v>1489800</v>
      </c>
      <c r="J14" s="86">
        <f t="shared" si="2"/>
        <v>934718.95082505315</v>
      </c>
      <c r="K14" s="85">
        <f t="shared" si="3"/>
        <v>1</v>
      </c>
    </row>
    <row r="15" spans="1:11" ht="20" customHeight="1" x14ac:dyDescent="0.2">
      <c r="A15" s="94" t="s">
        <v>86</v>
      </c>
      <c r="B15" s="95"/>
      <c r="C15" s="96"/>
      <c r="E15" s="84">
        <v>9</v>
      </c>
      <c r="F15" s="85">
        <f t="shared" si="4"/>
        <v>172572114.28871682</v>
      </c>
      <c r="G15" s="85">
        <f t="shared" si="0"/>
        <v>102145169.29561935</v>
      </c>
      <c r="H15" s="86"/>
      <c r="I15" s="86">
        <f t="shared" si="1"/>
        <v>1489800</v>
      </c>
      <c r="J15" s="86">
        <f t="shared" si="2"/>
        <v>881810.3309670313</v>
      </c>
      <c r="K15" s="85">
        <f t="shared" si="3"/>
        <v>1</v>
      </c>
    </row>
    <row r="16" spans="1:11" ht="20" customHeight="1" x14ac:dyDescent="0.2">
      <c r="A16" s="97" t="s">
        <v>87</v>
      </c>
      <c r="B16" s="124">
        <f>0.322/(1-0.15)</f>
        <v>0.37882352941176473</v>
      </c>
      <c r="C16" s="93" t="s">
        <v>88</v>
      </c>
      <c r="E16" s="84">
        <v>10</v>
      </c>
      <c r="F16" s="85">
        <f t="shared" si="4"/>
        <v>171713546.55593714</v>
      </c>
      <c r="G16" s="85">
        <f t="shared" si="0"/>
        <v>95883947.52240622</v>
      </c>
      <c r="H16" s="86"/>
      <c r="I16" s="86">
        <f t="shared" si="1"/>
        <v>1489800</v>
      </c>
      <c r="J16" s="86">
        <f t="shared" si="2"/>
        <v>831896.5386481426</v>
      </c>
      <c r="K16" s="85">
        <f t="shared" si="3"/>
        <v>1</v>
      </c>
    </row>
    <row r="17" spans="1:11" ht="20" customHeight="1" x14ac:dyDescent="0.2">
      <c r="A17" s="97" t="s">
        <v>89</v>
      </c>
      <c r="B17" s="125">
        <v>0.23</v>
      </c>
      <c r="C17" s="98" t="s">
        <v>90</v>
      </c>
      <c r="E17" s="84">
        <v>11</v>
      </c>
      <c r="F17" s="85">
        <f t="shared" si="4"/>
        <v>170859250.30441508</v>
      </c>
      <c r="G17" s="85">
        <f t="shared" si="0"/>
        <v>90006521.658130303</v>
      </c>
      <c r="H17" s="86"/>
      <c r="I17" s="86">
        <f t="shared" si="1"/>
        <v>1489800</v>
      </c>
      <c r="J17" s="86">
        <f t="shared" si="2"/>
        <v>784808.05532843631</v>
      </c>
      <c r="K17" s="85">
        <f t="shared" si="3"/>
        <v>1</v>
      </c>
    </row>
    <row r="18" spans="1:11" ht="20" customHeight="1" x14ac:dyDescent="0.2">
      <c r="A18" s="99" t="s">
        <v>91</v>
      </c>
      <c r="B18" s="126">
        <v>9450000</v>
      </c>
      <c r="C18" s="98"/>
      <c r="E18" s="84">
        <v>12</v>
      </c>
      <c r="F18" s="85">
        <f t="shared" si="4"/>
        <v>170009204.28300008</v>
      </c>
      <c r="G18" s="85">
        <f t="shared" si="0"/>
        <v>84489366.054754823</v>
      </c>
      <c r="H18" s="86"/>
      <c r="I18" s="86">
        <f t="shared" si="1"/>
        <v>1489800</v>
      </c>
      <c r="J18" s="86">
        <f t="shared" si="2"/>
        <v>740384.95785701531</v>
      </c>
      <c r="K18" s="85">
        <f t="shared" si="3"/>
        <v>1</v>
      </c>
    </row>
    <row r="19" spans="1:11" ht="20" customHeight="1" x14ac:dyDescent="0.2">
      <c r="A19" s="100" t="s">
        <v>92</v>
      </c>
      <c r="B19" s="127">
        <v>75.8</v>
      </c>
      <c r="C19" s="98"/>
      <c r="E19" s="84">
        <v>13</v>
      </c>
      <c r="F19" s="85">
        <f t="shared" si="4"/>
        <v>169163387.34626874</v>
      </c>
      <c r="G19" s="85">
        <f t="shared" si="0"/>
        <v>79310397.122646034</v>
      </c>
      <c r="H19" s="86"/>
      <c r="I19" s="86">
        <f t="shared" si="1"/>
        <v>1489800</v>
      </c>
      <c r="J19" s="86">
        <f t="shared" si="2"/>
        <v>698476.37533680687</v>
      </c>
      <c r="K19" s="85">
        <f t="shared" si="3"/>
        <v>1</v>
      </c>
    </row>
    <row r="20" spans="1:11" ht="20" customHeight="1" x14ac:dyDescent="0.2">
      <c r="A20" s="99" t="s">
        <v>93</v>
      </c>
      <c r="B20" s="101">
        <v>0.06</v>
      </c>
      <c r="C20" s="98"/>
      <c r="E20" s="84">
        <v>14</v>
      </c>
      <c r="F20" s="85">
        <f t="shared" si="4"/>
        <v>168321778.45399877</v>
      </c>
      <c r="G20" s="85">
        <f t="shared" si="0"/>
        <v>74448884.936305299</v>
      </c>
      <c r="H20" s="86"/>
      <c r="I20" s="86">
        <f t="shared" si="1"/>
        <v>1489800</v>
      </c>
      <c r="J20" s="86">
        <f t="shared" si="2"/>
        <v>658939.97673283669</v>
      </c>
      <c r="K20" s="85">
        <f t="shared" si="3"/>
        <v>1</v>
      </c>
    </row>
    <row r="21" spans="1:11" ht="20" customHeight="1" x14ac:dyDescent="0.2">
      <c r="A21" s="101" t="s">
        <v>94</v>
      </c>
      <c r="B21" s="128">
        <v>0</v>
      </c>
      <c r="C21" s="93"/>
      <c r="E21" s="84">
        <v>15</v>
      </c>
      <c r="F21" s="85">
        <f t="shared" si="4"/>
        <v>167484356.67064556</v>
      </c>
      <c r="G21" s="85">
        <f t="shared" si="0"/>
        <v>69885370.258429825</v>
      </c>
      <c r="H21" s="86"/>
      <c r="I21" s="86">
        <f t="shared" si="1"/>
        <v>1489800</v>
      </c>
      <c r="J21" s="86">
        <f t="shared" si="2"/>
        <v>621641.48748380807</v>
      </c>
      <c r="K21" s="85">
        <f t="shared" si="3"/>
        <v>1</v>
      </c>
    </row>
    <row r="22" spans="1:11" ht="20" customHeight="1" x14ac:dyDescent="0.2">
      <c r="A22" s="102" t="s">
        <v>95</v>
      </c>
      <c r="B22" s="129">
        <f>(B18+B19*B7+(B16*(1+B17)+B20)*B6*1000)/B6/(1-B21)</f>
        <v>1005.2723129042192</v>
      </c>
      <c r="C22" s="93"/>
      <c r="E22" s="84">
        <v>16</v>
      </c>
      <c r="F22" s="85">
        <f t="shared" si="4"/>
        <v>166651101.16482148</v>
      </c>
      <c r="G22" s="85">
        <f t="shared" si="0"/>
        <v>65601586.650173523</v>
      </c>
      <c r="H22" s="86"/>
      <c r="I22" s="86">
        <f t="shared" si="1"/>
        <v>1489800</v>
      </c>
      <c r="J22" s="86">
        <f t="shared" si="2"/>
        <v>586454.2334752907</v>
      </c>
      <c r="K22" s="85">
        <f t="shared" si="3"/>
        <v>1</v>
      </c>
    </row>
    <row r="23" spans="1:11" ht="20" customHeight="1" x14ac:dyDescent="0.2">
      <c r="A23" s="102" t="s">
        <v>96</v>
      </c>
      <c r="B23" s="130">
        <v>0.06</v>
      </c>
      <c r="C23" s="93"/>
      <c r="E23" s="84">
        <v>17</v>
      </c>
      <c r="F23" s="85">
        <f t="shared" si="4"/>
        <v>165821991.20877761</v>
      </c>
      <c r="G23" s="85">
        <f t="shared" si="0"/>
        <v>61580387.355837338</v>
      </c>
      <c r="H23" s="86"/>
      <c r="I23" s="86">
        <f t="shared" si="1"/>
        <v>1489800</v>
      </c>
      <c r="J23" s="86">
        <f t="shared" si="2"/>
        <v>553258.71082574595</v>
      </c>
      <c r="K23" s="85">
        <f t="shared" si="3"/>
        <v>1</v>
      </c>
    </row>
    <row r="24" spans="1:11" ht="20" customHeight="1" x14ac:dyDescent="0.2">
      <c r="A24" s="102" t="s">
        <v>97</v>
      </c>
      <c r="B24" s="131">
        <v>13</v>
      </c>
      <c r="C24" s="93"/>
      <c r="E24" s="84">
        <v>18</v>
      </c>
      <c r="F24" s="85">
        <f t="shared" si="4"/>
        <v>164997006.17788818</v>
      </c>
      <c r="G24" s="85">
        <f t="shared" si="0"/>
        <v>57805676.66933009</v>
      </c>
      <c r="H24" s="86"/>
      <c r="I24" s="86">
        <f t="shared" si="1"/>
        <v>1489800</v>
      </c>
      <c r="J24" s="86">
        <f t="shared" si="2"/>
        <v>521942.18002428859</v>
      </c>
      <c r="K24" s="85">
        <f t="shared" si="3"/>
        <v>1</v>
      </c>
    </row>
    <row r="25" spans="1:11" ht="20" customHeight="1" x14ac:dyDescent="0.2">
      <c r="A25" s="103"/>
      <c r="B25" s="104"/>
      <c r="C25" s="74"/>
      <c r="E25" s="84">
        <v>19</v>
      </c>
      <c r="F25" s="85">
        <f t="shared" si="4"/>
        <v>164176125.55013752</v>
      </c>
      <c r="G25" s="85">
        <f t="shared" si="0"/>
        <v>54262345.50767868</v>
      </c>
      <c r="H25" s="86"/>
      <c r="I25" s="86">
        <f t="shared" si="1"/>
        <v>1489800</v>
      </c>
      <c r="J25" s="86">
        <f t="shared" si="2"/>
        <v>492398.28304178163</v>
      </c>
      <c r="K25" s="85">
        <f t="shared" si="3"/>
        <v>1</v>
      </c>
    </row>
    <row r="26" spans="1:11" ht="20" customHeight="1" x14ac:dyDescent="0.2">
      <c r="C26" s="74"/>
      <c r="E26" s="84">
        <v>20</v>
      </c>
      <c r="F26" s="85">
        <f t="shared" si="4"/>
        <v>163359328.90560949</v>
      </c>
      <c r="G26" s="85">
        <f t="shared" si="0"/>
        <v>50936210.93370758</v>
      </c>
      <c r="H26" s="86"/>
      <c r="I26" s="86">
        <f t="shared" si="1"/>
        <v>1489800</v>
      </c>
      <c r="J26" s="86">
        <f t="shared" si="2"/>
        <v>464526.68211488833</v>
      </c>
      <c r="K26" s="85">
        <f t="shared" si="3"/>
        <v>1</v>
      </c>
    </row>
    <row r="27" spans="1:11" ht="20" customHeight="1" thickBot="1" x14ac:dyDescent="0.25">
      <c r="A27" s="105" t="s">
        <v>98</v>
      </c>
      <c r="B27" s="106"/>
      <c r="C27" s="107"/>
      <c r="E27" s="84">
        <v>21</v>
      </c>
      <c r="F27" s="85">
        <f t="shared" si="4"/>
        <v>162546595.92597961</v>
      </c>
      <c r="G27" s="85">
        <f t="shared" si="0"/>
        <v>47813959.385813929</v>
      </c>
      <c r="H27" s="86"/>
      <c r="I27" s="86">
        <f t="shared" si="1"/>
        <v>1489800</v>
      </c>
      <c r="J27" s="86">
        <f t="shared" si="2"/>
        <v>438232.7189763097</v>
      </c>
      <c r="K27" s="85">
        <f t="shared" si="3"/>
        <v>1</v>
      </c>
    </row>
    <row r="28" spans="1:11" ht="20" customHeight="1" thickBot="1" x14ac:dyDescent="0.25">
      <c r="A28" s="108" t="s">
        <v>99</v>
      </c>
      <c r="B28" s="109">
        <f>J42/G42*100</f>
        <v>5.7756432493677679</v>
      </c>
      <c r="C28" s="110"/>
      <c r="E28" s="84">
        <v>22</v>
      </c>
      <c r="F28" s="85">
        <f t="shared" si="4"/>
        <v>161737906.39400959</v>
      </c>
      <c r="G28" s="85">
        <f t="shared" si="0"/>
        <v>44883093.387603424</v>
      </c>
      <c r="H28" s="86"/>
      <c r="I28" s="86">
        <f t="shared" si="1"/>
        <v>1489800</v>
      </c>
      <c r="J28" s="86">
        <f t="shared" si="2"/>
        <v>413427.09337387705</v>
      </c>
      <c r="K28" s="85">
        <f t="shared" si="3"/>
        <v>1</v>
      </c>
    </row>
    <row r="29" spans="1:11" ht="20" customHeight="1" x14ac:dyDescent="0.2">
      <c r="E29" s="84">
        <v>23</v>
      </c>
      <c r="F29" s="85">
        <f t="shared" si="4"/>
        <v>160933240.19304439</v>
      </c>
      <c r="G29" s="85">
        <f t="shared" si="0"/>
        <v>42131881.524080947</v>
      </c>
      <c r="H29" s="86"/>
      <c r="I29" s="86">
        <f t="shared" si="1"/>
        <v>1489800</v>
      </c>
      <c r="J29" s="86">
        <f t="shared" si="2"/>
        <v>390025.55978667637</v>
      </c>
      <c r="K29" s="85">
        <f t="shared" si="3"/>
        <v>1</v>
      </c>
    </row>
    <row r="30" spans="1:11" ht="20" customHeight="1" x14ac:dyDescent="0.2">
      <c r="E30" s="84">
        <v>24</v>
      </c>
      <c r="F30" s="85">
        <f t="shared" si="4"/>
        <v>160132577.30651185</v>
      </c>
      <c r="G30" s="85">
        <f t="shared" si="0"/>
        <v>39549311.484164983</v>
      </c>
      <c r="H30" s="86"/>
      <c r="I30" s="86">
        <f t="shared" si="1"/>
        <v>1489800</v>
      </c>
      <c r="J30" s="86">
        <f t="shared" si="2"/>
        <v>367948.64130818535</v>
      </c>
      <c r="K30" s="85">
        <f t="shared" si="3"/>
        <v>1</v>
      </c>
    </row>
    <row r="31" spans="1:11" ht="20" customHeight="1" x14ac:dyDescent="0.2">
      <c r="E31" s="84">
        <v>25</v>
      </c>
      <c r="F31" s="85">
        <f t="shared" si="4"/>
        <v>159335897.81742474</v>
      </c>
      <c r="G31" s="85">
        <f t="shared" si="0"/>
        <v>37125045.98156856</v>
      </c>
      <c r="H31" s="86"/>
      <c r="I31" s="86">
        <f t="shared" si="1"/>
        <v>1489800</v>
      </c>
      <c r="J31" s="86">
        <f t="shared" si="2"/>
        <v>347121.35972470313</v>
      </c>
      <c r="K31" s="85">
        <f t="shared" si="3"/>
        <v>1</v>
      </c>
    </row>
    <row r="32" spans="1:11" ht="20" customHeight="1" x14ac:dyDescent="0.2">
      <c r="E32" s="84">
        <v>26</v>
      </c>
      <c r="F32" s="85">
        <f t="shared" si="4"/>
        <v>158543181.90788534</v>
      </c>
      <c r="G32" s="85">
        <f t="shared" si="0"/>
        <v>34849381.377610594</v>
      </c>
      <c r="H32" s="86"/>
      <c r="I32" s="86">
        <f t="shared" si="1"/>
        <v>1489800</v>
      </c>
      <c r="J32" s="86">
        <f t="shared" si="2"/>
        <v>327472.98087236146</v>
      </c>
      <c r="K32" s="111">
        <f t="shared" si="3"/>
        <v>1</v>
      </c>
    </row>
    <row r="33" spans="5:11" ht="20" customHeight="1" x14ac:dyDescent="0.2">
      <c r="E33" s="84">
        <v>27</v>
      </c>
      <c r="F33" s="85">
        <f t="shared" si="4"/>
        <v>157754409.85859239</v>
      </c>
      <c r="G33" s="85">
        <f t="shared" si="0"/>
        <v>32713208.840336606</v>
      </c>
      <c r="H33" s="86"/>
      <c r="I33" s="86">
        <f t="shared" si="1"/>
        <v>1489800</v>
      </c>
      <c r="J33" s="86">
        <f t="shared" si="2"/>
        <v>308936.77440788812</v>
      </c>
      <c r="K33" s="111">
        <f t="shared" si="3"/>
        <v>1</v>
      </c>
    </row>
    <row r="34" spans="5:11" ht="20" customHeight="1" x14ac:dyDescent="0.2">
      <c r="E34" s="84">
        <v>28</v>
      </c>
      <c r="F34" s="85">
        <f t="shared" si="4"/>
        <v>156969562.04835066</v>
      </c>
      <c r="G34" s="85">
        <f t="shared" si="0"/>
        <v>30707977.884480063</v>
      </c>
      <c r="H34" s="86"/>
      <c r="I34" s="86">
        <f t="shared" si="1"/>
        <v>1489800</v>
      </c>
      <c r="J34" s="86">
        <f t="shared" si="2"/>
        <v>291449.78717725293</v>
      </c>
      <c r="K34" s="111">
        <f t="shared" si="3"/>
        <v>1</v>
      </c>
    </row>
    <row r="35" spans="5:11" ht="20" customHeight="1" x14ac:dyDescent="0.2">
      <c r="E35" s="84">
        <v>29</v>
      </c>
      <c r="F35" s="85">
        <f t="shared" si="4"/>
        <v>156188618.95358276</v>
      </c>
      <c r="G35" s="85">
        <f t="shared" si="0"/>
        <v>28825662.146325037</v>
      </c>
      <c r="H35" s="86"/>
      <c r="I35" s="86">
        <f t="shared" si="1"/>
        <v>1489800</v>
      </c>
      <c r="J35" s="86">
        <f t="shared" si="2"/>
        <v>274952.62941250275</v>
      </c>
      <c r="K35" s="111">
        <f t="shared" si="3"/>
        <v>1</v>
      </c>
    </row>
    <row r="36" spans="5:11" ht="20" customHeight="1" x14ac:dyDescent="0.2">
      <c r="E36" s="84">
        <v>30</v>
      </c>
      <c r="F36" s="85">
        <f t="shared" si="4"/>
        <v>155411561.14784357</v>
      </c>
      <c r="G36" s="85">
        <f t="shared" si="0"/>
        <v>27058727.256477088</v>
      </c>
      <c r="H36" s="86"/>
      <c r="I36" s="86">
        <f t="shared" si="1"/>
        <v>1489800</v>
      </c>
      <c r="J36" s="86">
        <f t="shared" si="2"/>
        <v>259389.27303066294</v>
      </c>
      <c r="K36" s="111">
        <f t="shared" si="3"/>
        <v>1</v>
      </c>
    </row>
    <row r="37" spans="5:11" ht="20" customHeight="1" x14ac:dyDescent="0.2">
      <c r="E37" s="84">
        <v>31</v>
      </c>
      <c r="F37" s="85">
        <f t="shared" si="4"/>
        <v>0</v>
      </c>
      <c r="G37" s="85">
        <f t="shared" si="0"/>
        <v>0</v>
      </c>
      <c r="H37" s="86"/>
      <c r="I37" s="86">
        <f t="shared" si="1"/>
        <v>0</v>
      </c>
      <c r="J37" s="86">
        <f t="shared" si="2"/>
        <v>0</v>
      </c>
      <c r="K37" s="111">
        <f t="shared" si="3"/>
        <v>0</v>
      </c>
    </row>
    <row r="38" spans="5:11" ht="20" customHeight="1" x14ac:dyDescent="0.2">
      <c r="E38" s="84">
        <v>32</v>
      </c>
      <c r="F38" s="85">
        <f t="shared" si="4"/>
        <v>0</v>
      </c>
      <c r="G38" s="85">
        <f t="shared" si="0"/>
        <v>0</v>
      </c>
      <c r="H38" s="86"/>
      <c r="I38" s="86">
        <f t="shared" si="1"/>
        <v>0</v>
      </c>
      <c r="J38" s="86">
        <f t="shared" si="2"/>
        <v>0</v>
      </c>
      <c r="K38" s="111">
        <f t="shared" si="3"/>
        <v>0</v>
      </c>
    </row>
    <row r="39" spans="5:11" ht="20" customHeight="1" x14ac:dyDescent="0.2">
      <c r="E39" s="84">
        <v>33</v>
      </c>
      <c r="F39" s="85">
        <f t="shared" si="4"/>
        <v>0</v>
      </c>
      <c r="G39" s="85">
        <f t="shared" si="0"/>
        <v>0</v>
      </c>
      <c r="H39" s="86"/>
      <c r="I39" s="86">
        <f t="shared" si="1"/>
        <v>0</v>
      </c>
      <c r="J39" s="86">
        <f t="shared" si="2"/>
        <v>0</v>
      </c>
      <c r="K39" s="111">
        <f t="shared" si="3"/>
        <v>0</v>
      </c>
    </row>
    <row r="40" spans="5:11" ht="20" customHeight="1" x14ac:dyDescent="0.2">
      <c r="E40" s="84">
        <v>34</v>
      </c>
      <c r="F40" s="85">
        <f t="shared" si="4"/>
        <v>0</v>
      </c>
      <c r="G40" s="85">
        <f t="shared" si="0"/>
        <v>0</v>
      </c>
      <c r="H40" s="86"/>
      <c r="I40" s="86">
        <f t="shared" si="1"/>
        <v>0</v>
      </c>
      <c r="J40" s="86">
        <f t="shared" si="2"/>
        <v>0</v>
      </c>
      <c r="K40" s="111">
        <f t="shared" si="3"/>
        <v>0</v>
      </c>
    </row>
    <row r="41" spans="5:11" ht="20" customHeight="1" thickBot="1" x14ac:dyDescent="0.25">
      <c r="E41" s="112">
        <v>35</v>
      </c>
      <c r="F41" s="113">
        <f t="shared" si="4"/>
        <v>0</v>
      </c>
      <c r="G41" s="113">
        <f t="shared" si="0"/>
        <v>0</v>
      </c>
      <c r="H41" s="114"/>
      <c r="I41" s="114">
        <f t="shared" si="1"/>
        <v>0</v>
      </c>
      <c r="J41" s="114">
        <f t="shared" si="2"/>
        <v>0</v>
      </c>
      <c r="K41" s="111">
        <f t="shared" si="3"/>
        <v>0</v>
      </c>
    </row>
    <row r="42" spans="5:11" ht="20" customHeight="1" thickBot="1" x14ac:dyDescent="0.25">
      <c r="E42" s="115" t="s">
        <v>100</v>
      </c>
      <c r="F42" s="116">
        <f>SUM(F7:F41)</f>
        <v>5016687770.4314003</v>
      </c>
      <c r="G42" s="116">
        <f>SUM(G7:G41)</f>
        <v>2349713211.9988217</v>
      </c>
      <c r="H42" s="117">
        <f>SUM(H6:H31)</f>
        <v>115204207.05882353</v>
      </c>
      <c r="I42" s="117">
        <f>SUM(I7:I41)</f>
        <v>44694000</v>
      </c>
      <c r="J42" s="117">
        <f>SUM(J6:J41)</f>
        <v>135711052.50831249</v>
      </c>
      <c r="K42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and Capex</vt:lpstr>
      <vt:lpstr>Utility LCOE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 Liu</dc:creator>
  <cp:lastModifiedBy>Zhe Liu</cp:lastModifiedBy>
  <dcterms:created xsi:type="dcterms:W3CDTF">2018-10-31T04:54:14Z</dcterms:created>
  <dcterms:modified xsi:type="dcterms:W3CDTF">2019-07-31T05:46:21Z</dcterms:modified>
</cp:coreProperties>
</file>