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189" documentId="11_8FF5038A3A60A79EB7DA29448AAF214D15EC4EC9" xr6:coauthVersionLast="41" xr6:coauthVersionMax="41" xr10:uidLastSave="{00DCA784-D389-449B-B550-4614D5889523}"/>
  <bookViews>
    <workbookView xWindow="-8160" yWindow="3948" windowWidth="17280" windowHeight="8964" xr2:uid="{00000000-000D-0000-FFFF-FFFF00000000}"/>
  </bookViews>
  <sheets>
    <sheet name="Average" sheetId="10" r:id="rId1"/>
    <sheet name="Molecular weight" sheetId="2" r:id="rId2"/>
    <sheet name="Control" sheetId="4" r:id="rId3"/>
    <sheet name="Control (2)" sheetId="13" r:id="rId4"/>
    <sheet name="F1-1" sheetId="1" r:id="rId5"/>
    <sheet name="F1-2" sheetId="6" r:id="rId6"/>
    <sheet name="F1-3" sheetId="7" r:id="rId7"/>
    <sheet name="F2-1" sheetId="5" r:id="rId8"/>
    <sheet name="F2-2" sheetId="11" r:id="rId9"/>
    <sheet name="F2-3" sheetId="12" r:id="rId10"/>
    <sheet name="F3-1" sheetId="8" r:id="rId11"/>
    <sheet name="F3-2" sheetId="9" r:id="rId12"/>
    <sheet name="F3-3" sheetId="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3" l="1"/>
  <c r="B27" i="3"/>
  <c r="B26" i="3" s="1"/>
  <c r="B29" i="9"/>
  <c r="B29" i="8"/>
  <c r="B29" i="12"/>
  <c r="B29" i="11"/>
  <c r="B29" i="5"/>
  <c r="B29" i="7"/>
  <c r="B27" i="7"/>
  <c r="B26" i="7" s="1"/>
  <c r="B29" i="6"/>
  <c r="B23" i="3"/>
  <c r="B23" i="9"/>
  <c r="B23" i="8"/>
  <c r="B23" i="12"/>
  <c r="B23" i="11"/>
  <c r="B23" i="5"/>
  <c r="B23" i="7"/>
  <c r="B23" i="6"/>
  <c r="B29" i="1"/>
  <c r="B23" i="1"/>
  <c r="B21" i="1" l="1"/>
  <c r="D14" i="10" l="1"/>
  <c r="D13" i="10"/>
  <c r="D12" i="10"/>
  <c r="D9" i="10"/>
  <c r="D8" i="10"/>
  <c r="D7" i="10"/>
  <c r="D4" i="10"/>
  <c r="D3" i="10"/>
  <c r="B30" i="10"/>
  <c r="B29" i="10"/>
  <c r="B28" i="10"/>
  <c r="B25" i="10"/>
  <c r="B24" i="10"/>
  <c r="B23" i="10"/>
  <c r="B20" i="10"/>
  <c r="B19" i="10"/>
  <c r="B18" i="10"/>
  <c r="B14" i="10"/>
  <c r="B13" i="10"/>
  <c r="B12" i="10"/>
  <c r="B9" i="10"/>
  <c r="B8" i="10"/>
  <c r="B7" i="10"/>
  <c r="B4" i="10"/>
  <c r="B3" i="10"/>
  <c r="B2" i="10"/>
  <c r="B26" i="12" l="1"/>
  <c r="B26" i="11"/>
  <c r="B26" i="5"/>
  <c r="B26" i="6"/>
  <c r="B20" i="12"/>
  <c r="B20" i="11"/>
  <c r="B20" i="5"/>
  <c r="B20" i="7"/>
  <c r="B20" i="6"/>
  <c r="B26" i="1"/>
  <c r="B20" i="1"/>
  <c r="D2" i="10" s="1"/>
  <c r="B20" i="3"/>
  <c r="B20" i="9"/>
  <c r="B20" i="8"/>
  <c r="B26" i="9"/>
  <c r="B26" i="8"/>
  <c r="B27" i="9"/>
  <c r="B27" i="8"/>
  <c r="B27" i="12"/>
  <c r="B27" i="11"/>
  <c r="B27" i="5"/>
  <c r="B27" i="6"/>
  <c r="B21" i="3"/>
  <c r="B21" i="9"/>
  <c r="B21" i="8"/>
  <c r="B21" i="12"/>
  <c r="B21" i="11"/>
  <c r="B21" i="5"/>
  <c r="B21" i="7"/>
  <c r="B21" i="6"/>
  <c r="B27" i="1"/>
  <c r="B7" i="13" l="1"/>
  <c r="B6" i="13"/>
  <c r="B3" i="13"/>
  <c r="C12" i="10" l="1"/>
  <c r="B18" i="8"/>
  <c r="C28" i="10" l="1"/>
  <c r="D6" i="2" l="1"/>
  <c r="B30" i="3" l="1"/>
  <c r="B30" i="9"/>
  <c r="B30" i="8"/>
  <c r="B30" i="12"/>
  <c r="B30" i="11"/>
  <c r="B30" i="5"/>
  <c r="B30" i="7"/>
  <c r="B30" i="6"/>
  <c r="B24" i="3"/>
  <c r="B24" i="9"/>
  <c r="B24" i="8"/>
  <c r="B24" i="12"/>
  <c r="B24" i="11"/>
  <c r="B24" i="5"/>
  <c r="B24" i="7"/>
  <c r="B24" i="6"/>
  <c r="B30" i="1"/>
  <c r="B24" i="1"/>
  <c r="C10" i="12"/>
  <c r="B10" i="12"/>
  <c r="C7" i="12"/>
  <c r="B7" i="12"/>
  <c r="C10" i="11"/>
  <c r="B10" i="11"/>
  <c r="B7" i="11"/>
  <c r="C7" i="11"/>
  <c r="C14" i="12"/>
  <c r="B14" i="12"/>
  <c r="D25" i="10" s="1"/>
  <c r="D13" i="12"/>
  <c r="D6" i="12"/>
  <c r="D5" i="12"/>
  <c r="C14" i="11"/>
  <c r="B14" i="11"/>
  <c r="D24" i="10" s="1"/>
  <c r="D13" i="11"/>
  <c r="D6" i="11"/>
  <c r="D5" i="11"/>
  <c r="C10" i="9"/>
  <c r="C12" i="9" s="1"/>
  <c r="B10" i="9"/>
  <c r="B12" i="9" s="1"/>
  <c r="B18" i="9"/>
  <c r="C14" i="9"/>
  <c r="B14" i="9"/>
  <c r="D13" i="9"/>
  <c r="D6" i="9"/>
  <c r="C10" i="8"/>
  <c r="C12" i="8" s="1"/>
  <c r="B10" i="8"/>
  <c r="C14" i="8"/>
  <c r="B14" i="8"/>
  <c r="D13" i="8"/>
  <c r="B12" i="8"/>
  <c r="D6" i="8"/>
  <c r="C10" i="7"/>
  <c r="B10" i="7"/>
  <c r="C7" i="7"/>
  <c r="B7" i="7"/>
  <c r="C14" i="7"/>
  <c r="B14" i="7"/>
  <c r="D20" i="10" s="1"/>
  <c r="D13" i="7"/>
  <c r="D6" i="7"/>
  <c r="D5" i="7"/>
  <c r="C10" i="6"/>
  <c r="B10" i="6"/>
  <c r="B7" i="6"/>
  <c r="C7" i="6"/>
  <c r="C14" i="6"/>
  <c r="B14" i="6"/>
  <c r="D19" i="10" s="1"/>
  <c r="D13" i="6"/>
  <c r="D6" i="6"/>
  <c r="D5" i="6"/>
  <c r="C10" i="5"/>
  <c r="B10" i="5"/>
  <c r="C7" i="5"/>
  <c r="C12" i="5" s="1"/>
  <c r="B7" i="5"/>
  <c r="C14" i="5"/>
  <c r="B14" i="5"/>
  <c r="D23" i="10" s="1"/>
  <c r="D13" i="5"/>
  <c r="D6" i="5"/>
  <c r="D5" i="5"/>
  <c r="B18" i="11" l="1"/>
  <c r="C12" i="6"/>
  <c r="D28" i="10"/>
  <c r="C29" i="10"/>
  <c r="C13" i="10"/>
  <c r="B18" i="5"/>
  <c r="B18" i="6"/>
  <c r="B18" i="7"/>
  <c r="B18" i="12"/>
  <c r="D29" i="10"/>
  <c r="D10" i="12"/>
  <c r="D26" i="10"/>
  <c r="D27" i="10"/>
  <c r="D10" i="6"/>
  <c r="B12" i="7"/>
  <c r="B12" i="5"/>
  <c r="C12" i="12"/>
  <c r="B12" i="12"/>
  <c r="D7" i="11"/>
  <c r="B12" i="11"/>
  <c r="C12" i="11"/>
  <c r="D7" i="12"/>
  <c r="D10" i="11"/>
  <c r="D10" i="9"/>
  <c r="D10" i="8"/>
  <c r="D10" i="7"/>
  <c r="D7" i="7"/>
  <c r="C12" i="7"/>
  <c r="B12" i="6"/>
  <c r="D7" i="6"/>
  <c r="D10" i="5"/>
  <c r="D7" i="5"/>
  <c r="B6" i="4"/>
  <c r="B3" i="4"/>
  <c r="C10" i="3"/>
  <c r="C12" i="3" s="1"/>
  <c r="B10" i="3"/>
  <c r="C14" i="3"/>
  <c r="B14" i="3"/>
  <c r="D13" i="3"/>
  <c r="D6" i="3"/>
  <c r="B6" i="2"/>
  <c r="D7" i="2" s="1"/>
  <c r="C7" i="1"/>
  <c r="B7" i="1"/>
  <c r="C14" i="1"/>
  <c r="B14" i="1"/>
  <c r="D13" i="1"/>
  <c r="C10" i="1"/>
  <c r="B10" i="1"/>
  <c r="D6" i="1"/>
  <c r="D5" i="1"/>
  <c r="C3" i="10" l="1"/>
  <c r="C19" i="10"/>
  <c r="G19" i="10" s="1"/>
  <c r="G28" i="10"/>
  <c r="C25" i="10"/>
  <c r="G25" i="10" s="1"/>
  <c r="C9" i="10"/>
  <c r="D30" i="10"/>
  <c r="D31" i="10" s="1"/>
  <c r="D18" i="10"/>
  <c r="C7" i="10"/>
  <c r="C23" i="10"/>
  <c r="D18" i="7"/>
  <c r="C4" i="10"/>
  <c r="C20" i="10"/>
  <c r="G20" i="10" s="1"/>
  <c r="B18" i="1"/>
  <c r="C8" i="10"/>
  <c r="C24" i="10"/>
  <c r="G24" i="10" s="1"/>
  <c r="G29" i="10"/>
  <c r="C12" i="1"/>
  <c r="D7" i="1"/>
  <c r="D10" i="1"/>
  <c r="D10" i="3"/>
  <c r="B12" i="3"/>
  <c r="B12" i="1"/>
  <c r="B18" i="3"/>
  <c r="D32" i="10" l="1"/>
  <c r="C30" i="10"/>
  <c r="C14" i="10"/>
  <c r="D22" i="10"/>
  <c r="D21" i="10"/>
  <c r="G13" i="10"/>
  <c r="C27" i="10"/>
  <c r="C26" i="10"/>
  <c r="G23" i="10"/>
  <c r="B10" i="10"/>
  <c r="C11" i="10"/>
  <c r="C10" i="10"/>
  <c r="G30" i="10"/>
  <c r="G32" i="10" s="1"/>
  <c r="C18" i="10"/>
  <c r="C2" i="10"/>
  <c r="B26" i="10"/>
  <c r="B27" i="10"/>
  <c r="G31" i="10" l="1"/>
  <c r="B11" i="10"/>
  <c r="C21" i="10"/>
  <c r="C22" i="10"/>
  <c r="G9" i="10"/>
  <c r="G3" i="10"/>
  <c r="G8" i="10"/>
  <c r="C16" i="10"/>
  <c r="C15" i="10"/>
  <c r="G7" i="10"/>
  <c r="G12" i="10"/>
  <c r="C31" i="10"/>
  <c r="C32" i="10"/>
  <c r="G4" i="10"/>
  <c r="G18" i="10"/>
  <c r="C6" i="10"/>
  <c r="C5" i="10"/>
  <c r="G27" i="10"/>
  <c r="G26" i="10"/>
  <c r="B21" i="10"/>
  <c r="B22" i="10"/>
  <c r="B5" i="10"/>
  <c r="B6" i="10"/>
  <c r="B15" i="10"/>
  <c r="B16" i="10"/>
  <c r="B32" i="10"/>
  <c r="B31" i="10"/>
  <c r="G22" i="10" l="1"/>
  <c r="G21" i="10"/>
  <c r="G2" i="10"/>
  <c r="D6" i="10"/>
  <c r="D5" i="10"/>
  <c r="D11" i="10"/>
  <c r="D10" i="10"/>
  <c r="G10" i="10"/>
  <c r="G11" i="10"/>
  <c r="G6" i="10" l="1"/>
  <c r="G5" i="10"/>
  <c r="G14" i="10"/>
  <c r="D15" i="10"/>
  <c r="D16" i="10"/>
  <c r="G16" i="10" l="1"/>
  <c r="G15" i="10"/>
</calcChain>
</file>

<file path=xl/sharedStrings.xml><?xml version="1.0" encoding="utf-8"?>
<sst xmlns="http://schemas.openxmlformats.org/spreadsheetml/2006/main" count="435" uniqueCount="61">
  <si>
    <t>Peak angle minimum of sensor</t>
  </si>
  <si>
    <t>Bulk refractive index (buffer)</t>
  </si>
  <si>
    <t>(dndC)</t>
  </si>
  <si>
    <t>Liposome thickness</t>
  </si>
  <si>
    <t>Liposome RI</t>
  </si>
  <si>
    <t>Liposome Response</t>
  </si>
  <si>
    <t>(ratio)</t>
  </si>
  <si>
    <t>Lipsome thickness from ratio</t>
  </si>
  <si>
    <t>Plasma Response</t>
  </si>
  <si>
    <t>Plasma Response TIR corrected</t>
  </si>
  <si>
    <t>Δ Plasma Response</t>
  </si>
  <si>
    <t>After Response</t>
  </si>
  <si>
    <t>Δ After Response</t>
  </si>
  <si>
    <t>Plasma thickness from ratio</t>
  </si>
  <si>
    <t>Liposome intensity corrected</t>
  </si>
  <si>
    <t>After thickness from ratio</t>
  </si>
  <si>
    <t>Mass of liposomes</t>
  </si>
  <si>
    <t>S1</t>
  </si>
  <si>
    <t>d1</t>
  </si>
  <si>
    <t>Mass of protein</t>
  </si>
  <si>
    <t>nm</t>
  </si>
  <si>
    <t>ng/cm2</t>
  </si>
  <si>
    <t>DPPC</t>
  </si>
  <si>
    <t>DSPC</t>
  </si>
  <si>
    <t>Lyso-PC</t>
  </si>
  <si>
    <t>DSPE-PEG</t>
  </si>
  <si>
    <t>Ratio of protein per lipid</t>
  </si>
  <si>
    <t>Molecular mass of protein</t>
  </si>
  <si>
    <t>kDa</t>
  </si>
  <si>
    <t>Radius of protein</t>
  </si>
  <si>
    <t>SC</t>
  </si>
  <si>
    <t>HC</t>
  </si>
  <si>
    <t>Effective thickness</t>
  </si>
  <si>
    <t>S2</t>
  </si>
  <si>
    <t>d2</t>
  </si>
  <si>
    <t>Protein dndC</t>
  </si>
  <si>
    <t>Protein density</t>
  </si>
  <si>
    <t>Protein RI</t>
  </si>
  <si>
    <t>Thickness</t>
  </si>
  <si>
    <t>Mass</t>
  </si>
  <si>
    <t>Response</t>
  </si>
  <si>
    <t>Response of full coverage</t>
  </si>
  <si>
    <t>Mass of full coverage</t>
  </si>
  <si>
    <t>F1-2</t>
  </si>
  <si>
    <t>F1-1</t>
  </si>
  <si>
    <t>F1-3</t>
  </si>
  <si>
    <t>F2-1</t>
  </si>
  <si>
    <t>F2-2</t>
  </si>
  <si>
    <t>F2-3</t>
  </si>
  <si>
    <t>F3-1</t>
  </si>
  <si>
    <t>F3-2</t>
  </si>
  <si>
    <t>F3-3</t>
  </si>
  <si>
    <t>1,2-dioctadecanoyl-sn-glycero-3-phosphocholine</t>
  </si>
  <si>
    <t>α</t>
  </si>
  <si>
    <t>d (lipid)</t>
  </si>
  <si>
    <t>lp (nm)</t>
  </si>
  <si>
    <t>Γ_lipid</t>
  </si>
  <si>
    <t>Γ_protein</t>
  </si>
  <si>
    <t>M</t>
  </si>
  <si>
    <t>protein/lipid (%)</t>
  </si>
  <si>
    <t>Mass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</si>
</sst>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6" formatCode="0.00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4" fontId="0" fillId="0" borderId="0" xfId="0" applyNumberFormat="1"/>
    <xf numFmtId="0" fontId="1" fillId="0" borderId="0" xfId="0" applyFont="1"/>
    <xf numFmtId="164" fontId="0" fillId="0" borderId="0" xfId="0" applyNumberFormat="1" applyFont="1"/>
    <xf numFmtId="0" fontId="0" fillId="0" borderId="0" xfId="0" applyFont="1"/>
    <xf numFmtId="166" fontId="0" fillId="0" borderId="0" xfId="0" applyNumberFormat="1" applyFont="1"/>
    <xf numFmtId="166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5" workbookViewId="0">
      <selection activeCell="K25" sqref="K25"/>
    </sheetView>
  </sheetViews>
  <sheetFormatPr defaultRowHeight="14.4" x14ac:dyDescent="0.3"/>
  <sheetData>
    <row r="1" spans="1:7" x14ac:dyDescent="0.3">
      <c r="A1" s="1" t="s">
        <v>30</v>
      </c>
      <c r="B1" t="s">
        <v>55</v>
      </c>
      <c r="C1" s="2" t="s">
        <v>56</v>
      </c>
      <c r="D1" s="2" t="s">
        <v>57</v>
      </c>
      <c r="F1" t="s">
        <v>58</v>
      </c>
      <c r="G1" t="s">
        <v>59</v>
      </c>
    </row>
    <row r="2" spans="1:7" x14ac:dyDescent="0.3">
      <c r="A2" t="s">
        <v>44</v>
      </c>
      <c r="B2">
        <f>'F1-1'!B21</f>
        <v>2.7949159554629248</v>
      </c>
      <c r="C2">
        <f>'F1-1'!B18</f>
        <v>1905.9950633339326</v>
      </c>
      <c r="D2">
        <f>'F1-1'!B20</f>
        <v>790.43002122784617</v>
      </c>
      <c r="F2">
        <v>65.564999999999998</v>
      </c>
      <c r="G2">
        <f>100*((D2/C2)*(0.8/F2))</f>
        <v>0.50601055591552913</v>
      </c>
    </row>
    <row r="3" spans="1:7" x14ac:dyDescent="0.3">
      <c r="A3" t="s">
        <v>43</v>
      </c>
      <c r="B3">
        <f>'F1-2'!B21</f>
        <v>3.6732773330994681</v>
      </c>
      <c r="C3">
        <f>'F1-2'!B18</f>
        <v>1668.1460067988021</v>
      </c>
      <c r="D3">
        <f>'F1-2'!B20</f>
        <v>920.09770831450021</v>
      </c>
      <c r="F3">
        <v>63.776000000000003</v>
      </c>
      <c r="G3">
        <f t="shared" ref="G3:G30" si="0">100*((D3/C3)*(0.8/F3))</f>
        <v>0.6918829027218647</v>
      </c>
    </row>
    <row r="4" spans="1:7" x14ac:dyDescent="0.3">
      <c r="A4" t="s">
        <v>45</v>
      </c>
      <c r="B4">
        <f>'F1-3'!B21</f>
        <v>5.6658781683437276</v>
      </c>
      <c r="C4">
        <f>'F1-3'!B18</f>
        <v>1098.7881335232664</v>
      </c>
      <c r="D4">
        <f>'F1-3'!B20</f>
        <v>979.14222723531998</v>
      </c>
      <c r="F4">
        <v>65.046999999999997</v>
      </c>
      <c r="G4">
        <f t="shared" si="0"/>
        <v>1.0959595758833196</v>
      </c>
    </row>
    <row r="5" spans="1:7" x14ac:dyDescent="0.3">
      <c r="B5" s="1">
        <f>AVERAGE(B2:B4)</f>
        <v>4.0446904856353738</v>
      </c>
      <c r="C5" s="1">
        <f t="shared" ref="C5:D5" si="1">AVERAGE(C2:C4)</f>
        <v>1557.6430678853339</v>
      </c>
      <c r="D5" s="1">
        <f t="shared" si="1"/>
        <v>896.55665225922212</v>
      </c>
      <c r="E5" s="1"/>
      <c r="G5" s="1">
        <f t="shared" ref="G5" si="2">AVERAGE(G2:G4)</f>
        <v>0.76461767817357129</v>
      </c>
    </row>
    <row r="6" spans="1:7" x14ac:dyDescent="0.3">
      <c r="B6" s="1">
        <f>_xlfn.STDEV.S(B2:B4)/SQRT(3)</f>
        <v>0.84932655760409237</v>
      </c>
      <c r="C6" s="1">
        <f t="shared" ref="C6:D6" si="3">_xlfn.STDEV.S(C2:C4)/SQRT(3)</f>
        <v>239.48133644397336</v>
      </c>
      <c r="D6" s="1">
        <f t="shared" si="3"/>
        <v>55.733622898570296</v>
      </c>
      <c r="E6" s="1"/>
      <c r="G6" s="1">
        <f t="shared" ref="G6" si="4">_xlfn.STDEV.S(G2:G4)/SQRT(3)</f>
        <v>0.17414335302679668</v>
      </c>
    </row>
    <row r="7" spans="1:7" x14ac:dyDescent="0.3">
      <c r="A7" t="s">
        <v>46</v>
      </c>
      <c r="B7">
        <f>'F2-1'!B21</f>
        <v>9.6769827661708003</v>
      </c>
      <c r="C7">
        <f>'F2-1'!B18</f>
        <v>386.78052351847339</v>
      </c>
      <c r="D7">
        <f>'F2-1'!B20</f>
        <v>753.19364005757325</v>
      </c>
      <c r="F7">
        <v>64.963999999999999</v>
      </c>
      <c r="G7">
        <f t="shared" si="0"/>
        <v>2.3980557568915284</v>
      </c>
    </row>
    <row r="8" spans="1:7" x14ac:dyDescent="0.3">
      <c r="A8" t="s">
        <v>47</v>
      </c>
      <c r="B8">
        <f>'F2-2'!B21</f>
        <v>12.838741887329482</v>
      </c>
      <c r="C8">
        <f>'F2-2'!B18</f>
        <v>295.28965861904248</v>
      </c>
      <c r="D8">
        <f>'F2-2'!B20</f>
        <v>906.47924455220721</v>
      </c>
      <c r="F8">
        <v>65.971999999999994</v>
      </c>
      <c r="G8">
        <f t="shared" si="0"/>
        <v>3.7225450610473318</v>
      </c>
    </row>
    <row r="9" spans="1:7" x14ac:dyDescent="0.3">
      <c r="A9" t="s">
        <v>48</v>
      </c>
      <c r="B9">
        <f>'F2-3'!B21</f>
        <v>8.1472630200531206</v>
      </c>
      <c r="C9">
        <f>'F2-3'!B18</f>
        <v>343.58254767785456</v>
      </c>
      <c r="D9">
        <f>'F2-3'!B20</f>
        <v>533.82067423416061</v>
      </c>
      <c r="F9">
        <v>65.394999999999996</v>
      </c>
      <c r="G9">
        <f t="shared" si="0"/>
        <v>1.9006832028549938</v>
      </c>
    </row>
    <row r="10" spans="1:7" x14ac:dyDescent="0.3">
      <c r="B10" s="1">
        <f>AVERAGE(B7:B9)</f>
        <v>10.220995891184467</v>
      </c>
      <c r="C10" s="1">
        <f t="shared" ref="C10:D10" si="5">AVERAGE(C7:C9)</f>
        <v>341.88424327179018</v>
      </c>
      <c r="D10" s="1">
        <f t="shared" si="5"/>
        <v>731.16451961464702</v>
      </c>
      <c r="E10" s="1"/>
      <c r="G10" s="1">
        <f t="shared" ref="G10" si="6">AVERAGE(G7:G9)</f>
        <v>2.6737613402646176</v>
      </c>
    </row>
    <row r="11" spans="1:7" x14ac:dyDescent="0.3">
      <c r="B11" s="1">
        <f>_xlfn.STDEV.S(B7:B9)/SQRT(3)</f>
        <v>1.3813587755860222</v>
      </c>
      <c r="C11" s="1">
        <f t="shared" ref="C11:D11" si="7">_xlfn.STDEV.S(C7:C9)/SQRT(3)</f>
        <v>26.424784883408066</v>
      </c>
      <c r="D11" s="1">
        <f t="shared" si="7"/>
        <v>108.13966912977136</v>
      </c>
      <c r="E11" s="1"/>
      <c r="G11" s="1">
        <f t="shared" ref="G11" si="8">_xlfn.STDEV.S(G7:G9)/SQRT(3)</f>
        <v>0.54369272391407908</v>
      </c>
    </row>
    <row r="12" spans="1:7" x14ac:dyDescent="0.3">
      <c r="A12" t="s">
        <v>49</v>
      </c>
      <c r="B12">
        <f>'F3-1'!B21</f>
        <v>18.541897255239917</v>
      </c>
      <c r="C12">
        <f>'F3-1'!B18</f>
        <v>159.7807365743563</v>
      </c>
      <c r="D12">
        <f>'F3-1'!B20</f>
        <v>842.43708314799881</v>
      </c>
      <c r="F12">
        <v>66.394000000000005</v>
      </c>
      <c r="G12">
        <f t="shared" si="0"/>
        <v>6.3529320432494183</v>
      </c>
    </row>
    <row r="13" spans="1:7" x14ac:dyDescent="0.3">
      <c r="A13" t="s">
        <v>50</v>
      </c>
      <c r="B13">
        <f>'F3-2'!B21</f>
        <v>16.163856744598935</v>
      </c>
      <c r="C13">
        <f>'F3-2'!B18</f>
        <v>223.18657464493438</v>
      </c>
      <c r="D13">
        <f>'F3-2'!B20</f>
        <v>841.82016445386716</v>
      </c>
      <c r="F13">
        <v>65.733000000000004</v>
      </c>
      <c r="G13">
        <f t="shared" si="0"/>
        <v>4.5904767369777604</v>
      </c>
    </row>
    <row r="14" spans="1:7" x14ac:dyDescent="0.3">
      <c r="A14" t="s">
        <v>51</v>
      </c>
      <c r="B14">
        <f>'F3-3'!B21</f>
        <v>19.763974565622917</v>
      </c>
      <c r="C14">
        <f>'F3-3'!B18</f>
        <v>216.94614230659539</v>
      </c>
      <c r="D14">
        <f>'F3-3'!B20</f>
        <v>845.86866607679895</v>
      </c>
      <c r="F14">
        <v>66.584000000000003</v>
      </c>
      <c r="G14">
        <f t="shared" si="0"/>
        <v>4.6845848639147913</v>
      </c>
    </row>
    <row r="15" spans="1:7" x14ac:dyDescent="0.3">
      <c r="B15" s="1">
        <f>AVERAGE(B12:B14)</f>
        <v>18.156576188487254</v>
      </c>
      <c r="C15" s="1">
        <f t="shared" ref="C15:D15" si="9">AVERAGE(C12:C14)</f>
        <v>199.97115117529538</v>
      </c>
      <c r="D15" s="1">
        <f t="shared" si="9"/>
        <v>843.37530455955493</v>
      </c>
      <c r="E15" s="1"/>
      <c r="G15" s="1">
        <f t="shared" ref="G15" si="10">AVERAGE(G12:G14)</f>
        <v>5.2093312147139903</v>
      </c>
    </row>
    <row r="16" spans="1:7" x14ac:dyDescent="0.3">
      <c r="B16" s="1">
        <f>_xlfn.STDEV.S(B12:B14)/SQRT(3)</f>
        <v>1.056971510917895</v>
      </c>
      <c r="C16" s="1">
        <f t="shared" ref="C16:D16" si="11">_xlfn.STDEV.S(C12:C14)/SQRT(3)</f>
        <v>20.175792576657045</v>
      </c>
      <c r="D16" s="1">
        <f t="shared" si="11"/>
        <v>1.2593365860043333</v>
      </c>
      <c r="E16" s="1"/>
      <c r="G16" s="1">
        <f t="shared" ref="G16" si="12">_xlfn.STDEV.S(G12:G14)/SQRT(3)</f>
        <v>0.57244540530345012</v>
      </c>
    </row>
    <row r="17" spans="1:7" x14ac:dyDescent="0.3">
      <c r="A17" s="1" t="s">
        <v>31</v>
      </c>
    </row>
    <row r="18" spans="1:7" x14ac:dyDescent="0.3">
      <c r="A18" t="s">
        <v>44</v>
      </c>
      <c r="B18">
        <f>'F1-1'!B27</f>
        <v>0.33885737788710157</v>
      </c>
      <c r="C18">
        <f>'F1-1'!B18</f>
        <v>1905.9950633339326</v>
      </c>
      <c r="D18">
        <f>'F1-1'!B26</f>
        <v>90.392114765714624</v>
      </c>
      <c r="F18">
        <v>72.522000000000006</v>
      </c>
      <c r="G18">
        <f t="shared" si="0"/>
        <v>5.2315332521669214E-2</v>
      </c>
    </row>
    <row r="19" spans="1:7" x14ac:dyDescent="0.3">
      <c r="A19" t="s">
        <v>43</v>
      </c>
      <c r="B19">
        <f>'F1-2'!B27</f>
        <v>0.48615818859650706</v>
      </c>
      <c r="C19">
        <f>'F1-2'!B18</f>
        <v>1668.1460067988021</v>
      </c>
      <c r="D19">
        <f>'F1-2'!B26</f>
        <v>113.75705253886011</v>
      </c>
      <c r="F19">
        <v>78.521000000000001</v>
      </c>
      <c r="G19">
        <f t="shared" si="0"/>
        <v>6.9478180374455412E-2</v>
      </c>
    </row>
    <row r="20" spans="1:7" x14ac:dyDescent="0.3">
      <c r="A20" t="s">
        <v>45</v>
      </c>
      <c r="B20">
        <f>'F1-3'!B27</f>
        <v>1.9805023802593147</v>
      </c>
      <c r="C20">
        <f>'F1-3'!B18</f>
        <v>1098.7881335232664</v>
      </c>
      <c r="D20">
        <f>'F1-3'!B26</f>
        <v>315.2552113253933</v>
      </c>
      <c r="F20">
        <v>77.917000000000002</v>
      </c>
      <c r="G20">
        <f t="shared" si="0"/>
        <v>0.2945819129591451</v>
      </c>
    </row>
    <row r="21" spans="1:7" x14ac:dyDescent="0.3">
      <c r="B21" s="1">
        <f>AVERAGE(B18:B20)</f>
        <v>0.93517264891430774</v>
      </c>
      <c r="C21" s="1">
        <f t="shared" ref="C21:D21" si="13">AVERAGE(C18:C20)</f>
        <v>1557.6430678853339</v>
      </c>
      <c r="D21" s="1">
        <f t="shared" si="13"/>
        <v>173.13479287665601</v>
      </c>
      <c r="G21" s="1">
        <f t="shared" ref="G21" si="14">AVERAGE(G18:G20)</f>
        <v>0.13879180861842325</v>
      </c>
    </row>
    <row r="22" spans="1:7" x14ac:dyDescent="0.3">
      <c r="B22" s="1">
        <f>_xlfn.STDEV.S(B18:B20)/SQRT(3)</f>
        <v>0.52439173259255989</v>
      </c>
      <c r="C22" s="1">
        <f t="shared" ref="C22:D22" si="15">_xlfn.STDEV.S(C18:C20)/SQRT(3)</f>
        <v>239.48133644397336</v>
      </c>
      <c r="D22" s="1">
        <f t="shared" si="15"/>
        <v>71.379595787402423</v>
      </c>
      <c r="G22" s="1">
        <f t="shared" ref="G22" si="16">_xlfn.STDEV.S(G18:G20)/SQRT(3)</f>
        <v>7.8052457348619569E-2</v>
      </c>
    </row>
    <row r="23" spans="1:7" x14ac:dyDescent="0.3">
      <c r="A23" t="s">
        <v>46</v>
      </c>
      <c r="B23">
        <f>'F2-1'!B27</f>
        <v>3.2995195507796495</v>
      </c>
      <c r="C23">
        <f>'F2-1'!B18</f>
        <v>386.78052351847339</v>
      </c>
      <c r="D23">
        <f>'F2-1'!B26</f>
        <v>198.74449410304825</v>
      </c>
      <c r="F23">
        <v>74.212000000000003</v>
      </c>
      <c r="G23">
        <f t="shared" si="0"/>
        <v>0.55391912511977248</v>
      </c>
    </row>
    <row r="24" spans="1:7" x14ac:dyDescent="0.3">
      <c r="A24" t="s">
        <v>47</v>
      </c>
      <c r="B24">
        <f>'F2-2'!B27</f>
        <v>3.1767861306997545</v>
      </c>
      <c r="C24">
        <f>'F2-2'!B18</f>
        <v>295.28965861904248</v>
      </c>
      <c r="D24">
        <f>'F2-2'!B26</f>
        <v>145.98767380347167</v>
      </c>
      <c r="F24">
        <v>82.656000000000006</v>
      </c>
      <c r="G24">
        <f t="shared" si="0"/>
        <v>0.4785017751276408</v>
      </c>
    </row>
    <row r="25" spans="1:7" x14ac:dyDescent="0.3">
      <c r="A25" t="s">
        <v>48</v>
      </c>
      <c r="B25">
        <f>'F2-3'!B27</f>
        <v>3.0435057351186967</v>
      </c>
      <c r="C25">
        <f>'F2-3'!B18</f>
        <v>343.58254767785456</v>
      </c>
      <c r="D25">
        <f>'F2-3'!B26</f>
        <v>161.98706891193177</v>
      </c>
      <c r="F25">
        <v>78.344999999999999</v>
      </c>
      <c r="G25">
        <f t="shared" si="0"/>
        <v>0.4814242400637711</v>
      </c>
    </row>
    <row r="26" spans="1:7" x14ac:dyDescent="0.3">
      <c r="B26" s="1">
        <f>AVERAGE(B23:B25)</f>
        <v>3.1732704721993668</v>
      </c>
      <c r="C26" s="1">
        <f t="shared" ref="C26:D26" si="17">AVERAGE(C23:C25)</f>
        <v>341.88424327179018</v>
      </c>
      <c r="D26" s="1">
        <f t="shared" si="17"/>
        <v>168.90641227281722</v>
      </c>
      <c r="G26" s="1">
        <f t="shared" ref="G26" si="18">AVERAGE(G23:G25)</f>
        <v>0.50461504677039482</v>
      </c>
    </row>
    <row r="27" spans="1:7" x14ac:dyDescent="0.3">
      <c r="B27" s="1">
        <f>_xlfn.STDEV.S(B23:B25)/SQRT(3)</f>
        <v>7.3925724758793304E-2</v>
      </c>
      <c r="C27" s="1">
        <f t="shared" ref="C27:D27" si="19">_xlfn.STDEV.S(C23:C25)/SQRT(3)</f>
        <v>26.424784883408066</v>
      </c>
      <c r="D27" s="1">
        <f t="shared" si="19"/>
        <v>15.617602317468837</v>
      </c>
      <c r="G27" s="1">
        <f t="shared" ref="G27" si="20">_xlfn.STDEV.S(G23:G25)/SQRT(3)</f>
        <v>2.4666470540235439E-2</v>
      </c>
    </row>
    <row r="28" spans="1:7" x14ac:dyDescent="0.3">
      <c r="A28" t="s">
        <v>49</v>
      </c>
      <c r="B28">
        <f>'F3-1'!B27</f>
        <v>7.6912505740771859</v>
      </c>
      <c r="C28">
        <f>'F3-1'!B18</f>
        <v>159.7807365743563</v>
      </c>
      <c r="D28">
        <f>'F3-1'!B26</f>
        <v>219.1119763179943</v>
      </c>
      <c r="F28">
        <v>76.998000000000005</v>
      </c>
      <c r="G28">
        <f t="shared" si="0"/>
        <v>1.4247945312719807</v>
      </c>
    </row>
    <row r="29" spans="1:7" x14ac:dyDescent="0.3">
      <c r="A29" t="s">
        <v>50</v>
      </c>
      <c r="B29">
        <f>'F3-2'!B27</f>
        <v>2.7603348278425508</v>
      </c>
      <c r="C29">
        <f>'F3-2'!B18</f>
        <v>223.18657464493438</v>
      </c>
      <c r="D29">
        <f>'F3-2'!B26</f>
        <v>92.256296540992594</v>
      </c>
      <c r="F29">
        <v>75.152000000000001</v>
      </c>
      <c r="G29">
        <f t="shared" si="0"/>
        <v>0.44002504286361505</v>
      </c>
    </row>
    <row r="30" spans="1:7" x14ac:dyDescent="0.3">
      <c r="A30" t="s">
        <v>51</v>
      </c>
      <c r="B30">
        <f>'F3-3'!B27</f>
        <v>2.5727958293019055</v>
      </c>
      <c r="C30">
        <f>'F3-3'!B18</f>
        <v>216.94614230659539</v>
      </c>
      <c r="D30">
        <f>'F3-3'!B26</f>
        <v>80.806475257826094</v>
      </c>
      <c r="F30">
        <v>74.947000000000003</v>
      </c>
      <c r="G30">
        <f t="shared" si="0"/>
        <v>0.39758497611538041</v>
      </c>
    </row>
    <row r="31" spans="1:7" x14ac:dyDescent="0.3">
      <c r="B31" s="1">
        <f>AVERAGE(B28:B30)</f>
        <v>4.3414604104072145</v>
      </c>
      <c r="C31" s="1">
        <f t="shared" ref="C31:D31" si="21">AVERAGE(C28:C30)</f>
        <v>199.97115117529538</v>
      </c>
      <c r="D31" s="1">
        <f t="shared" si="21"/>
        <v>130.72491603893766</v>
      </c>
      <c r="G31" s="1">
        <f t="shared" ref="G31" si="22">AVERAGE(G28:G30)</f>
        <v>0.75413485008365866</v>
      </c>
    </row>
    <row r="32" spans="1:7" x14ac:dyDescent="0.3">
      <c r="B32" s="1">
        <f>_xlfn.STDEV.S(B28:B30)/SQRT(3)</f>
        <v>1.675769805637445</v>
      </c>
      <c r="C32" s="1">
        <f t="shared" ref="C32:D32" si="23">_xlfn.STDEV.S(C28:C30)/SQRT(3)</f>
        <v>20.175792576657045</v>
      </c>
      <c r="D32" s="1">
        <f t="shared" si="23"/>
        <v>44.316960336626231</v>
      </c>
      <c r="G32" s="1">
        <f t="shared" ref="G32" si="24">_xlfn.STDEV.S(G28:G30)/SQRT(3)</f>
        <v>0.33555357038537342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0"/>
  <sheetViews>
    <sheetView zoomScale="85" zoomScaleNormal="85" workbookViewId="0">
      <selection activeCell="B29" sqref="B29"/>
    </sheetView>
  </sheetViews>
  <sheetFormatPr defaultRowHeight="14.4" x14ac:dyDescent="0.3"/>
  <cols>
    <col min="1" max="1" width="30.33203125" customWidth="1"/>
    <col min="2" max="2" width="10.109375" customWidth="1"/>
    <col min="3" max="3" width="10" customWidth="1"/>
  </cols>
  <sheetData>
    <row r="1" spans="1:8" x14ac:dyDescent="0.3">
      <c r="B1">
        <v>1</v>
      </c>
      <c r="C1">
        <v>2</v>
      </c>
      <c r="G1" t="s">
        <v>17</v>
      </c>
      <c r="H1">
        <v>134.6</v>
      </c>
    </row>
    <row r="2" spans="1:8" x14ac:dyDescent="0.3">
      <c r="A2" t="s">
        <v>0</v>
      </c>
      <c r="B2">
        <v>70.290000000000006</v>
      </c>
      <c r="C2">
        <v>66.56</v>
      </c>
      <c r="G2" t="s">
        <v>18</v>
      </c>
      <c r="H2">
        <v>110.67</v>
      </c>
    </row>
    <row r="3" spans="1:8" x14ac:dyDescent="0.3">
      <c r="A3" t="s">
        <v>1</v>
      </c>
      <c r="B3">
        <v>1.3310599999999999</v>
      </c>
      <c r="C3">
        <v>1.32891</v>
      </c>
      <c r="G3" t="s">
        <v>33</v>
      </c>
      <c r="H3">
        <v>112.4</v>
      </c>
    </row>
    <row r="4" spans="1:8" x14ac:dyDescent="0.3">
      <c r="A4" t="s">
        <v>3</v>
      </c>
      <c r="B4" s="1">
        <v>58.04</v>
      </c>
      <c r="G4" t="s">
        <v>34</v>
      </c>
      <c r="H4">
        <v>170.37</v>
      </c>
    </row>
    <row r="5" spans="1:8" x14ac:dyDescent="0.3">
      <c r="A5" t="s">
        <v>4</v>
      </c>
      <c r="B5">
        <v>1.33866</v>
      </c>
      <c r="C5">
        <v>1.3406800000000001</v>
      </c>
      <c r="D5" s="1">
        <f>(B5-B3)/(C5-C3)</f>
        <v>0.64570943075616083</v>
      </c>
      <c r="E5" t="s">
        <v>2</v>
      </c>
      <c r="G5" s="2" t="s">
        <v>53</v>
      </c>
      <c r="H5">
        <v>0.54</v>
      </c>
    </row>
    <row r="6" spans="1:8" x14ac:dyDescent="0.3">
      <c r="A6" t="s">
        <v>5</v>
      </c>
      <c r="B6">
        <v>0.42849999999999999</v>
      </c>
      <c r="C6">
        <v>0.42846000000000001</v>
      </c>
      <c r="D6" s="1">
        <f>B6/C6</f>
        <v>1.0000933576063109</v>
      </c>
      <c r="E6" t="s">
        <v>6</v>
      </c>
      <c r="G6" s="2" t="s">
        <v>54</v>
      </c>
      <c r="H6">
        <v>5</v>
      </c>
    </row>
    <row r="7" spans="1:8" x14ac:dyDescent="0.3">
      <c r="A7" t="s">
        <v>14</v>
      </c>
      <c r="B7">
        <f>70.729-B2</f>
        <v>0.43899999999999295</v>
      </c>
      <c r="C7">
        <f>66.951-C2</f>
        <v>0.39099999999999113</v>
      </c>
      <c r="D7" s="1">
        <f>B7/C7</f>
        <v>1.1227621483376033</v>
      </c>
    </row>
    <row r="8" spans="1:8" x14ac:dyDescent="0.3">
      <c r="A8" t="s">
        <v>7</v>
      </c>
      <c r="B8" s="1">
        <v>38.9</v>
      </c>
    </row>
    <row r="9" spans="1:8" x14ac:dyDescent="0.3">
      <c r="A9" t="s">
        <v>8</v>
      </c>
      <c r="B9">
        <v>2.3054000000000001</v>
      </c>
      <c r="C9">
        <v>1.7350000000000001</v>
      </c>
    </row>
    <row r="10" spans="1:8" x14ac:dyDescent="0.3">
      <c r="A10" t="s">
        <v>9</v>
      </c>
      <c r="B10">
        <f>71.633-B2</f>
        <v>1.3429999999999893</v>
      </c>
      <c r="C10">
        <f>67.381-C2</f>
        <v>0.82099999999999795</v>
      </c>
      <c r="D10" s="1">
        <f>B10/C10</f>
        <v>1.6358099878197232</v>
      </c>
    </row>
    <row r="11" spans="1:8" x14ac:dyDescent="0.3">
      <c r="A11" t="s">
        <v>13</v>
      </c>
      <c r="B11" s="1">
        <v>100.3</v>
      </c>
      <c r="D11" s="1"/>
    </row>
    <row r="12" spans="1:8" x14ac:dyDescent="0.3">
      <c r="A12" s="2" t="s">
        <v>10</v>
      </c>
      <c r="B12">
        <f>B10-B7</f>
        <v>0.90399999999999636</v>
      </c>
      <c r="C12">
        <f>C10-C7</f>
        <v>0.43000000000000682</v>
      </c>
    </row>
    <row r="13" spans="1:8" x14ac:dyDescent="0.3">
      <c r="A13" s="2" t="s">
        <v>11</v>
      </c>
      <c r="B13">
        <v>0.70860000000000001</v>
      </c>
      <c r="C13">
        <v>0.45100000000000001</v>
      </c>
      <c r="D13" s="1">
        <f>B13/C13</f>
        <v>1.5711751662971174</v>
      </c>
    </row>
    <row r="14" spans="1:8" x14ac:dyDescent="0.3">
      <c r="A14" s="2" t="s">
        <v>12</v>
      </c>
      <c r="B14">
        <f>B13-B6</f>
        <v>0.28010000000000002</v>
      </c>
      <c r="C14">
        <f>C13-C6</f>
        <v>2.2540000000000004E-2</v>
      </c>
    </row>
    <row r="15" spans="1:8" x14ac:dyDescent="0.3">
      <c r="A15" s="2" t="s">
        <v>15</v>
      </c>
      <c r="B15" s="1">
        <v>136.1</v>
      </c>
    </row>
    <row r="18" spans="1:5" x14ac:dyDescent="0.3">
      <c r="A18" t="s">
        <v>16</v>
      </c>
      <c r="B18" s="3">
        <f>(B7*B4*0.0000001)/(H1*0.135*(1-EXP(-B4/H2)))*1000000000</f>
        <v>343.58254767785456</v>
      </c>
      <c r="C18" t="s">
        <v>21</v>
      </c>
    </row>
    <row r="19" spans="1:5" x14ac:dyDescent="0.3">
      <c r="A19" s="5" t="s">
        <v>30</v>
      </c>
      <c r="B19" s="3"/>
    </row>
    <row r="20" spans="1:5" x14ac:dyDescent="0.3">
      <c r="A20" t="s">
        <v>19</v>
      </c>
      <c r="B20" s="3">
        <f>(B12*(B4+B21)*0.0000001)/(H1*0.185*(1-EXP(-(B4+B21)/H2)))*1000000000</f>
        <v>533.82067423416061</v>
      </c>
      <c r="C20" t="s">
        <v>21</v>
      </c>
      <c r="D20" s="1"/>
    </row>
    <row r="21" spans="1:5" x14ac:dyDescent="0.3">
      <c r="A21" t="s">
        <v>32</v>
      </c>
      <c r="B21" s="3">
        <f>((B7/B12)*(0.185/0.135)*(H5*1.35/(1.05*H6)) - (1/(H2*(1-EXP(B4/H2))) - 1/B4))^(-1)</f>
        <v>8.1472630200531206</v>
      </c>
      <c r="C21" t="s">
        <v>20</v>
      </c>
      <c r="E21" s="1"/>
    </row>
    <row r="22" spans="1:5" x14ac:dyDescent="0.3">
      <c r="A22" t="s">
        <v>27</v>
      </c>
      <c r="B22" s="4">
        <v>65.394999999999996</v>
      </c>
      <c r="C22" t="s">
        <v>28</v>
      </c>
      <c r="D22" s="3"/>
    </row>
    <row r="23" spans="1:5" x14ac:dyDescent="0.3">
      <c r="A23" t="s">
        <v>26</v>
      </c>
      <c r="B23" s="8">
        <f>(B12/B7)*(0.8/B22)*(0.135/0.185)*(1+B21/B4)^2*(1+B21*(1/(H2*(1-EXP(B4/H2))) - 1/B4))</f>
        <v>1.7997800861145073E-2</v>
      </c>
    </row>
    <row r="24" spans="1:5" x14ac:dyDescent="0.3">
      <c r="A24" t="s">
        <v>29</v>
      </c>
      <c r="B24" s="4">
        <f>0.066468*(B22*1000)^(1/3)</f>
        <v>2.6778985857807123</v>
      </c>
      <c r="D24" s="4"/>
    </row>
    <row r="25" spans="1:5" x14ac:dyDescent="0.3">
      <c r="A25" s="5" t="s">
        <v>31</v>
      </c>
      <c r="B25" s="4"/>
    </row>
    <row r="26" spans="1:5" x14ac:dyDescent="0.3">
      <c r="A26" t="s">
        <v>19</v>
      </c>
      <c r="B26" s="3">
        <f>(B14*(B4+B27)*0.0000001)/(H1*0.185*(1-EXP(-(B4+B27)/H2)))*1000000000</f>
        <v>161.98706891193177</v>
      </c>
      <c r="C26" t="s">
        <v>21</v>
      </c>
      <c r="D26" s="1"/>
    </row>
    <row r="27" spans="1:5" x14ac:dyDescent="0.3">
      <c r="A27" t="s">
        <v>32</v>
      </c>
      <c r="B27" s="3">
        <f>((B7/B14)*(0.185/0.135)*(H5*1.35/(1.05*H6)) - (1/(H2*(1-EXP(B4/H2))) - 1/B4))^(-1)</f>
        <v>3.0435057351186967</v>
      </c>
      <c r="C27" t="s">
        <v>20</v>
      </c>
      <c r="E27" s="1"/>
    </row>
    <row r="28" spans="1:5" x14ac:dyDescent="0.3">
      <c r="A28" t="s">
        <v>27</v>
      </c>
      <c r="B28" s="4">
        <v>78.344999999999999</v>
      </c>
      <c r="C28" t="s">
        <v>28</v>
      </c>
      <c r="D28" s="3"/>
    </row>
    <row r="29" spans="1:5" x14ac:dyDescent="0.3">
      <c r="A29" t="s">
        <v>26</v>
      </c>
      <c r="B29" s="9">
        <f>(B14/B7)*(0.8/B28)*(0.135/0.185)*(1+B27/B4)^2*(1+B27*(1/(H2*(1-EXP(B4/H2))) - 1/B4))</f>
        <v>4.7798487312983749E-3</v>
      </c>
    </row>
    <row r="30" spans="1:5" x14ac:dyDescent="0.3">
      <c r="A30" t="s">
        <v>29</v>
      </c>
      <c r="B30" s="4">
        <f>0.066468*(B28*1000)^(1/3)</f>
        <v>2.844131721285418</v>
      </c>
      <c r="D30" s="4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0"/>
  <sheetViews>
    <sheetView zoomScale="85" zoomScaleNormal="85" workbookViewId="0">
      <selection activeCell="B29" sqref="B29"/>
    </sheetView>
  </sheetViews>
  <sheetFormatPr defaultRowHeight="14.4" x14ac:dyDescent="0.3"/>
  <cols>
    <col min="1" max="1" width="30.33203125" customWidth="1"/>
    <col min="2" max="2" width="10.109375" customWidth="1"/>
    <col min="3" max="3" width="10" customWidth="1"/>
  </cols>
  <sheetData>
    <row r="1" spans="1:8" x14ac:dyDescent="0.3">
      <c r="B1">
        <v>1</v>
      </c>
      <c r="C1">
        <v>2</v>
      </c>
      <c r="G1" t="s">
        <v>17</v>
      </c>
      <c r="H1">
        <v>134.6</v>
      </c>
    </row>
    <row r="2" spans="1:8" x14ac:dyDescent="0.3">
      <c r="A2" t="s">
        <v>0</v>
      </c>
      <c r="B2">
        <v>70.22</v>
      </c>
      <c r="C2">
        <v>66.459999999999994</v>
      </c>
      <c r="G2" t="s">
        <v>18</v>
      </c>
      <c r="H2">
        <v>110.67</v>
      </c>
    </row>
    <row r="3" spans="1:8" x14ac:dyDescent="0.3">
      <c r="A3" t="s">
        <v>1</v>
      </c>
      <c r="B3">
        <v>1.3312999999999999</v>
      </c>
      <c r="C3">
        <v>1.3292200000000001</v>
      </c>
      <c r="G3" t="s">
        <v>33</v>
      </c>
      <c r="H3">
        <v>112.4</v>
      </c>
    </row>
    <row r="4" spans="1:8" x14ac:dyDescent="0.3">
      <c r="A4" t="s">
        <v>3</v>
      </c>
      <c r="B4" s="1"/>
      <c r="G4" t="s">
        <v>34</v>
      </c>
      <c r="H4">
        <v>170.37</v>
      </c>
    </row>
    <row r="5" spans="1:8" x14ac:dyDescent="0.3">
      <c r="A5" t="s">
        <v>4</v>
      </c>
      <c r="D5" s="1">
        <v>1.02</v>
      </c>
      <c r="E5" t="s">
        <v>2</v>
      </c>
      <c r="G5" s="2" t="s">
        <v>53</v>
      </c>
      <c r="H5">
        <v>0.54</v>
      </c>
    </row>
    <row r="6" spans="1:8" x14ac:dyDescent="0.3">
      <c r="A6" t="s">
        <v>5</v>
      </c>
      <c r="B6">
        <v>0.19639999999999999</v>
      </c>
      <c r="C6">
        <v>0.1152</v>
      </c>
      <c r="D6" s="1">
        <f>B6/C6</f>
        <v>1.7048611111111112</v>
      </c>
      <c r="E6" t="s">
        <v>6</v>
      </c>
      <c r="G6" s="2" t="s">
        <v>54</v>
      </c>
      <c r="H6">
        <v>5</v>
      </c>
    </row>
    <row r="7" spans="1:8" x14ac:dyDescent="0.3">
      <c r="A7" t="s">
        <v>14</v>
      </c>
      <c r="B7">
        <v>0.19639999999999999</v>
      </c>
      <c r="C7">
        <v>0.1152</v>
      </c>
      <c r="D7" s="1"/>
    </row>
    <row r="8" spans="1:8" x14ac:dyDescent="0.3">
      <c r="A8" t="s">
        <v>7</v>
      </c>
      <c r="B8" s="1">
        <v>67.5</v>
      </c>
      <c r="C8" s="1">
        <v>67.5</v>
      </c>
    </row>
    <row r="9" spans="1:8" x14ac:dyDescent="0.3">
      <c r="A9" t="s">
        <v>8</v>
      </c>
      <c r="B9">
        <v>2.3921000000000001</v>
      </c>
      <c r="C9">
        <v>1.738</v>
      </c>
    </row>
    <row r="10" spans="1:8" x14ac:dyDescent="0.3">
      <c r="A10" t="s">
        <v>9</v>
      </c>
      <c r="B10">
        <f>71.734-B2</f>
        <v>1.5139999999999958</v>
      </c>
      <c r="C10">
        <f>67.331-C2</f>
        <v>0.87100000000000932</v>
      </c>
      <c r="D10" s="1">
        <f>B10/C10</f>
        <v>1.7382319173363716</v>
      </c>
    </row>
    <row r="11" spans="1:8" x14ac:dyDescent="0.3">
      <c r="A11" t="s">
        <v>13</v>
      </c>
      <c r="B11" s="1">
        <v>53.2</v>
      </c>
      <c r="C11" s="1">
        <v>53.2</v>
      </c>
      <c r="D11" s="1"/>
    </row>
    <row r="12" spans="1:8" x14ac:dyDescent="0.3">
      <c r="A12" s="2" t="s">
        <v>10</v>
      </c>
      <c r="B12">
        <f>B10-B7</f>
        <v>1.3175999999999959</v>
      </c>
      <c r="C12">
        <f>C10-C7</f>
        <v>0.75580000000000935</v>
      </c>
    </row>
    <row r="13" spans="1:8" x14ac:dyDescent="0.3">
      <c r="A13" s="2" t="s">
        <v>11</v>
      </c>
      <c r="B13">
        <v>0.55420000000000003</v>
      </c>
      <c r="C13">
        <v>0.32090000000000002</v>
      </c>
      <c r="D13" s="1">
        <f>B13/C13</f>
        <v>1.7270177625428482</v>
      </c>
    </row>
    <row r="14" spans="1:8" x14ac:dyDescent="0.3">
      <c r="A14" s="2" t="s">
        <v>12</v>
      </c>
      <c r="B14">
        <f>B13-B6</f>
        <v>0.35780000000000001</v>
      </c>
      <c r="C14">
        <f>C13-C6</f>
        <v>0.20570000000000002</v>
      </c>
    </row>
    <row r="15" spans="1:8" x14ac:dyDescent="0.3">
      <c r="A15" s="2" t="s">
        <v>15</v>
      </c>
      <c r="B15" s="1">
        <v>57.9</v>
      </c>
      <c r="C15" s="1">
        <v>57.9</v>
      </c>
    </row>
    <row r="18" spans="1:5" x14ac:dyDescent="0.3">
      <c r="A18" t="s">
        <v>16</v>
      </c>
      <c r="B18" s="3">
        <f>(B7*B8*0.0000001)/(H1*0.135*(1-EXP(-B8/H2)))*1000000000</f>
        <v>159.7807365743563</v>
      </c>
      <c r="C18" t="s">
        <v>21</v>
      </c>
    </row>
    <row r="19" spans="1:5" x14ac:dyDescent="0.3">
      <c r="A19" s="5" t="s">
        <v>30</v>
      </c>
      <c r="B19" s="3"/>
    </row>
    <row r="20" spans="1:5" x14ac:dyDescent="0.3">
      <c r="A20" t="s">
        <v>19</v>
      </c>
      <c r="B20" s="3">
        <f>(B12*(B8+B21)*0.0000001)/(H1*0.185*(1-EXP(-(B8+B21)/H2)))*1000000000</f>
        <v>842.43708314799881</v>
      </c>
      <c r="C20" t="s">
        <v>21</v>
      </c>
      <c r="D20" s="1"/>
    </row>
    <row r="21" spans="1:5" x14ac:dyDescent="0.3">
      <c r="A21" t="s">
        <v>32</v>
      </c>
      <c r="B21" s="3">
        <f>((B7/B12)*(0.185/0.135)*(H5*1.35/(1.05*H6)) - (1/(H2*(1-EXP(B8/H2))) - 1/B8))^(-1)</f>
        <v>18.541897255239917</v>
      </c>
      <c r="C21" t="s">
        <v>20</v>
      </c>
      <c r="E21" s="1"/>
    </row>
    <row r="22" spans="1:5" x14ac:dyDescent="0.3">
      <c r="A22" t="s">
        <v>27</v>
      </c>
      <c r="B22" s="4">
        <v>66.394000000000005</v>
      </c>
      <c r="C22" t="s">
        <v>28</v>
      </c>
      <c r="D22" s="3"/>
    </row>
    <row r="23" spans="1:5" x14ac:dyDescent="0.3">
      <c r="A23" t="s">
        <v>26</v>
      </c>
      <c r="B23" s="8">
        <f>(B12/B7)*(0.8/B22)*(0.135/0.185)*(1+B21/B8)^2*(1+B21*(1/(H2*(1-EXP(B8/H2))) - 1/B8))</f>
        <v>5.0407592842837023E-2</v>
      </c>
    </row>
    <row r="24" spans="1:5" x14ac:dyDescent="0.3">
      <c r="A24" t="s">
        <v>29</v>
      </c>
      <c r="B24" s="4">
        <f>0.066468*(B22*1000)^(1/3)</f>
        <v>2.6914659459666161</v>
      </c>
      <c r="D24" s="4"/>
    </row>
    <row r="25" spans="1:5" x14ac:dyDescent="0.3">
      <c r="A25" s="5" t="s">
        <v>31</v>
      </c>
      <c r="B25" s="4"/>
    </row>
    <row r="26" spans="1:5" x14ac:dyDescent="0.3">
      <c r="A26" t="s">
        <v>19</v>
      </c>
      <c r="B26" s="3">
        <f>(B14*(B8+B27)*0.0000001)/(H1*0.185*(1-EXP(-(B8+B27)/H2)))*1000000000</f>
        <v>219.1119763179943</v>
      </c>
      <c r="C26" t="s">
        <v>21</v>
      </c>
      <c r="D26" s="1"/>
    </row>
    <row r="27" spans="1:5" x14ac:dyDescent="0.3">
      <c r="A27" t="s">
        <v>32</v>
      </c>
      <c r="B27" s="3">
        <f>((B7/B14)*(0.185/0.135)*(H5*1.35/(1.05*H6)) - (1/(H2*(1-EXP(B8/H2))) - 1/B8))^(-1)</f>
        <v>7.6912505740771859</v>
      </c>
      <c r="C27" t="s">
        <v>20</v>
      </c>
      <c r="E27" s="1"/>
    </row>
    <row r="28" spans="1:5" x14ac:dyDescent="0.3">
      <c r="A28" t="s">
        <v>27</v>
      </c>
      <c r="B28" s="4">
        <v>76.998000000000005</v>
      </c>
      <c r="C28" t="s">
        <v>28</v>
      </c>
      <c r="D28" s="3"/>
    </row>
    <row r="29" spans="1:5" x14ac:dyDescent="0.3">
      <c r="A29" t="s">
        <v>26</v>
      </c>
      <c r="B29" s="9">
        <f>(B14/B7)*(0.8/B28)*(0.135/0.185)*(1+B27/B8)^2*(1+B27*(1/(H2*(1-EXP(B8/H2))) - 1/B8))</f>
        <v>1.3769012625762286E-2</v>
      </c>
    </row>
    <row r="30" spans="1:5" x14ac:dyDescent="0.3">
      <c r="A30" t="s">
        <v>29</v>
      </c>
      <c r="B30" s="4">
        <f>0.066468*(B28*1000)^(1/3)</f>
        <v>2.8277375096248512</v>
      </c>
      <c r="D30" s="4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0"/>
  <sheetViews>
    <sheetView zoomScale="85" zoomScaleNormal="85" workbookViewId="0">
      <selection activeCell="B29" sqref="B29"/>
    </sheetView>
  </sheetViews>
  <sheetFormatPr defaultRowHeight="14.4" x14ac:dyDescent="0.3"/>
  <cols>
    <col min="1" max="1" width="30.33203125" customWidth="1"/>
    <col min="2" max="2" width="10.109375" customWidth="1"/>
    <col min="3" max="3" width="10" customWidth="1"/>
  </cols>
  <sheetData>
    <row r="1" spans="1:8" x14ac:dyDescent="0.3">
      <c r="B1">
        <v>1</v>
      </c>
      <c r="C1">
        <v>2</v>
      </c>
      <c r="G1" t="s">
        <v>17</v>
      </c>
      <c r="H1">
        <v>134.6</v>
      </c>
    </row>
    <row r="2" spans="1:8" x14ac:dyDescent="0.3">
      <c r="A2" t="s">
        <v>0</v>
      </c>
      <c r="B2">
        <v>70.22</v>
      </c>
      <c r="C2">
        <v>66.459999999999994</v>
      </c>
      <c r="G2" t="s">
        <v>18</v>
      </c>
      <c r="H2">
        <v>110.67</v>
      </c>
    </row>
    <row r="3" spans="1:8" x14ac:dyDescent="0.3">
      <c r="A3" t="s">
        <v>1</v>
      </c>
      <c r="B3">
        <v>1.33131</v>
      </c>
      <c r="C3">
        <v>1.3292200000000001</v>
      </c>
      <c r="G3" t="s">
        <v>33</v>
      </c>
      <c r="H3">
        <v>112.4</v>
      </c>
    </row>
    <row r="4" spans="1:8" x14ac:dyDescent="0.3">
      <c r="A4" t="s">
        <v>3</v>
      </c>
      <c r="B4" s="1"/>
      <c r="G4" t="s">
        <v>34</v>
      </c>
      <c r="H4">
        <v>170.37</v>
      </c>
    </row>
    <row r="5" spans="1:8" x14ac:dyDescent="0.3">
      <c r="A5" t="s">
        <v>4</v>
      </c>
      <c r="D5" s="1">
        <v>1.02</v>
      </c>
      <c r="E5" t="s">
        <v>2</v>
      </c>
      <c r="G5" s="2" t="s">
        <v>53</v>
      </c>
      <c r="H5">
        <v>0.54</v>
      </c>
    </row>
    <row r="6" spans="1:8" x14ac:dyDescent="0.3">
      <c r="A6" t="s">
        <v>5</v>
      </c>
      <c r="B6">
        <v>0.26605000000000001</v>
      </c>
      <c r="C6">
        <v>0.15759999999999999</v>
      </c>
      <c r="D6" s="1">
        <f>B6/C6</f>
        <v>1.6881345177664977</v>
      </c>
      <c r="E6" t="s">
        <v>6</v>
      </c>
      <c r="G6" s="2" t="s">
        <v>54</v>
      </c>
      <c r="H6">
        <v>5</v>
      </c>
    </row>
    <row r="7" spans="1:8" x14ac:dyDescent="0.3">
      <c r="A7" t="s">
        <v>14</v>
      </c>
      <c r="B7">
        <v>0.26605000000000001</v>
      </c>
      <c r="C7">
        <v>0.15759999999999999</v>
      </c>
      <c r="D7" s="1"/>
    </row>
    <row r="8" spans="1:8" x14ac:dyDescent="0.3">
      <c r="A8" t="s">
        <v>7</v>
      </c>
      <c r="B8" s="1">
        <v>75.099999999999994</v>
      </c>
      <c r="C8" s="1">
        <v>75.099999999999994</v>
      </c>
    </row>
    <row r="9" spans="1:8" x14ac:dyDescent="0.3">
      <c r="A9" t="s">
        <v>8</v>
      </c>
      <c r="B9">
        <v>2.1089000000000002</v>
      </c>
      <c r="C9">
        <v>1.5685</v>
      </c>
    </row>
    <row r="10" spans="1:8" x14ac:dyDescent="0.3">
      <c r="A10" t="s">
        <v>9</v>
      </c>
      <c r="B10">
        <f>71.776-B2</f>
        <v>1.5559999999999974</v>
      </c>
      <c r="C10">
        <f>67.411-C2</f>
        <v>0.95100000000000762</v>
      </c>
      <c r="D10" s="1">
        <f>B10/C10</f>
        <v>1.6361724500525603</v>
      </c>
    </row>
    <row r="11" spans="1:8" x14ac:dyDescent="0.3">
      <c r="A11" t="s">
        <v>13</v>
      </c>
      <c r="B11" s="1">
        <v>100.3</v>
      </c>
      <c r="C11" s="1">
        <v>100.3</v>
      </c>
      <c r="D11" s="1"/>
    </row>
    <row r="12" spans="1:8" x14ac:dyDescent="0.3">
      <c r="A12" s="2" t="s">
        <v>10</v>
      </c>
      <c r="B12">
        <f>B10-B7</f>
        <v>1.2899499999999975</v>
      </c>
      <c r="C12">
        <f>C10-C7</f>
        <v>0.79340000000000765</v>
      </c>
    </row>
    <row r="13" spans="1:8" x14ac:dyDescent="0.3">
      <c r="A13" s="2" t="s">
        <v>11</v>
      </c>
      <c r="B13">
        <v>0.41510000000000002</v>
      </c>
      <c r="C13">
        <v>0.23960000000000001</v>
      </c>
      <c r="D13" s="1">
        <f>B13/C13</f>
        <v>1.7324707846410685</v>
      </c>
    </row>
    <row r="14" spans="1:8" x14ac:dyDescent="0.3">
      <c r="A14" s="2" t="s">
        <v>12</v>
      </c>
      <c r="B14">
        <f>B13-B6</f>
        <v>0.14905000000000002</v>
      </c>
      <c r="C14">
        <f>C13-C6</f>
        <v>8.2000000000000017E-2</v>
      </c>
    </row>
    <row r="15" spans="1:8" x14ac:dyDescent="0.3">
      <c r="A15" s="2" t="s">
        <v>15</v>
      </c>
      <c r="B15" s="1">
        <v>55.6</v>
      </c>
      <c r="C15" s="1">
        <v>55.6</v>
      </c>
    </row>
    <row r="18" spans="1:5" x14ac:dyDescent="0.3">
      <c r="A18" t="s">
        <v>16</v>
      </c>
      <c r="B18" s="3">
        <f>(B7*B8*0.0000001)/(H1*0.135*(1-EXP(-B8/H2)))*1000000000</f>
        <v>223.18657464493438</v>
      </c>
      <c r="C18" t="s">
        <v>21</v>
      </c>
    </row>
    <row r="19" spans="1:5" x14ac:dyDescent="0.3">
      <c r="A19" s="5" t="s">
        <v>30</v>
      </c>
      <c r="B19" s="3"/>
    </row>
    <row r="20" spans="1:5" x14ac:dyDescent="0.3">
      <c r="A20" t="s">
        <v>19</v>
      </c>
      <c r="B20" s="3">
        <f>(B12*(B8+B21)*0.0000001)/(H1*0.185*(1-EXP(-(B8+B21)/H2)))*1000000000</f>
        <v>841.82016445386716</v>
      </c>
      <c r="C20" t="s">
        <v>21</v>
      </c>
      <c r="D20" s="1"/>
    </row>
    <row r="21" spans="1:5" x14ac:dyDescent="0.3">
      <c r="A21" t="s">
        <v>32</v>
      </c>
      <c r="B21" s="3">
        <f>((B7/B12)*(0.185/0.135)*(H5*1.35/(1.05*H6)) - (1/(H2*(1-EXP(B8/H2))) - 1/B8))^(-1)</f>
        <v>16.163856744598935</v>
      </c>
      <c r="C21" t="s">
        <v>20</v>
      </c>
      <c r="E21" s="1"/>
    </row>
    <row r="22" spans="1:5" x14ac:dyDescent="0.3">
      <c r="A22" t="s">
        <v>27</v>
      </c>
      <c r="B22" s="4">
        <v>65.733000000000004</v>
      </c>
      <c r="C22" t="s">
        <v>28</v>
      </c>
      <c r="D22" s="3"/>
    </row>
    <row r="23" spans="1:5" x14ac:dyDescent="0.3">
      <c r="A23" t="s">
        <v>26</v>
      </c>
      <c r="B23" s="8">
        <f>(B12/B7)*(0.8/B22)*(0.135/0.185)*(1+B21/B8)^2*(1+B21*(1/(H2*(1-EXP(B8/H2))) - 1/B8))</f>
        <v>4.0340150364629179E-2</v>
      </c>
    </row>
    <row r="24" spans="1:5" x14ac:dyDescent="0.3">
      <c r="A24" t="s">
        <v>29</v>
      </c>
      <c r="B24" s="4">
        <f>0.066468*(B22*1000)^(1/3)</f>
        <v>2.682504313890997</v>
      </c>
      <c r="D24" s="4"/>
    </row>
    <row r="25" spans="1:5" x14ac:dyDescent="0.3">
      <c r="A25" s="5" t="s">
        <v>31</v>
      </c>
      <c r="B25" s="4"/>
    </row>
    <row r="26" spans="1:5" x14ac:dyDescent="0.3">
      <c r="A26" t="s">
        <v>19</v>
      </c>
      <c r="B26" s="3">
        <f>(B14*(B8+B27)*0.0000001)/(H1*0.185*(1-EXP(-(B8+B27)/H2)))*1000000000</f>
        <v>92.256296540992594</v>
      </c>
      <c r="C26" t="s">
        <v>21</v>
      </c>
      <c r="D26" s="1"/>
    </row>
    <row r="27" spans="1:5" x14ac:dyDescent="0.3">
      <c r="A27" t="s">
        <v>32</v>
      </c>
      <c r="B27" s="3">
        <f>((B7/B14)*(0.185/0.135)*(H5*1.35/(1.05*H6)) - (1/(H2*(1-EXP(B8/H2))) - 1/B8))^(-1)</f>
        <v>2.7603348278425508</v>
      </c>
      <c r="C27" t="s">
        <v>20</v>
      </c>
      <c r="E27" s="1"/>
    </row>
    <row r="28" spans="1:5" x14ac:dyDescent="0.3">
      <c r="A28" t="s">
        <v>27</v>
      </c>
      <c r="B28" s="4">
        <v>75.152000000000001</v>
      </c>
      <c r="C28" t="s">
        <v>28</v>
      </c>
      <c r="D28" s="3"/>
    </row>
    <row r="29" spans="1:5" x14ac:dyDescent="0.3">
      <c r="A29" t="s">
        <v>26</v>
      </c>
      <c r="B29" s="9">
        <f>(B14/B7)*(0.8/B28)*(0.135/0.185)*(1+B27/B8)^2*(1+B27*(1/(H2*(1-EXP(B8/H2))) - 1/B8))</f>
        <v>4.3856310616446513E-3</v>
      </c>
    </row>
    <row r="30" spans="1:5" x14ac:dyDescent="0.3">
      <c r="A30" t="s">
        <v>29</v>
      </c>
      <c r="B30" s="4">
        <f>0.066468*(B28*1000)^(1/3)</f>
        <v>2.8049564675917287</v>
      </c>
      <c r="D30" s="4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0"/>
  <sheetViews>
    <sheetView zoomScale="85" zoomScaleNormal="85" workbookViewId="0">
      <selection activeCell="E28" sqref="E28"/>
    </sheetView>
  </sheetViews>
  <sheetFormatPr defaultRowHeight="14.4" x14ac:dyDescent="0.3"/>
  <cols>
    <col min="1" max="1" width="30.33203125" customWidth="1"/>
    <col min="2" max="2" width="10.109375" customWidth="1"/>
    <col min="3" max="3" width="10" customWidth="1"/>
  </cols>
  <sheetData>
    <row r="1" spans="1:8" x14ac:dyDescent="0.3">
      <c r="B1">
        <v>1</v>
      </c>
      <c r="C1">
        <v>2</v>
      </c>
      <c r="G1" t="s">
        <v>17</v>
      </c>
      <c r="H1">
        <v>134.6</v>
      </c>
    </row>
    <row r="2" spans="1:8" x14ac:dyDescent="0.3">
      <c r="A2" t="s">
        <v>0</v>
      </c>
      <c r="B2">
        <v>70.38</v>
      </c>
      <c r="C2">
        <v>66.540000000000006</v>
      </c>
      <c r="G2" t="s">
        <v>18</v>
      </c>
      <c r="H2">
        <v>110.67</v>
      </c>
    </row>
    <row r="3" spans="1:8" x14ac:dyDescent="0.3">
      <c r="A3" t="s">
        <v>1</v>
      </c>
      <c r="B3">
        <v>1.33108</v>
      </c>
      <c r="C3">
        <v>1.3290200000000001</v>
      </c>
      <c r="G3" t="s">
        <v>33</v>
      </c>
      <c r="H3">
        <v>112.4</v>
      </c>
    </row>
    <row r="4" spans="1:8" x14ac:dyDescent="0.3">
      <c r="A4" t="s">
        <v>3</v>
      </c>
      <c r="B4" s="1"/>
      <c r="G4" t="s">
        <v>34</v>
      </c>
      <c r="H4">
        <v>170.37</v>
      </c>
    </row>
    <row r="5" spans="1:8" x14ac:dyDescent="0.3">
      <c r="A5" t="s">
        <v>4</v>
      </c>
      <c r="D5" s="1">
        <v>1.02</v>
      </c>
      <c r="E5" t="s">
        <v>2</v>
      </c>
      <c r="G5" s="2" t="s">
        <v>53</v>
      </c>
      <c r="H5">
        <v>0.54</v>
      </c>
    </row>
    <row r="6" spans="1:8" x14ac:dyDescent="0.3">
      <c r="A6" t="s">
        <v>5</v>
      </c>
      <c r="B6">
        <v>0.21360000000000001</v>
      </c>
      <c r="C6">
        <v>0.1343</v>
      </c>
      <c r="D6" s="1">
        <f>B6/C6</f>
        <v>1.5904690990320178</v>
      </c>
      <c r="E6" t="s">
        <v>6</v>
      </c>
      <c r="G6" s="2" t="s">
        <v>54</v>
      </c>
      <c r="H6">
        <v>5</v>
      </c>
    </row>
    <row r="7" spans="1:8" x14ac:dyDescent="0.3">
      <c r="A7" t="s">
        <v>14</v>
      </c>
      <c r="B7">
        <v>0.21360000000000001</v>
      </c>
      <c r="C7">
        <v>0.1343</v>
      </c>
      <c r="D7" s="1"/>
    </row>
    <row r="8" spans="1:8" x14ac:dyDescent="0.3">
      <c r="A8" t="s">
        <v>7</v>
      </c>
      <c r="B8" s="1">
        <v>124.8</v>
      </c>
      <c r="C8" s="1">
        <v>124.8</v>
      </c>
    </row>
    <row r="9" spans="1:8" x14ac:dyDescent="0.3">
      <c r="A9" t="s">
        <v>8</v>
      </c>
      <c r="B9">
        <v>1.9854000000000001</v>
      </c>
      <c r="C9">
        <v>1.5087999999999999</v>
      </c>
    </row>
    <row r="10" spans="1:8" x14ac:dyDescent="0.3">
      <c r="A10" t="s">
        <v>9</v>
      </c>
      <c r="B10">
        <f>71.656-B2</f>
        <v>1.2760000000000105</v>
      </c>
      <c r="C10">
        <f>67.317-C2</f>
        <v>0.77699999999998681</v>
      </c>
      <c r="D10" s="1">
        <f>B10/C10</f>
        <v>1.6422136422136835</v>
      </c>
    </row>
    <row r="11" spans="1:8" x14ac:dyDescent="0.3">
      <c r="A11" t="s">
        <v>13</v>
      </c>
      <c r="B11" s="1">
        <v>113.7</v>
      </c>
      <c r="C11" s="1">
        <v>113.7</v>
      </c>
      <c r="D11" s="1"/>
    </row>
    <row r="12" spans="1:8" x14ac:dyDescent="0.3">
      <c r="A12" s="2" t="s">
        <v>10</v>
      </c>
      <c r="B12">
        <f>B10-B7</f>
        <v>1.0624000000000104</v>
      </c>
      <c r="C12">
        <f>C10-C7</f>
        <v>0.64269999999998684</v>
      </c>
    </row>
    <row r="13" spans="1:8" x14ac:dyDescent="0.3">
      <c r="A13" s="2" t="s">
        <v>11</v>
      </c>
      <c r="B13">
        <v>0.3216</v>
      </c>
      <c r="C13">
        <v>0.19170000000000001</v>
      </c>
      <c r="D13" s="1">
        <f>B13/C13</f>
        <v>1.6776212832550861</v>
      </c>
    </row>
    <row r="14" spans="1:8" x14ac:dyDescent="0.3">
      <c r="A14" s="2" t="s">
        <v>12</v>
      </c>
      <c r="B14">
        <f>B13-B6</f>
        <v>0.10799999999999998</v>
      </c>
      <c r="C14">
        <f>C13-C6</f>
        <v>5.7400000000000007E-2</v>
      </c>
    </row>
    <row r="15" spans="1:8" x14ac:dyDescent="0.3">
      <c r="A15" s="2" t="s">
        <v>15</v>
      </c>
      <c r="B15" s="1">
        <v>95.6</v>
      </c>
      <c r="C15" s="1">
        <v>95.6</v>
      </c>
    </row>
    <row r="18" spans="1:5" x14ac:dyDescent="0.3">
      <c r="A18" t="s">
        <v>16</v>
      </c>
      <c r="B18" s="3">
        <f>(B7*B8*0.0000001)/(H1*0.135*(1-EXP(-B8/H2)))*1000000000</f>
        <v>216.94614230659539</v>
      </c>
      <c r="C18" t="s">
        <v>21</v>
      </c>
    </row>
    <row r="19" spans="1:5" x14ac:dyDescent="0.3">
      <c r="A19" s="5" t="s">
        <v>30</v>
      </c>
      <c r="B19" s="3"/>
    </row>
    <row r="20" spans="1:5" x14ac:dyDescent="0.3">
      <c r="A20" t="s">
        <v>19</v>
      </c>
      <c r="B20" s="3">
        <f>(B12*(B8+B21)*0.0000001)/(H1*0.185*(1-EXP(-(B8+B21)/H2)))*1000000000</f>
        <v>845.86866607679895</v>
      </c>
      <c r="C20" t="s">
        <v>21</v>
      </c>
      <c r="D20" s="1"/>
    </row>
    <row r="21" spans="1:5" x14ac:dyDescent="0.3">
      <c r="A21" t="s">
        <v>32</v>
      </c>
      <c r="B21" s="3">
        <f>((B7/B12)*(0.185/0.135)*(H5*1.35/(1.05*H6)) - (1/(H2*(1-EXP(B8/H2))) - 1/B8))^(-1)</f>
        <v>19.763974565622917</v>
      </c>
      <c r="C21" t="s">
        <v>20</v>
      </c>
      <c r="E21" s="1"/>
    </row>
    <row r="22" spans="1:5" x14ac:dyDescent="0.3">
      <c r="A22" t="s">
        <v>27</v>
      </c>
      <c r="B22" s="4">
        <v>66.584000000000003</v>
      </c>
      <c r="C22" t="s">
        <v>28</v>
      </c>
      <c r="D22" s="3"/>
    </row>
    <row r="23" spans="1:5" x14ac:dyDescent="0.3">
      <c r="A23" t="s">
        <v>26</v>
      </c>
      <c r="B23" s="8">
        <f>(B12/B7)*(0.8/B22)*(0.135/0.185)*(1+B21/B8)^2*(1+B21*(1/(H2*(1-EXP(B8/H2))) - 1/B8))</f>
        <v>4.4243920762746233E-2</v>
      </c>
    </row>
    <row r="24" spans="1:5" x14ac:dyDescent="0.3">
      <c r="A24" t="s">
        <v>29</v>
      </c>
      <c r="B24" s="4">
        <f>0.066468*(B22*1000)^(1/3)</f>
        <v>2.6940308940997908</v>
      </c>
      <c r="D24" s="4"/>
    </row>
    <row r="25" spans="1:5" x14ac:dyDescent="0.3">
      <c r="A25" s="5" t="s">
        <v>31</v>
      </c>
      <c r="B25" s="4"/>
    </row>
    <row r="26" spans="1:5" x14ac:dyDescent="0.3">
      <c r="A26" t="s">
        <v>19</v>
      </c>
      <c r="B26" s="3">
        <f>(B14*(B8+B27)*0.0000001)/(H1*0.185*(1-EXP(-(B8+B27)/H2)))*1000000000</f>
        <v>80.806475257826094</v>
      </c>
      <c r="C26" t="s">
        <v>21</v>
      </c>
      <c r="D26" s="1"/>
    </row>
    <row r="27" spans="1:5" x14ac:dyDescent="0.3">
      <c r="A27" t="s">
        <v>32</v>
      </c>
      <c r="B27" s="3">
        <f>((B7/B14)*(0.185/0.135)*(H5*1.35/(1.05*H6)) - (1/(H2*(1-EXP(B8/H2))) - 1/B8))^(-1)</f>
        <v>2.5727958293019055</v>
      </c>
      <c r="C27" t="s">
        <v>20</v>
      </c>
      <c r="E27" s="1"/>
    </row>
    <row r="28" spans="1:5" x14ac:dyDescent="0.3">
      <c r="A28" t="s">
        <v>27</v>
      </c>
      <c r="B28" s="4">
        <v>74.947000000000003</v>
      </c>
      <c r="C28" t="s">
        <v>28</v>
      </c>
      <c r="D28" s="3"/>
    </row>
    <row r="29" spans="1:5" x14ac:dyDescent="0.3">
      <c r="A29" t="s">
        <v>26</v>
      </c>
      <c r="B29" s="9">
        <f>(B14/B7)*(0.8/B28)*(0.135/0.185)*(1+B27/B8)^2*(1+B27*(1/(H2*(1-EXP(B8/H2))) - 1/B8))</f>
        <v>3.972221649865426E-3</v>
      </c>
    </row>
    <row r="30" spans="1:5" x14ac:dyDescent="0.3">
      <c r="A30" t="s">
        <v>29</v>
      </c>
      <c r="B30" s="4">
        <f>0.066468*(B28*1000)^(1/3)</f>
        <v>2.8024036869447393</v>
      </c>
      <c r="D30" s="4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D7" sqref="D7"/>
    </sheetView>
  </sheetViews>
  <sheetFormatPr defaultRowHeight="14.4" x14ac:dyDescent="0.3"/>
  <sheetData>
    <row r="1" spans="1:6" x14ac:dyDescent="0.3">
      <c r="A1" t="s">
        <v>22</v>
      </c>
      <c r="B1">
        <v>0.75</v>
      </c>
      <c r="C1">
        <v>734.03899999999999</v>
      </c>
      <c r="D1">
        <v>206.34</v>
      </c>
    </row>
    <row r="2" spans="1:6" x14ac:dyDescent="0.3">
      <c r="A2" t="s">
        <v>23</v>
      </c>
      <c r="B2">
        <v>0.15</v>
      </c>
      <c r="C2">
        <v>790.14499999999998</v>
      </c>
      <c r="D2">
        <v>224.81</v>
      </c>
      <c r="F2" t="s">
        <v>52</v>
      </c>
    </row>
    <row r="3" spans="1:6" x14ac:dyDescent="0.3">
      <c r="A3" t="s">
        <v>24</v>
      </c>
      <c r="B3">
        <v>0.1</v>
      </c>
      <c r="C3">
        <v>495.63799999999998</v>
      </c>
    </row>
    <row r="4" spans="1:6" x14ac:dyDescent="0.3">
      <c r="A4" t="s">
        <v>25</v>
      </c>
      <c r="B4">
        <v>0.04</v>
      </c>
      <c r="C4">
        <v>2790.4859999999999</v>
      </c>
    </row>
    <row r="6" spans="1:6" x14ac:dyDescent="0.3">
      <c r="B6" s="1">
        <f>B1*C1+B2*C2+B3*C3+B4*C4</f>
        <v>830.23424</v>
      </c>
      <c r="D6" s="1">
        <f>(D1+D2)/2</f>
        <v>215.57499999999999</v>
      </c>
    </row>
    <row r="7" spans="1:6" x14ac:dyDescent="0.3">
      <c r="D7">
        <f>D6/B6</f>
        <v>0.25965563646230727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B6" sqref="B6"/>
    </sheetView>
  </sheetViews>
  <sheetFormatPr defaultRowHeight="14.4" x14ac:dyDescent="0.3"/>
  <cols>
    <col min="1" max="1" width="16.33203125" customWidth="1"/>
  </cols>
  <sheetData>
    <row r="1" spans="1:8" x14ac:dyDescent="0.3">
      <c r="A1" t="s">
        <v>35</v>
      </c>
      <c r="B1">
        <v>0.185</v>
      </c>
      <c r="G1" t="s">
        <v>17</v>
      </c>
      <c r="H1">
        <v>134.6</v>
      </c>
    </row>
    <row r="2" spans="1:8" x14ac:dyDescent="0.3">
      <c r="A2" t="s">
        <v>36</v>
      </c>
      <c r="B2">
        <v>1.35</v>
      </c>
      <c r="G2" t="s">
        <v>18</v>
      </c>
      <c r="H2">
        <v>110.67</v>
      </c>
    </row>
    <row r="3" spans="1:8" x14ac:dyDescent="0.3">
      <c r="A3" t="s">
        <v>37</v>
      </c>
      <c r="B3">
        <f>1.33+B1*B2</f>
        <v>1.57975</v>
      </c>
      <c r="G3" t="s">
        <v>33</v>
      </c>
      <c r="H3">
        <v>112.4</v>
      </c>
    </row>
    <row r="4" spans="1:8" x14ac:dyDescent="0.3">
      <c r="A4" t="s">
        <v>38</v>
      </c>
      <c r="B4">
        <v>7.73</v>
      </c>
      <c r="G4" t="s">
        <v>34</v>
      </c>
      <c r="H4">
        <v>170.37</v>
      </c>
    </row>
    <row r="5" spans="1:8" x14ac:dyDescent="0.3">
      <c r="A5" t="s">
        <v>40</v>
      </c>
      <c r="B5">
        <v>1.9</v>
      </c>
      <c r="G5" s="2" t="s">
        <v>53</v>
      </c>
      <c r="H5">
        <v>0.54</v>
      </c>
    </row>
    <row r="6" spans="1:8" x14ac:dyDescent="0.3">
      <c r="A6" t="s">
        <v>39</v>
      </c>
      <c r="B6" s="1">
        <f>(B5*B4*0.0000001)/(H1*0.185*(1-EXP(-B4/H2)))*1000000000</f>
        <v>874.27003058802563</v>
      </c>
    </row>
    <row r="8" spans="1:8" x14ac:dyDescent="0.3">
      <c r="A8" t="s">
        <v>41</v>
      </c>
    </row>
    <row r="9" spans="1:8" x14ac:dyDescent="0.3">
      <c r="A9">
        <v>2.0962999999999998</v>
      </c>
    </row>
    <row r="10" spans="1:8" x14ac:dyDescent="0.3">
      <c r="A10" t="s">
        <v>42</v>
      </c>
    </row>
    <row r="11" spans="1:8" x14ac:dyDescent="0.3">
      <c r="A11">
        <v>1939.28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workbookViewId="0">
      <selection activeCell="D7" sqref="D7"/>
    </sheetView>
  </sheetViews>
  <sheetFormatPr defaultRowHeight="14.4" x14ac:dyDescent="0.3"/>
  <cols>
    <col min="1" max="1" width="16.33203125" customWidth="1"/>
  </cols>
  <sheetData>
    <row r="1" spans="1:8" x14ac:dyDescent="0.3">
      <c r="A1" t="s">
        <v>35</v>
      </c>
      <c r="B1">
        <v>0.185</v>
      </c>
      <c r="G1" t="s">
        <v>17</v>
      </c>
      <c r="H1">
        <v>134.6</v>
      </c>
    </row>
    <row r="2" spans="1:8" x14ac:dyDescent="0.3">
      <c r="A2" t="s">
        <v>36</v>
      </c>
      <c r="B2">
        <v>1.35</v>
      </c>
      <c r="G2" t="s">
        <v>18</v>
      </c>
      <c r="H2">
        <v>110.67</v>
      </c>
    </row>
    <row r="3" spans="1:8" x14ac:dyDescent="0.3">
      <c r="A3" t="s">
        <v>37</v>
      </c>
      <c r="B3">
        <f>1.33+B1*B2</f>
        <v>1.57975</v>
      </c>
      <c r="G3" t="s">
        <v>33</v>
      </c>
      <c r="H3">
        <v>112.4</v>
      </c>
    </row>
    <row r="4" spans="1:8" x14ac:dyDescent="0.3">
      <c r="A4" t="s">
        <v>38</v>
      </c>
      <c r="B4">
        <v>7.73</v>
      </c>
      <c r="G4" t="s">
        <v>34</v>
      </c>
      <c r="H4">
        <v>170.37</v>
      </c>
    </row>
    <row r="5" spans="1:8" x14ac:dyDescent="0.3">
      <c r="A5" t="s">
        <v>40</v>
      </c>
      <c r="B5">
        <v>0.5</v>
      </c>
      <c r="G5" s="2" t="s">
        <v>53</v>
      </c>
      <c r="H5">
        <v>0.54</v>
      </c>
    </row>
    <row r="6" spans="1:8" x14ac:dyDescent="0.3">
      <c r="A6" t="s">
        <v>39</v>
      </c>
      <c r="B6" s="1">
        <f>(B5*B4*0.0000001)/(H1*0.185*(1-EXP(-B4/H2)))*1000000000</f>
        <v>230.07106068105941</v>
      </c>
    </row>
    <row r="7" spans="1:8" x14ac:dyDescent="0.3">
      <c r="A7" t="s">
        <v>60</v>
      </c>
      <c r="B7" s="1">
        <f>(0.45/B1)*(H2/H1)*100</f>
        <v>199.99799204851212</v>
      </c>
    </row>
    <row r="9" spans="1:8" x14ac:dyDescent="0.3">
      <c r="A9" t="s">
        <v>41</v>
      </c>
    </row>
    <row r="10" spans="1:8" x14ac:dyDescent="0.3">
      <c r="A10">
        <v>2.0962999999999998</v>
      </c>
    </row>
    <row r="11" spans="1:8" x14ac:dyDescent="0.3">
      <c r="A11" t="s">
        <v>42</v>
      </c>
    </row>
    <row r="12" spans="1:8" x14ac:dyDescent="0.3">
      <c r="A12">
        <v>1939.28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zoomScale="85" zoomScaleNormal="85" workbookViewId="0">
      <selection activeCell="B29" sqref="B29"/>
    </sheetView>
  </sheetViews>
  <sheetFormatPr defaultRowHeight="14.4" x14ac:dyDescent="0.3"/>
  <cols>
    <col min="1" max="1" width="30.33203125" customWidth="1"/>
    <col min="2" max="2" width="10.109375" customWidth="1"/>
    <col min="3" max="3" width="10" customWidth="1"/>
    <col min="4" max="4" width="12.6640625" bestFit="1" customWidth="1"/>
    <col min="5" max="6" width="12.33203125" bestFit="1" customWidth="1"/>
  </cols>
  <sheetData>
    <row r="1" spans="1:8" x14ac:dyDescent="0.3">
      <c r="B1">
        <v>1</v>
      </c>
      <c r="C1">
        <v>2</v>
      </c>
      <c r="G1" t="s">
        <v>17</v>
      </c>
      <c r="H1">
        <v>134.6</v>
      </c>
    </row>
    <row r="2" spans="1:8" x14ac:dyDescent="0.3">
      <c r="A2" t="s">
        <v>0</v>
      </c>
      <c r="B2">
        <v>69.48</v>
      </c>
      <c r="C2">
        <v>66.02</v>
      </c>
      <c r="G2" t="s">
        <v>18</v>
      </c>
      <c r="H2">
        <v>110.67</v>
      </c>
    </row>
    <row r="3" spans="1:8" x14ac:dyDescent="0.3">
      <c r="A3" t="s">
        <v>1</v>
      </c>
      <c r="B3">
        <v>1.3303400000000001</v>
      </c>
      <c r="C3">
        <v>1.3281700000000001</v>
      </c>
      <c r="G3" t="s">
        <v>33</v>
      </c>
      <c r="H3">
        <v>112.4</v>
      </c>
    </row>
    <row r="4" spans="1:8" x14ac:dyDescent="0.3">
      <c r="A4" t="s">
        <v>3</v>
      </c>
      <c r="B4" s="1">
        <v>86.2</v>
      </c>
      <c r="G4" t="s">
        <v>34</v>
      </c>
      <c r="H4">
        <v>170.37</v>
      </c>
    </row>
    <row r="5" spans="1:8" x14ac:dyDescent="0.3">
      <c r="A5" t="s">
        <v>4</v>
      </c>
      <c r="B5">
        <v>1.35951</v>
      </c>
      <c r="C5">
        <v>1.3626</v>
      </c>
      <c r="D5" s="1">
        <f>(B5-B3)/(C5-C3)</f>
        <v>0.84722625617194169</v>
      </c>
      <c r="E5" t="s">
        <v>2</v>
      </c>
      <c r="G5" s="2" t="s">
        <v>53</v>
      </c>
      <c r="H5">
        <v>0.54</v>
      </c>
    </row>
    <row r="6" spans="1:8" x14ac:dyDescent="0.3">
      <c r="A6" t="s">
        <v>5</v>
      </c>
      <c r="B6">
        <v>2.2017000000000002</v>
      </c>
      <c r="C6">
        <v>1.6411</v>
      </c>
      <c r="D6" s="1">
        <f>B6/C6</f>
        <v>1.3416001462433735</v>
      </c>
      <c r="E6" t="s">
        <v>6</v>
      </c>
      <c r="G6" s="2" t="s">
        <v>54</v>
      </c>
      <c r="H6">
        <v>5</v>
      </c>
    </row>
    <row r="7" spans="1:8" x14ac:dyDescent="0.3">
      <c r="A7" t="s">
        <v>14</v>
      </c>
      <c r="B7">
        <f>71.654-B2</f>
        <v>2.1739999999999924</v>
      </c>
      <c r="C7">
        <f>67.597-C2</f>
        <v>1.5769999999999982</v>
      </c>
      <c r="D7" s="1">
        <f>B7/C7</f>
        <v>1.3785668991756468</v>
      </c>
    </row>
    <row r="8" spans="1:8" x14ac:dyDescent="0.3">
      <c r="A8" t="s">
        <v>7</v>
      </c>
      <c r="B8" s="1">
        <v>88.5</v>
      </c>
    </row>
    <row r="9" spans="1:8" x14ac:dyDescent="0.3">
      <c r="A9" t="s">
        <v>8</v>
      </c>
      <c r="B9">
        <v>4.1684000000000001</v>
      </c>
      <c r="C9">
        <v>2.8166000000000002</v>
      </c>
    </row>
    <row r="10" spans="1:8" x14ac:dyDescent="0.3">
      <c r="A10" t="s">
        <v>9</v>
      </c>
      <c r="B10">
        <f>72.876-B2</f>
        <v>3.3960000000000008</v>
      </c>
      <c r="C10">
        <f>68.077-C2</f>
        <v>2.0570000000000022</v>
      </c>
      <c r="D10" s="1">
        <f>B10/C10</f>
        <v>1.6509479824987834</v>
      </c>
    </row>
    <row r="11" spans="1:8" x14ac:dyDescent="0.3">
      <c r="A11" t="s">
        <v>13</v>
      </c>
      <c r="B11" s="1">
        <v>89.3</v>
      </c>
      <c r="D11" s="1"/>
    </row>
    <row r="12" spans="1:8" x14ac:dyDescent="0.3">
      <c r="A12" s="2" t="s">
        <v>10</v>
      </c>
      <c r="B12">
        <f>B10-B7</f>
        <v>1.2220000000000084</v>
      </c>
      <c r="C12">
        <f>C10-C7</f>
        <v>0.48000000000000398</v>
      </c>
    </row>
    <row r="13" spans="1:8" x14ac:dyDescent="0.3">
      <c r="A13" s="2" t="s">
        <v>11</v>
      </c>
      <c r="B13">
        <v>2.3428</v>
      </c>
      <c r="C13">
        <v>1.4129</v>
      </c>
      <c r="D13" s="1">
        <f>B13/C13</f>
        <v>1.6581499044518366</v>
      </c>
    </row>
    <row r="14" spans="1:8" x14ac:dyDescent="0.3">
      <c r="A14" s="2" t="s">
        <v>12</v>
      </c>
      <c r="B14">
        <f>B13-B6</f>
        <v>0.14109999999999978</v>
      </c>
      <c r="C14">
        <f>C13-C6</f>
        <v>-0.22819999999999996</v>
      </c>
    </row>
    <row r="15" spans="1:8" x14ac:dyDescent="0.3">
      <c r="A15" s="2" t="s">
        <v>15</v>
      </c>
      <c r="B15" s="1">
        <v>92.8</v>
      </c>
    </row>
    <row r="18" spans="1:5" x14ac:dyDescent="0.3">
      <c r="A18" t="s">
        <v>16</v>
      </c>
      <c r="B18" s="3">
        <f>(B7*B4*0.0000001)/(H1*0.135*(1-EXP(-B4/H2)))*1000000000</f>
        <v>1905.9950633339326</v>
      </c>
      <c r="C18" t="s">
        <v>21</v>
      </c>
    </row>
    <row r="19" spans="1:5" x14ac:dyDescent="0.3">
      <c r="A19" s="5" t="s">
        <v>30</v>
      </c>
      <c r="B19" s="3"/>
    </row>
    <row r="20" spans="1:5" x14ac:dyDescent="0.3">
      <c r="A20" t="s">
        <v>19</v>
      </c>
      <c r="B20" s="3">
        <f>(B12*(B4+B21)*0.0000001)/(H1*0.185*(1-EXP(-(B4+B21)/H2)))*1000000000</f>
        <v>790.43002122784617</v>
      </c>
      <c r="C20" t="s">
        <v>21</v>
      </c>
      <c r="D20" s="1"/>
    </row>
    <row r="21" spans="1:5" x14ac:dyDescent="0.3">
      <c r="A21" t="s">
        <v>32</v>
      </c>
      <c r="B21" s="3">
        <f>((B7/B12)*(0.185/0.135)*(H5*1.35/(1.05*H6)) - (1/(H2*(1-EXP(B4/H2))) - 1/B4))^(-1)</f>
        <v>2.7949159554629248</v>
      </c>
      <c r="C21" t="s">
        <v>20</v>
      </c>
      <c r="D21" s="7"/>
      <c r="E21" s="7"/>
    </row>
    <row r="22" spans="1:5" x14ac:dyDescent="0.3">
      <c r="A22" t="s">
        <v>27</v>
      </c>
      <c r="B22" s="4">
        <v>65.566000000000003</v>
      </c>
      <c r="C22" t="s">
        <v>28</v>
      </c>
      <c r="D22" s="6"/>
      <c r="E22" s="7"/>
    </row>
    <row r="23" spans="1:5" x14ac:dyDescent="0.3">
      <c r="A23" t="s">
        <v>26</v>
      </c>
      <c r="B23" s="8">
        <f>(B12/B7)*(0.8/B22)*(0.135/0.185)*(1+B21/B4)^2*(1+B21*(1/(H2*(1-EXP(B4/H2))) - 1/B4))</f>
        <v>5.0473583348252735E-3</v>
      </c>
      <c r="D23" s="7"/>
      <c r="E23" s="7"/>
    </row>
    <row r="24" spans="1:5" x14ac:dyDescent="0.3">
      <c r="A24" t="s">
        <v>29</v>
      </c>
      <c r="B24" s="4">
        <f>0.066468*(B22*1000)^(1/3)</f>
        <v>2.6802306810036529</v>
      </c>
      <c r="D24" s="6"/>
      <c r="E24" s="7"/>
    </row>
    <row r="25" spans="1:5" x14ac:dyDescent="0.3">
      <c r="A25" s="5" t="s">
        <v>31</v>
      </c>
      <c r="B25" s="4"/>
      <c r="D25" s="7"/>
      <c r="E25" s="7"/>
    </row>
    <row r="26" spans="1:5" x14ac:dyDescent="0.3">
      <c r="A26" t="s">
        <v>19</v>
      </c>
      <c r="B26" s="3">
        <f>(B14*(B4+B27)*0.0000001)/(H1*0.185*(1-EXP(-(B4+B27)/H2)))*1000000000</f>
        <v>90.392114765714624</v>
      </c>
      <c r="C26" t="s">
        <v>21</v>
      </c>
      <c r="D26" s="7"/>
      <c r="E26" s="7"/>
    </row>
    <row r="27" spans="1:5" x14ac:dyDescent="0.3">
      <c r="A27" t="s">
        <v>32</v>
      </c>
      <c r="B27" s="3">
        <f>((B7/B14)*(0.185/0.135)*(H5*1.35/(1.05*H6)) - (1/(H2*(1-EXP(B4/H2))) - 1/B4))^(-1)</f>
        <v>0.33885737788710157</v>
      </c>
      <c r="C27" t="s">
        <v>20</v>
      </c>
      <c r="D27" s="7"/>
      <c r="E27" s="7"/>
    </row>
    <row r="28" spans="1:5" x14ac:dyDescent="0.3">
      <c r="A28" t="s">
        <v>27</v>
      </c>
      <c r="B28" s="4">
        <v>72.522000000000006</v>
      </c>
      <c r="C28" t="s">
        <v>28</v>
      </c>
      <c r="D28" s="3"/>
    </row>
    <row r="29" spans="1:5" x14ac:dyDescent="0.3">
      <c r="A29" t="s">
        <v>26</v>
      </c>
      <c r="B29" s="9">
        <f>(B14/B7)*(0.8/B28)*(0.135/0.185)*(1+B27/B4)^2*(1+B27*(1/(H2*(1-EXP(B4/H2))) - 1/B4))</f>
        <v>5.2313426498285843E-4</v>
      </c>
    </row>
    <row r="30" spans="1:5" x14ac:dyDescent="0.3">
      <c r="A30" t="s">
        <v>29</v>
      </c>
      <c r="B30" s="4">
        <f>0.066468*(B28*1000)^(1/3)</f>
        <v>2.771846665216787</v>
      </c>
      <c r="D30" s="4"/>
    </row>
  </sheetData>
  <pageMargins left="0.7" right="0.7" top="0.75" bottom="0.75" header="0.3" footer="0.3"/>
  <pageSetup paperSize="9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zoomScale="85" zoomScaleNormal="85" workbookViewId="0">
      <selection activeCell="B29" sqref="B29"/>
    </sheetView>
  </sheetViews>
  <sheetFormatPr defaultRowHeight="14.4" x14ac:dyDescent="0.3"/>
  <cols>
    <col min="1" max="1" width="30.33203125" customWidth="1"/>
    <col min="2" max="2" width="10.109375" customWidth="1"/>
    <col min="3" max="3" width="10" customWidth="1"/>
  </cols>
  <sheetData>
    <row r="1" spans="1:8" x14ac:dyDescent="0.3">
      <c r="B1">
        <v>1</v>
      </c>
      <c r="C1">
        <v>2</v>
      </c>
      <c r="G1" t="s">
        <v>17</v>
      </c>
      <c r="H1">
        <v>134.6</v>
      </c>
    </row>
    <row r="2" spans="1:8" x14ac:dyDescent="0.3">
      <c r="A2" t="s">
        <v>0</v>
      </c>
      <c r="B2">
        <v>69.78</v>
      </c>
      <c r="C2">
        <v>66.209999999999994</v>
      </c>
      <c r="G2" t="s">
        <v>18</v>
      </c>
      <c r="H2">
        <v>110.67</v>
      </c>
    </row>
    <row r="3" spans="1:8" x14ac:dyDescent="0.3">
      <c r="A3" t="s">
        <v>1</v>
      </c>
      <c r="B3">
        <v>1.3303799999999999</v>
      </c>
      <c r="C3">
        <v>1.32839</v>
      </c>
      <c r="G3" t="s">
        <v>33</v>
      </c>
      <c r="H3">
        <v>112.4</v>
      </c>
    </row>
    <row r="4" spans="1:8" x14ac:dyDescent="0.3">
      <c r="A4" t="s">
        <v>3</v>
      </c>
      <c r="B4" s="1">
        <v>96.32</v>
      </c>
      <c r="G4" t="s">
        <v>34</v>
      </c>
      <c r="H4">
        <v>170.37</v>
      </c>
    </row>
    <row r="5" spans="1:8" x14ac:dyDescent="0.3">
      <c r="A5" t="s">
        <v>4</v>
      </c>
      <c r="B5">
        <v>1.3537699999999999</v>
      </c>
      <c r="C5">
        <v>1.3541399999999999</v>
      </c>
      <c r="D5" s="1">
        <f>(B5-B3)/(C5-C3)</f>
        <v>0.90834951456310975</v>
      </c>
      <c r="E5" t="s">
        <v>2</v>
      </c>
      <c r="G5" s="2" t="s">
        <v>53</v>
      </c>
      <c r="H5">
        <v>0.54</v>
      </c>
    </row>
    <row r="6" spans="1:8" x14ac:dyDescent="0.3">
      <c r="A6" t="s">
        <v>5</v>
      </c>
      <c r="B6">
        <v>1.8279000000000001</v>
      </c>
      <c r="C6">
        <v>1.3243</v>
      </c>
      <c r="D6" s="1">
        <f>B6/C6</f>
        <v>1.380276372423167</v>
      </c>
      <c r="E6" t="s">
        <v>6</v>
      </c>
      <c r="G6" s="2" t="s">
        <v>54</v>
      </c>
      <c r="H6">
        <v>5</v>
      </c>
    </row>
    <row r="7" spans="1:8" x14ac:dyDescent="0.3">
      <c r="A7" t="s">
        <v>14</v>
      </c>
      <c r="B7">
        <f>71.609-B2</f>
        <v>1.8289999999999935</v>
      </c>
      <c r="C7">
        <f>67.467-C2</f>
        <v>1.257000000000005</v>
      </c>
      <c r="D7" s="1">
        <f>B7/C7</f>
        <v>1.4550517104216278</v>
      </c>
    </row>
    <row r="8" spans="1:8" x14ac:dyDescent="0.3">
      <c r="A8" t="s">
        <v>7</v>
      </c>
      <c r="B8" s="1">
        <v>101.4</v>
      </c>
    </row>
    <row r="9" spans="1:8" x14ac:dyDescent="0.3">
      <c r="A9" t="s">
        <v>8</v>
      </c>
      <c r="B9">
        <v>3.8565</v>
      </c>
      <c r="C9">
        <v>2.6465000000000001</v>
      </c>
    </row>
    <row r="10" spans="1:8" x14ac:dyDescent="0.3">
      <c r="A10" t="s">
        <v>9</v>
      </c>
      <c r="B10">
        <f>72.972-B2</f>
        <v>3.1919999999999931</v>
      </c>
      <c r="C10">
        <f>68.166-C2</f>
        <v>1.9560000000000031</v>
      </c>
      <c r="D10" s="1">
        <f>B10/C10</f>
        <v>1.6319018404907915</v>
      </c>
    </row>
    <row r="11" spans="1:8" x14ac:dyDescent="0.3">
      <c r="A11" t="s">
        <v>13</v>
      </c>
      <c r="B11" s="1">
        <v>102.4</v>
      </c>
      <c r="D11" s="1"/>
    </row>
    <row r="12" spans="1:8" x14ac:dyDescent="0.3">
      <c r="A12" s="2" t="s">
        <v>10</v>
      </c>
      <c r="B12">
        <f>B10-B7</f>
        <v>1.3629999999999995</v>
      </c>
      <c r="C12">
        <f>C10-C7</f>
        <v>0.69899999999999807</v>
      </c>
    </row>
    <row r="13" spans="1:8" x14ac:dyDescent="0.3">
      <c r="A13" s="2" t="s">
        <v>11</v>
      </c>
      <c r="B13">
        <v>1.9984999999999999</v>
      </c>
      <c r="C13">
        <v>1.2188000000000001</v>
      </c>
      <c r="D13" s="1">
        <f>B13/C13</f>
        <v>1.6397276009189365</v>
      </c>
    </row>
    <row r="14" spans="1:8" x14ac:dyDescent="0.3">
      <c r="A14" s="2" t="s">
        <v>12</v>
      </c>
      <c r="B14">
        <f>B13-B6</f>
        <v>0.17059999999999986</v>
      </c>
      <c r="C14">
        <f>C13-C6</f>
        <v>-0.10549999999999993</v>
      </c>
    </row>
    <row r="15" spans="1:8" x14ac:dyDescent="0.3">
      <c r="A15" s="2" t="s">
        <v>15</v>
      </c>
      <c r="B15" s="1">
        <v>98.5</v>
      </c>
    </row>
    <row r="18" spans="1:5" x14ac:dyDescent="0.3">
      <c r="A18" t="s">
        <v>16</v>
      </c>
      <c r="B18" s="3">
        <f>(B7*B4*0.0000001)/(H1*0.135*(1-EXP(-B4/H2)))*1000000000</f>
        <v>1668.1460067988021</v>
      </c>
      <c r="C18" t="s">
        <v>21</v>
      </c>
    </row>
    <row r="19" spans="1:5" x14ac:dyDescent="0.3">
      <c r="A19" s="5" t="s">
        <v>30</v>
      </c>
      <c r="B19" s="3"/>
    </row>
    <row r="20" spans="1:5" x14ac:dyDescent="0.3">
      <c r="A20" t="s">
        <v>19</v>
      </c>
      <c r="B20" s="3">
        <f>(B12*(B4+B21)*0.0000001)/(H1*0.185*(1-EXP(-(B4+B21)/H2)))*1000000000</f>
        <v>920.09770831450021</v>
      </c>
      <c r="C20" t="s">
        <v>21</v>
      </c>
      <c r="D20" s="1"/>
    </row>
    <row r="21" spans="1:5" x14ac:dyDescent="0.3">
      <c r="A21" t="s">
        <v>32</v>
      </c>
      <c r="B21" s="3">
        <f>((B7/B12)*(0.185/0.135)*(H5*1.35/(1.05*H6)) - (1/(H2*(1-EXP(B4/H2))) - 1/B4))^(-1)</f>
        <v>3.6732773330994681</v>
      </c>
      <c r="C21" t="s">
        <v>20</v>
      </c>
      <c r="D21" s="7"/>
      <c r="E21" s="7"/>
    </row>
    <row r="22" spans="1:5" x14ac:dyDescent="0.3">
      <c r="A22" t="s">
        <v>27</v>
      </c>
      <c r="B22" s="4">
        <v>63.776000000000003</v>
      </c>
      <c r="C22" t="s">
        <v>28</v>
      </c>
      <c r="D22" s="6"/>
      <c r="E22" s="7"/>
    </row>
    <row r="23" spans="1:5" x14ac:dyDescent="0.3">
      <c r="A23" t="s">
        <v>26</v>
      </c>
      <c r="B23" s="8">
        <f>(B12/B7)*(0.8/B22)*(0.135/0.185)*(1+B21/B4)^2*(1+B21*(1/(H2*(1-EXP(B4/H2))) - 1/B4))</f>
        <v>6.8954610818630774E-3</v>
      </c>
      <c r="D23" s="7"/>
      <c r="E23" s="7"/>
    </row>
    <row r="24" spans="1:5" x14ac:dyDescent="0.3">
      <c r="A24" t="s">
        <v>29</v>
      </c>
      <c r="B24" s="4">
        <f>0.066468*(B22*1000)^(1/3)</f>
        <v>2.6556145341336239</v>
      </c>
      <c r="D24" s="6"/>
      <c r="E24" s="7"/>
    </row>
    <row r="25" spans="1:5" x14ac:dyDescent="0.3">
      <c r="A25" s="5" t="s">
        <v>31</v>
      </c>
      <c r="B25" s="4"/>
      <c r="D25" s="7"/>
      <c r="E25" s="7"/>
    </row>
    <row r="26" spans="1:5" x14ac:dyDescent="0.3">
      <c r="A26" t="s">
        <v>19</v>
      </c>
      <c r="B26" s="3">
        <f>(B14*(B4+B27)*0.0000001)/(H1*0.185*(1-EXP(-(B4+B27)/H2)))*1000000000</f>
        <v>113.75705253886011</v>
      </c>
      <c r="C26" t="s">
        <v>21</v>
      </c>
      <c r="D26" s="7"/>
      <c r="E26" s="7"/>
    </row>
    <row r="27" spans="1:5" x14ac:dyDescent="0.3">
      <c r="A27" t="s">
        <v>32</v>
      </c>
      <c r="B27" s="3">
        <f>((B7/B14)*(0.185/0.135)*(H5*1.35/(1.05*H6)) - (1/(H2*(1-EXP(B4/H2))) - 1/B4))^(-1)</f>
        <v>0.48615818859650706</v>
      </c>
      <c r="C27" t="s">
        <v>20</v>
      </c>
      <c r="D27" s="7"/>
      <c r="E27" s="7"/>
    </row>
    <row r="28" spans="1:5" x14ac:dyDescent="0.3">
      <c r="A28" t="s">
        <v>27</v>
      </c>
      <c r="B28" s="4">
        <v>78.521000000000001</v>
      </c>
      <c r="C28" t="s">
        <v>28</v>
      </c>
      <c r="D28" s="3"/>
    </row>
    <row r="29" spans="1:5" x14ac:dyDescent="0.3">
      <c r="A29" t="s">
        <v>26</v>
      </c>
      <c r="B29" s="9">
        <f>(B14/B7)*(0.8/B28)*(0.135/0.185)*(1+B27/B4)^2*(1+B27*(1/(H2*(1-EXP(B4/H2))) - 1/B4))</f>
        <v>6.9474114137571313E-4</v>
      </c>
    </row>
    <row r="30" spans="1:5" x14ac:dyDescent="0.3">
      <c r="A30" t="s">
        <v>29</v>
      </c>
      <c r="B30" s="4">
        <f>0.066468*(B28*1000)^(1/3)</f>
        <v>2.8462598843803466</v>
      </c>
      <c r="D30" s="4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0"/>
  <sheetViews>
    <sheetView zoomScale="85" zoomScaleNormal="85" workbookViewId="0">
      <selection activeCell="B29" sqref="B29"/>
    </sheetView>
  </sheetViews>
  <sheetFormatPr defaultRowHeight="14.4" x14ac:dyDescent="0.3"/>
  <cols>
    <col min="1" max="1" width="30.33203125" customWidth="1"/>
    <col min="2" max="2" width="10.109375" customWidth="1"/>
    <col min="3" max="3" width="10" customWidth="1"/>
  </cols>
  <sheetData>
    <row r="1" spans="1:8" x14ac:dyDescent="0.3">
      <c r="B1">
        <v>1</v>
      </c>
      <c r="C1">
        <v>2</v>
      </c>
      <c r="G1" t="s">
        <v>17</v>
      </c>
      <c r="H1">
        <v>134.6</v>
      </c>
    </row>
    <row r="2" spans="1:8" x14ac:dyDescent="0.3">
      <c r="A2" t="s">
        <v>0</v>
      </c>
      <c r="B2">
        <v>70.459999999999994</v>
      </c>
      <c r="C2">
        <v>66.72</v>
      </c>
      <c r="G2" t="s">
        <v>18</v>
      </c>
      <c r="H2">
        <v>110.67</v>
      </c>
    </row>
    <row r="3" spans="1:8" x14ac:dyDescent="0.3">
      <c r="A3" t="s">
        <v>1</v>
      </c>
      <c r="B3">
        <v>1.33056</v>
      </c>
      <c r="C3">
        <v>1.3285499999999999</v>
      </c>
      <c r="G3" t="s">
        <v>33</v>
      </c>
      <c r="H3">
        <v>112.4</v>
      </c>
    </row>
    <row r="4" spans="1:8" x14ac:dyDescent="0.3">
      <c r="A4" t="s">
        <v>3</v>
      </c>
      <c r="B4" s="1">
        <v>94.77</v>
      </c>
      <c r="G4" t="s">
        <v>34</v>
      </c>
      <c r="H4">
        <v>170.37</v>
      </c>
    </row>
    <row r="5" spans="1:8" x14ac:dyDescent="0.3">
      <c r="A5" t="s">
        <v>4</v>
      </c>
      <c r="B5">
        <v>1.34497</v>
      </c>
      <c r="C5">
        <v>1.34612</v>
      </c>
      <c r="D5" s="1">
        <f>(B5-B3)/(C5-C3)</f>
        <v>0.8201479795105272</v>
      </c>
      <c r="E5" t="s">
        <v>2</v>
      </c>
      <c r="G5" s="2" t="s">
        <v>53</v>
      </c>
      <c r="H5">
        <v>0.54</v>
      </c>
    </row>
    <row r="6" spans="1:8" x14ac:dyDescent="0.3">
      <c r="A6" t="s">
        <v>5</v>
      </c>
      <c r="B6">
        <v>1.2166140000000001</v>
      </c>
      <c r="C6">
        <v>1.028427</v>
      </c>
      <c r="D6" s="1">
        <f>B6/C6</f>
        <v>1.1829852775160514</v>
      </c>
      <c r="E6" t="s">
        <v>6</v>
      </c>
      <c r="G6" s="2" t="s">
        <v>54</v>
      </c>
      <c r="H6">
        <v>5</v>
      </c>
    </row>
    <row r="7" spans="1:8" x14ac:dyDescent="0.3">
      <c r="A7" t="s">
        <v>14</v>
      </c>
      <c r="B7">
        <f>71.672-B2</f>
        <v>1.2120000000000033</v>
      </c>
      <c r="C7">
        <f>67.607-C2</f>
        <v>0.88700000000000045</v>
      </c>
      <c r="D7" s="1">
        <f>B7/C7</f>
        <v>1.366403607666294</v>
      </c>
    </row>
    <row r="8" spans="1:8" x14ac:dyDescent="0.3">
      <c r="A8" t="s">
        <v>7</v>
      </c>
      <c r="B8" s="1">
        <v>70</v>
      </c>
    </row>
    <row r="9" spans="1:8" x14ac:dyDescent="0.3">
      <c r="A9" t="s">
        <v>8</v>
      </c>
      <c r="B9">
        <v>3.8565</v>
      </c>
      <c r="C9">
        <v>2.6465000000000001</v>
      </c>
    </row>
    <row r="10" spans="1:8" x14ac:dyDescent="0.3">
      <c r="A10" t="s">
        <v>9</v>
      </c>
      <c r="B10">
        <f>73.12-B2</f>
        <v>2.6600000000000108</v>
      </c>
      <c r="C10">
        <f>68.402-C2</f>
        <v>1.6820000000000022</v>
      </c>
      <c r="D10" s="1">
        <f>B10/C10</f>
        <v>1.5814506539833575</v>
      </c>
    </row>
    <row r="11" spans="1:8" x14ac:dyDescent="0.3">
      <c r="A11" t="s">
        <v>13</v>
      </c>
      <c r="B11" s="1">
        <v>130</v>
      </c>
      <c r="D11" s="1"/>
    </row>
    <row r="12" spans="1:8" x14ac:dyDescent="0.3">
      <c r="A12" s="2" t="s">
        <v>10</v>
      </c>
      <c r="B12">
        <f>B10-B7</f>
        <v>1.4480000000000075</v>
      </c>
      <c r="C12">
        <f>C10-C7</f>
        <v>0.79500000000000171</v>
      </c>
    </row>
    <row r="13" spans="1:8" x14ac:dyDescent="0.3">
      <c r="A13" s="2" t="s">
        <v>11</v>
      </c>
      <c r="B13">
        <v>1.6895</v>
      </c>
      <c r="C13">
        <v>1.0986</v>
      </c>
      <c r="D13" s="1">
        <f>B13/C13</f>
        <v>1.537866375386856</v>
      </c>
    </row>
    <row r="14" spans="1:8" x14ac:dyDescent="0.3">
      <c r="A14" s="2" t="s">
        <v>12</v>
      </c>
      <c r="B14">
        <f>B13-B6</f>
        <v>0.47288599999999992</v>
      </c>
      <c r="C14">
        <f>C13-C6</f>
        <v>7.0173000000000041E-2</v>
      </c>
    </row>
    <row r="15" spans="1:8" x14ac:dyDescent="0.3">
      <c r="A15" s="2" t="s">
        <v>15</v>
      </c>
      <c r="B15" s="1">
        <v>156.9</v>
      </c>
    </row>
    <row r="18" spans="1:5" x14ac:dyDescent="0.3">
      <c r="A18" t="s">
        <v>16</v>
      </c>
      <c r="B18" s="3">
        <f>(B7*B4*0.0000001)/(H1*0.135*(1-EXP(-B4/H2)))*1000000000</f>
        <v>1098.7881335232664</v>
      </c>
      <c r="C18" t="s">
        <v>21</v>
      </c>
      <c r="D18">
        <f>B18/1905.995</f>
        <v>0.5764905645205084</v>
      </c>
    </row>
    <row r="19" spans="1:5" x14ac:dyDescent="0.3">
      <c r="A19" s="5" t="s">
        <v>30</v>
      </c>
      <c r="B19" s="3"/>
    </row>
    <row r="20" spans="1:5" x14ac:dyDescent="0.3">
      <c r="A20" t="s">
        <v>19</v>
      </c>
      <c r="B20" s="3">
        <f>(B12*(B4+B21)*0.0000001)/(H1*0.185*(1-EXP(-(B4+B21)/H2)))*1000000000</f>
        <v>979.14222723531998</v>
      </c>
      <c r="C20" t="s">
        <v>21</v>
      </c>
      <c r="D20" s="1"/>
    </row>
    <row r="21" spans="1:5" x14ac:dyDescent="0.3">
      <c r="A21" t="s">
        <v>32</v>
      </c>
      <c r="B21" s="3">
        <f>((B7/B12)*(0.185/0.135)*(H5*1.35/(1.05*H6)) - (1/(H2*(1-EXP(B4/H2))) - 1/B4))^(-1)</f>
        <v>5.6658781683437276</v>
      </c>
      <c r="C21" t="s">
        <v>20</v>
      </c>
      <c r="D21" s="7"/>
      <c r="E21" s="7"/>
    </row>
    <row r="22" spans="1:5" x14ac:dyDescent="0.3">
      <c r="A22" t="s">
        <v>27</v>
      </c>
      <c r="B22" s="4">
        <v>65.046999999999997</v>
      </c>
      <c r="C22" t="s">
        <v>28</v>
      </c>
      <c r="D22" s="6"/>
      <c r="E22" s="7"/>
    </row>
    <row r="23" spans="1:5" x14ac:dyDescent="0.3">
      <c r="A23" t="s">
        <v>26</v>
      </c>
      <c r="B23" s="8">
        <f>(B12/B7)*(0.8/B22)*(0.135/0.185)*(1+B21/B4)^2*(1+B21*(1/(H2*(1-EXP(B4/H2))) - 1/B4))</f>
        <v>1.0867613218840335E-2</v>
      </c>
      <c r="D23" s="7"/>
      <c r="E23" s="7"/>
    </row>
    <row r="24" spans="1:5" x14ac:dyDescent="0.3">
      <c r="A24" t="s">
        <v>29</v>
      </c>
      <c r="B24" s="4">
        <f>0.066468*(B22*1000)^(1/3)</f>
        <v>2.6731399820879087</v>
      </c>
      <c r="D24" s="6"/>
      <c r="E24" s="7"/>
    </row>
    <row r="25" spans="1:5" x14ac:dyDescent="0.3">
      <c r="A25" s="5" t="s">
        <v>31</v>
      </c>
      <c r="B25" s="4"/>
      <c r="D25" s="7"/>
      <c r="E25" s="7"/>
    </row>
    <row r="26" spans="1:5" x14ac:dyDescent="0.3">
      <c r="A26" t="s">
        <v>19</v>
      </c>
      <c r="B26" s="3">
        <f>(B14*(B4+B27)*0.0000001)/(H1*0.185*(1-EXP(-(B4+B27)/H2)))*1000000000</f>
        <v>315.2552113253933</v>
      </c>
      <c r="C26" t="s">
        <v>21</v>
      </c>
      <c r="D26" s="7"/>
      <c r="E26" s="7"/>
    </row>
    <row r="27" spans="1:5" x14ac:dyDescent="0.3">
      <c r="A27" t="s">
        <v>32</v>
      </c>
      <c r="B27" s="3">
        <f>((B7/B14)*(0.185/0.135)*(H5*1.35/(1.05*H6)) - (1/(H2*(1-EXP(B4/H2))) - 1/B4))^(-1)</f>
        <v>1.9805023802593147</v>
      </c>
      <c r="C27" t="s">
        <v>20</v>
      </c>
      <c r="D27" s="7"/>
      <c r="E27" s="7"/>
    </row>
    <row r="28" spans="1:5" x14ac:dyDescent="0.3">
      <c r="A28" t="s">
        <v>27</v>
      </c>
      <c r="B28" s="4">
        <v>77.917000000000002</v>
      </c>
      <c r="C28" t="s">
        <v>28</v>
      </c>
      <c r="D28" s="3"/>
    </row>
    <row r="29" spans="1:5" x14ac:dyDescent="0.3">
      <c r="A29" t="s">
        <v>26</v>
      </c>
      <c r="B29" s="9">
        <f>(B14/B7)*(0.8/B28)*(0.135/0.185)*(1+B27/B4)^2*(1+B27*(1/(H2*(1-EXP(B4/H2))) - 1/B4))</f>
        <v>2.9428359592510111E-3</v>
      </c>
    </row>
    <row r="30" spans="1:5" x14ac:dyDescent="0.3">
      <c r="A30" t="s">
        <v>29</v>
      </c>
      <c r="B30" s="4">
        <f>0.066468*(B28*1000)^(1/3)</f>
        <v>2.838943082071399</v>
      </c>
      <c r="D30" s="4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0"/>
  <sheetViews>
    <sheetView zoomScale="85" zoomScaleNormal="85" workbookViewId="0">
      <selection activeCell="B29" sqref="B29"/>
    </sheetView>
  </sheetViews>
  <sheetFormatPr defaultRowHeight="14.4" x14ac:dyDescent="0.3"/>
  <cols>
    <col min="1" max="1" width="30.33203125" customWidth="1"/>
    <col min="2" max="2" width="10.109375" customWidth="1"/>
    <col min="3" max="3" width="10" customWidth="1"/>
  </cols>
  <sheetData>
    <row r="1" spans="1:8" x14ac:dyDescent="0.3">
      <c r="B1">
        <v>1</v>
      </c>
      <c r="C1">
        <v>2</v>
      </c>
      <c r="G1" t="s">
        <v>17</v>
      </c>
      <c r="H1">
        <v>134.6</v>
      </c>
    </row>
    <row r="2" spans="1:8" x14ac:dyDescent="0.3">
      <c r="A2" t="s">
        <v>0</v>
      </c>
      <c r="B2">
        <v>69.790000000000006</v>
      </c>
      <c r="C2">
        <v>66.27</v>
      </c>
      <c r="G2" t="s">
        <v>18</v>
      </c>
      <c r="H2">
        <v>110.67</v>
      </c>
    </row>
    <row r="3" spans="1:8" x14ac:dyDescent="0.3">
      <c r="A3" t="s">
        <v>1</v>
      </c>
      <c r="B3">
        <v>1.3310200000000001</v>
      </c>
      <c r="C3">
        <v>1.32887</v>
      </c>
      <c r="G3" t="s">
        <v>33</v>
      </c>
      <c r="H3">
        <v>112.4</v>
      </c>
    </row>
    <row r="4" spans="1:8" x14ac:dyDescent="0.3">
      <c r="A4" t="s">
        <v>3</v>
      </c>
      <c r="B4" s="1">
        <v>60.11</v>
      </c>
      <c r="G4" t="s">
        <v>34</v>
      </c>
      <c r="H4">
        <v>170.37</v>
      </c>
    </row>
    <row r="5" spans="1:8" x14ac:dyDescent="0.3">
      <c r="A5" t="s">
        <v>4</v>
      </c>
      <c r="B5">
        <v>1.3400700000000001</v>
      </c>
      <c r="C5">
        <v>1.34128</v>
      </c>
      <c r="D5" s="1">
        <f>(B5-B3)/(C5-C3)</f>
        <v>0.72925060435132794</v>
      </c>
      <c r="E5" t="s">
        <v>2</v>
      </c>
      <c r="G5" s="2" t="s">
        <v>53</v>
      </c>
      <c r="H5">
        <v>0.54</v>
      </c>
    </row>
    <row r="6" spans="1:8" x14ac:dyDescent="0.3">
      <c r="A6" t="s">
        <v>5</v>
      </c>
      <c r="B6">
        <v>0.495</v>
      </c>
      <c r="C6">
        <v>0.44090000000000001</v>
      </c>
      <c r="D6" s="1">
        <f>B6/C6</f>
        <v>1.1227035608981628</v>
      </c>
      <c r="E6" t="s">
        <v>6</v>
      </c>
      <c r="G6" s="2" t="s">
        <v>54</v>
      </c>
      <c r="H6">
        <v>5</v>
      </c>
    </row>
    <row r="7" spans="1:8" x14ac:dyDescent="0.3">
      <c r="A7" t="s">
        <v>14</v>
      </c>
      <c r="B7">
        <f>70.28-B2</f>
        <v>0.48999999999999488</v>
      </c>
      <c r="C7">
        <f>66.67-C2</f>
        <v>0.40000000000000568</v>
      </c>
      <c r="D7" s="1">
        <f>B7/C7</f>
        <v>1.2249999999999699</v>
      </c>
    </row>
    <row r="8" spans="1:8" x14ac:dyDescent="0.3">
      <c r="A8" t="s">
        <v>7</v>
      </c>
      <c r="B8" s="1">
        <v>63.8</v>
      </c>
    </row>
    <row r="9" spans="1:8" x14ac:dyDescent="0.3">
      <c r="A9" t="s">
        <v>8</v>
      </c>
      <c r="B9">
        <v>2.6297999999999999</v>
      </c>
      <c r="C9">
        <v>1.8940999999999999</v>
      </c>
    </row>
    <row r="10" spans="1:8" x14ac:dyDescent="0.3">
      <c r="A10" t="s">
        <v>9</v>
      </c>
      <c r="B10">
        <f>71.537-B2</f>
        <v>1.7469999999999999</v>
      </c>
      <c r="C10">
        <f>67.297-C2</f>
        <v>1.027000000000001</v>
      </c>
      <c r="D10" s="1">
        <f>B10/C10</f>
        <v>1.7010710808179144</v>
      </c>
    </row>
    <row r="11" spans="1:8" x14ac:dyDescent="0.3">
      <c r="A11" t="s">
        <v>13</v>
      </c>
      <c r="B11" s="1">
        <v>69.2</v>
      </c>
      <c r="D11" s="1"/>
    </row>
    <row r="12" spans="1:8" x14ac:dyDescent="0.3">
      <c r="A12" s="2" t="s">
        <v>10</v>
      </c>
      <c r="B12">
        <f>B10-B7</f>
        <v>1.257000000000005</v>
      </c>
      <c r="C12">
        <f>C10-C7</f>
        <v>0.62699999999999534</v>
      </c>
    </row>
    <row r="13" spans="1:8" x14ac:dyDescent="0.3">
      <c r="A13" s="2" t="s">
        <v>11</v>
      </c>
      <c r="B13">
        <v>0.83540000000000003</v>
      </c>
      <c r="C13">
        <v>0.4894</v>
      </c>
      <c r="D13" s="1">
        <f>B13/C13</f>
        <v>1.7069881487535759</v>
      </c>
    </row>
    <row r="14" spans="1:8" x14ac:dyDescent="0.3">
      <c r="A14" s="2" t="s">
        <v>12</v>
      </c>
      <c r="B14">
        <f>B13-B6</f>
        <v>0.34040000000000004</v>
      </c>
      <c r="C14">
        <f>C13-C6</f>
        <v>4.8499999999999988E-2</v>
      </c>
    </row>
    <row r="15" spans="1:8" x14ac:dyDescent="0.3">
      <c r="A15" s="2" t="s">
        <v>15</v>
      </c>
      <c r="B15" s="1">
        <v>66.599999999999994</v>
      </c>
    </row>
    <row r="18" spans="1:5" x14ac:dyDescent="0.3">
      <c r="A18" t="s">
        <v>16</v>
      </c>
      <c r="B18" s="3">
        <f>(B7*B4*0.0000001)/(H1*0.135*(1-EXP(-B4/H2)))*1000000000</f>
        <v>386.78052351847339</v>
      </c>
      <c r="C18" t="s">
        <v>21</v>
      </c>
    </row>
    <row r="19" spans="1:5" x14ac:dyDescent="0.3">
      <c r="A19" s="5" t="s">
        <v>30</v>
      </c>
      <c r="B19" s="3"/>
    </row>
    <row r="20" spans="1:5" x14ac:dyDescent="0.3">
      <c r="A20" t="s">
        <v>19</v>
      </c>
      <c r="B20" s="3">
        <f>(B12*(B4+B21)*0.0000001)/(H1*0.185*(1-EXP(-(B4+B21)/H2)))*1000000000</f>
        <v>753.19364005757325</v>
      </c>
      <c r="C20" t="s">
        <v>21</v>
      </c>
      <c r="D20" s="1"/>
    </row>
    <row r="21" spans="1:5" x14ac:dyDescent="0.3">
      <c r="A21" t="s">
        <v>32</v>
      </c>
      <c r="B21" s="3">
        <f>((B7/B12)*(0.185/0.135)*(H5*1.35/(1.05*H6)) - (1/(H2*(1-EXP(B4/H2))) - 1/B4))^(-1)</f>
        <v>9.6769827661708003</v>
      </c>
      <c r="C21" t="s">
        <v>20</v>
      </c>
      <c r="E21" s="1"/>
    </row>
    <row r="22" spans="1:5" x14ac:dyDescent="0.3">
      <c r="A22" t="s">
        <v>27</v>
      </c>
      <c r="B22" s="4">
        <v>64.963999999999999</v>
      </c>
      <c r="C22" t="s">
        <v>28</v>
      </c>
      <c r="D22" s="3"/>
    </row>
    <row r="23" spans="1:5" x14ac:dyDescent="0.3">
      <c r="A23" t="s">
        <v>26</v>
      </c>
      <c r="B23" s="8">
        <f>(B12/B7)*(0.8/B22)*(0.135/0.185)*(1+B21/B4)^2*(1+B21*(1/(H2*(1-EXP(B4/H2))) - 1/B4))</f>
        <v>2.2303900038139722E-2</v>
      </c>
    </row>
    <row r="24" spans="1:5" x14ac:dyDescent="0.3">
      <c r="A24" t="s">
        <v>29</v>
      </c>
      <c r="B24" s="4">
        <f>0.066468*(B22*1000)^(1/3)</f>
        <v>2.6720025222282744</v>
      </c>
      <c r="D24" s="4"/>
    </row>
    <row r="25" spans="1:5" x14ac:dyDescent="0.3">
      <c r="A25" s="5" t="s">
        <v>31</v>
      </c>
      <c r="B25" s="4"/>
    </row>
    <row r="26" spans="1:5" x14ac:dyDescent="0.3">
      <c r="A26" t="s">
        <v>19</v>
      </c>
      <c r="B26" s="3">
        <f>(B14*(B4+B27)*0.0000001)/(H1*0.185*(1-EXP(-(B4+B27)/H2)))*1000000000</f>
        <v>198.74449410304825</v>
      </c>
      <c r="C26" t="s">
        <v>21</v>
      </c>
      <c r="D26" s="1"/>
    </row>
    <row r="27" spans="1:5" x14ac:dyDescent="0.3">
      <c r="A27" t="s">
        <v>32</v>
      </c>
      <c r="B27" s="3">
        <f>((B7/B14)*(0.185/0.135)*(H5*1.35/(1.05*H6)) - (1/(H2*(1-EXP(B4/H2))) - 1/B4))^(-1)</f>
        <v>3.2995195507796495</v>
      </c>
      <c r="C27" t="s">
        <v>20</v>
      </c>
      <c r="E27" s="1"/>
    </row>
    <row r="28" spans="1:5" x14ac:dyDescent="0.3">
      <c r="A28" t="s">
        <v>27</v>
      </c>
      <c r="B28" s="4">
        <v>74.212000000000003</v>
      </c>
      <c r="C28" t="s">
        <v>28</v>
      </c>
      <c r="D28" s="3"/>
    </row>
    <row r="29" spans="1:5" x14ac:dyDescent="0.3">
      <c r="A29" t="s">
        <v>26</v>
      </c>
      <c r="B29" s="9">
        <f>(B14/B7)*(0.8/B28)*(0.135/0.185)*(1+B27/B4)^2*(1+B27*(1/(H2*(1-EXP(B4/H2))) - 1/B4))</f>
        <v>5.4960446372322716E-3</v>
      </c>
    </row>
    <row r="30" spans="1:5" x14ac:dyDescent="0.3">
      <c r="A30" t="s">
        <v>29</v>
      </c>
      <c r="B30" s="4">
        <f>0.066468*(B28*1000)^(1/3)</f>
        <v>2.7932125831597396</v>
      </c>
      <c r="D30" s="4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0"/>
  <sheetViews>
    <sheetView zoomScale="85" zoomScaleNormal="85" workbookViewId="0">
      <selection activeCell="B29" sqref="B29"/>
    </sheetView>
  </sheetViews>
  <sheetFormatPr defaultRowHeight="14.4" x14ac:dyDescent="0.3"/>
  <cols>
    <col min="1" max="1" width="30.33203125" customWidth="1"/>
    <col min="2" max="2" width="10.109375" customWidth="1"/>
    <col min="3" max="3" width="10" customWidth="1"/>
  </cols>
  <sheetData>
    <row r="1" spans="1:8" x14ac:dyDescent="0.3">
      <c r="B1">
        <v>1</v>
      </c>
      <c r="C1">
        <v>2</v>
      </c>
      <c r="G1" t="s">
        <v>17</v>
      </c>
      <c r="H1">
        <v>134.6</v>
      </c>
    </row>
    <row r="2" spans="1:8" x14ac:dyDescent="0.3">
      <c r="A2" t="s">
        <v>0</v>
      </c>
      <c r="B2">
        <v>70.55</v>
      </c>
      <c r="C2">
        <v>66.739999999999995</v>
      </c>
      <c r="G2" t="s">
        <v>18</v>
      </c>
      <c r="H2">
        <v>110.67</v>
      </c>
    </row>
    <row r="3" spans="1:8" x14ac:dyDescent="0.3">
      <c r="A3" t="s">
        <v>1</v>
      </c>
      <c r="B3">
        <v>1.3311299999999999</v>
      </c>
      <c r="C3">
        <v>1.3288899999999999</v>
      </c>
      <c r="G3" t="s">
        <v>33</v>
      </c>
      <c r="H3">
        <v>112.4</v>
      </c>
    </row>
    <row r="4" spans="1:8" x14ac:dyDescent="0.3">
      <c r="A4" t="s">
        <v>3</v>
      </c>
      <c r="B4" s="1">
        <v>58.23</v>
      </c>
      <c r="G4" t="s">
        <v>34</v>
      </c>
      <c r="H4">
        <v>170.37</v>
      </c>
    </row>
    <row r="5" spans="1:8" x14ac:dyDescent="0.3">
      <c r="A5" t="s">
        <v>4</v>
      </c>
      <c r="B5">
        <v>1.3379700000000001</v>
      </c>
      <c r="C5">
        <v>1.33965</v>
      </c>
      <c r="D5" s="1">
        <f>(B5-B3)/(C5-C3)</f>
        <v>0.63568773234201803</v>
      </c>
      <c r="E5" t="s">
        <v>2</v>
      </c>
      <c r="G5" s="2" t="s">
        <v>53</v>
      </c>
      <c r="H5">
        <v>0.54</v>
      </c>
    </row>
    <row r="6" spans="1:8" x14ac:dyDescent="0.3">
      <c r="A6" t="s">
        <v>5</v>
      </c>
      <c r="B6">
        <v>0.3644</v>
      </c>
      <c r="C6">
        <v>0.38400000000000001</v>
      </c>
      <c r="D6" s="1">
        <f>B6/C6</f>
        <v>0.94895833333333335</v>
      </c>
      <c r="E6" t="s">
        <v>6</v>
      </c>
      <c r="G6" s="2" t="s">
        <v>54</v>
      </c>
      <c r="H6">
        <v>5</v>
      </c>
    </row>
    <row r="7" spans="1:8" x14ac:dyDescent="0.3">
      <c r="A7" t="s">
        <v>14</v>
      </c>
      <c r="B7">
        <f>70.927-B2</f>
        <v>0.37700000000000955</v>
      </c>
      <c r="C7">
        <f>67.11-C2</f>
        <v>0.37000000000000455</v>
      </c>
      <c r="D7" s="1">
        <f>B7/C7</f>
        <v>1.0189189189189323</v>
      </c>
    </row>
    <row r="8" spans="1:8" x14ac:dyDescent="0.3">
      <c r="A8" t="s">
        <v>7</v>
      </c>
      <c r="B8" s="1">
        <v>100.9</v>
      </c>
    </row>
    <row r="9" spans="1:8" x14ac:dyDescent="0.3">
      <c r="A9" t="s">
        <v>8</v>
      </c>
      <c r="B9">
        <v>2.2309000000000001</v>
      </c>
      <c r="C9">
        <v>1.6891</v>
      </c>
    </row>
    <row r="10" spans="1:8" x14ac:dyDescent="0.3">
      <c r="A10" t="s">
        <v>9</v>
      </c>
      <c r="B10">
        <f>72.432-B2</f>
        <v>1.882000000000005</v>
      </c>
      <c r="C10">
        <f>67.989-C2</f>
        <v>1.2490000000000094</v>
      </c>
      <c r="D10" s="1">
        <f>B10/C10</f>
        <v>1.506805444355477</v>
      </c>
    </row>
    <row r="11" spans="1:8" x14ac:dyDescent="0.3">
      <c r="A11" t="s">
        <v>13</v>
      </c>
      <c r="B11" s="1">
        <v>172.8</v>
      </c>
      <c r="D11" s="1"/>
    </row>
    <row r="12" spans="1:8" x14ac:dyDescent="0.3">
      <c r="A12" s="2" t="s">
        <v>10</v>
      </c>
      <c r="B12">
        <f>B10-B7</f>
        <v>1.5049999999999955</v>
      </c>
      <c r="C12">
        <f>C10-C7</f>
        <v>0.87900000000000489</v>
      </c>
    </row>
    <row r="13" spans="1:8" x14ac:dyDescent="0.3">
      <c r="A13" s="2" t="s">
        <v>11</v>
      </c>
      <c r="B13">
        <v>0.61650000000000005</v>
      </c>
      <c r="C13">
        <v>0.39900000000000002</v>
      </c>
      <c r="D13" s="1">
        <f>B13/C13</f>
        <v>1.5451127819548873</v>
      </c>
    </row>
    <row r="14" spans="1:8" x14ac:dyDescent="0.3">
      <c r="A14" s="2" t="s">
        <v>12</v>
      </c>
      <c r="B14">
        <f>B13-B6</f>
        <v>0.25210000000000005</v>
      </c>
      <c r="C14">
        <f>C13-C6</f>
        <v>1.5000000000000013E-2</v>
      </c>
    </row>
    <row r="15" spans="1:8" x14ac:dyDescent="0.3">
      <c r="A15" s="2" t="s">
        <v>15</v>
      </c>
      <c r="B15" s="1">
        <v>152.19999999999999</v>
      </c>
    </row>
    <row r="18" spans="1:5" x14ac:dyDescent="0.3">
      <c r="A18" t="s">
        <v>16</v>
      </c>
      <c r="B18" s="3">
        <f>(B7*B4*0.0000001)/(H1*0.135*(1-EXP(-B4/H2)))*1000000000</f>
        <v>295.28965861904248</v>
      </c>
      <c r="C18" t="s">
        <v>21</v>
      </c>
    </row>
    <row r="19" spans="1:5" x14ac:dyDescent="0.3">
      <c r="A19" s="5" t="s">
        <v>30</v>
      </c>
      <c r="B19" s="3"/>
    </row>
    <row r="20" spans="1:5" x14ac:dyDescent="0.3">
      <c r="A20" t="s">
        <v>19</v>
      </c>
      <c r="B20" s="3">
        <f>(B12*(B4+B21)*0.0000001)/(H1*0.185*(1-EXP(-(B4+B21)/H2)))*1000000000</f>
        <v>906.47924455220721</v>
      </c>
      <c r="C20" t="s">
        <v>21</v>
      </c>
      <c r="D20" s="1"/>
    </row>
    <row r="21" spans="1:5" x14ac:dyDescent="0.3">
      <c r="A21" t="s">
        <v>32</v>
      </c>
      <c r="B21" s="3">
        <f>((B7/B12)*(0.185/0.135)*(H5*1.35/(1.05*H6)) - (1/(H2*(1-EXP(B4/H2))) - 1/B4))^(-1)</f>
        <v>12.838741887329482</v>
      </c>
      <c r="C21" t="s">
        <v>20</v>
      </c>
      <c r="E21" s="1"/>
    </row>
    <row r="22" spans="1:5" x14ac:dyDescent="0.3">
      <c r="A22" t="s">
        <v>27</v>
      </c>
      <c r="B22" s="4">
        <v>65.971999999999994</v>
      </c>
      <c r="C22" t="s">
        <v>28</v>
      </c>
      <c r="D22" s="3"/>
    </row>
    <row r="23" spans="1:5" x14ac:dyDescent="0.3">
      <c r="A23" t="s">
        <v>26</v>
      </c>
      <c r="B23" s="8">
        <f>(B12/B7)*(0.8/B22)*(0.135/0.185)*(1+B21/B4)^2*(1+B21*(1/(H2*(1-EXP(B4/H2))) - 1/B4))</f>
        <v>3.2202137775565215E-2</v>
      </c>
    </row>
    <row r="24" spans="1:5" x14ac:dyDescent="0.3">
      <c r="A24" t="s">
        <v>29</v>
      </c>
      <c r="B24" s="4">
        <f>0.066468*(B22*1000)^(1/3)</f>
        <v>2.6857515062092987</v>
      </c>
      <c r="D24" s="4"/>
    </row>
    <row r="25" spans="1:5" x14ac:dyDescent="0.3">
      <c r="A25" s="5" t="s">
        <v>31</v>
      </c>
      <c r="B25" s="4"/>
    </row>
    <row r="26" spans="1:5" x14ac:dyDescent="0.3">
      <c r="A26" t="s">
        <v>19</v>
      </c>
      <c r="B26" s="3">
        <f>(B14*(B4+B27)*0.0000001)/(H1*0.185*(1-EXP(-(B4+B27)/H2)))*1000000000</f>
        <v>145.98767380347167</v>
      </c>
      <c r="C26" t="s">
        <v>21</v>
      </c>
      <c r="D26" s="1"/>
    </row>
    <row r="27" spans="1:5" x14ac:dyDescent="0.3">
      <c r="A27" t="s">
        <v>32</v>
      </c>
      <c r="B27" s="3">
        <f>((B7/B14)*(0.185/0.135)*(H5*1.35/(1.05*H6)) - (1/(H2*(1-EXP(B4/H2))) - 1/B4))^(-1)</f>
        <v>3.1767861306997545</v>
      </c>
      <c r="C27" t="s">
        <v>20</v>
      </c>
      <c r="E27" s="1"/>
    </row>
    <row r="28" spans="1:5" x14ac:dyDescent="0.3">
      <c r="A28" t="s">
        <v>27</v>
      </c>
      <c r="B28" s="4">
        <v>82.656000000000006</v>
      </c>
      <c r="C28" t="s">
        <v>28</v>
      </c>
      <c r="D28" s="3"/>
    </row>
    <row r="29" spans="1:5" x14ac:dyDescent="0.3">
      <c r="A29" t="s">
        <v>26</v>
      </c>
      <c r="B29" s="9">
        <f>(B14/B7)*(0.8/B28)*(0.135/0.185)*(1+B27/B4)^2*(1+B27*(1/(H2*(1-EXP(B4/H2))) - 1/B4))</f>
        <v>4.7480027464492751E-3</v>
      </c>
    </row>
    <row r="30" spans="1:5" x14ac:dyDescent="0.3">
      <c r="A30" t="s">
        <v>29</v>
      </c>
      <c r="B30" s="4">
        <f>0.066468*(B28*1000)^(1/3)</f>
        <v>2.8953700166018117</v>
      </c>
      <c r="D30" s="4"/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Average</vt:lpstr>
      <vt:lpstr>Molecular weight</vt:lpstr>
      <vt:lpstr>Control</vt:lpstr>
      <vt:lpstr>Control (2)</vt:lpstr>
      <vt:lpstr>F1-1</vt:lpstr>
      <vt:lpstr>F1-2</vt:lpstr>
      <vt:lpstr>F1-3</vt:lpstr>
      <vt:lpstr>F2-1</vt:lpstr>
      <vt:lpstr>F2-2</vt:lpstr>
      <vt:lpstr>F2-3</vt:lpstr>
      <vt:lpstr>F3-1</vt:lpstr>
      <vt:lpstr>F3-2</vt:lpstr>
      <vt:lpstr>F3-3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2019-08-18T16:29:10Z</dcterms:modified>
</cp:coreProperties>
</file>