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EM2PAL\Desktop\"/>
    </mc:Choice>
  </mc:AlternateContent>
  <bookViews>
    <workbookView xWindow="0" yWindow="0" windowWidth="24000" windowHeight="9780"/>
  </bookViews>
  <sheets>
    <sheet name="baseline_calculation_6%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G14" i="1" l="1"/>
  <c r="C5" i="1" l="1"/>
  <c r="D28" i="1"/>
  <c r="C16" i="1"/>
  <c r="C25" i="1" s="1"/>
  <c r="G4" i="1"/>
  <c r="G6" i="1"/>
  <c r="G8" i="1" l="1"/>
  <c r="C8" i="1" s="1"/>
  <c r="C7" i="1" s="1"/>
  <c r="G9" i="1"/>
  <c r="G10" i="1" l="1"/>
  <c r="C19" i="1"/>
  <c r="C18" i="1" l="1"/>
  <c r="C10" i="1"/>
  <c r="C20" i="1" l="1"/>
  <c r="C27" i="1"/>
  <c r="C28" i="1" s="1"/>
</calcChain>
</file>

<file path=xl/sharedStrings.xml><?xml version="1.0" encoding="utf-8"?>
<sst xmlns="http://schemas.openxmlformats.org/spreadsheetml/2006/main" count="70" uniqueCount="65">
  <si>
    <t>Li0.3MO2 --&gt; a LiyMOz + b LixMO2 + cO2</t>
  </si>
  <si>
    <t>Stoichiometry</t>
  </si>
  <si>
    <t>x</t>
  </si>
  <si>
    <t>y</t>
  </si>
  <si>
    <t>z</t>
  </si>
  <si>
    <t>TGA mass loss %</t>
  </si>
  <si>
    <t>MW O2</t>
  </si>
  <si>
    <t>MW Li</t>
  </si>
  <si>
    <t>MW M (=NCA)</t>
  </si>
  <si>
    <t>MW O</t>
  </si>
  <si>
    <t>MW Li0.3MO2</t>
  </si>
  <si>
    <t>MW LiyMOz</t>
  </si>
  <si>
    <t>MW LixMO2</t>
  </si>
  <si>
    <t>a</t>
  </si>
  <si>
    <t>b</t>
  </si>
  <si>
    <t>c</t>
  </si>
  <si>
    <t>RS M ox state</t>
  </si>
  <si>
    <t>0.3 = a*y+b*x</t>
  </si>
  <si>
    <t>1 = a + b</t>
  </si>
  <si>
    <t>2 = a*z + 2*(b+c)</t>
  </si>
  <si>
    <t xml:space="preserve"> --&gt; (2-z-2c)/(2-z) = b</t>
  </si>
  <si>
    <t>check: a*y+b*x</t>
  </si>
  <si>
    <t>Molar Mass</t>
  </si>
  <si>
    <t>Density</t>
  </si>
  <si>
    <t>g/mL</t>
  </si>
  <si>
    <t>g/mol</t>
  </si>
  <si>
    <t>Li0.3MO2</t>
  </si>
  <si>
    <t>LiyMOz</t>
  </si>
  <si>
    <t>LixMO2</t>
  </si>
  <si>
    <t>Volume</t>
  </si>
  <si>
    <t>Vrs</t>
  </si>
  <si>
    <t>Vpore</t>
  </si>
  <si>
    <t>Initial mass</t>
  </si>
  <si>
    <t>g/cc-particle</t>
  </si>
  <si>
    <t>Final mass</t>
  </si>
  <si>
    <t>VLixMO2 * rho LixMO2 + Vrs * rho rs</t>
  </si>
  <si>
    <t>mass loss (%)</t>
  </si>
  <si>
    <t>Check</t>
  </si>
  <si>
    <t>LiMO2</t>
  </si>
  <si>
    <t>Formula</t>
  </si>
  <si>
    <t>Legend</t>
  </si>
  <si>
    <t>yellow</t>
  </si>
  <si>
    <t>Inputs</t>
  </si>
  <si>
    <t>green</t>
  </si>
  <si>
    <t>Outputs</t>
  </si>
  <si>
    <t>NCA0.3</t>
  </si>
  <si>
    <t>Delithiated NCA to x = 0.3</t>
  </si>
  <si>
    <t>Vc0.3</t>
  </si>
  <si>
    <t>Vc0.3 heat</t>
  </si>
  <si>
    <t>Volume fraction of cracks after delithiation</t>
  </si>
  <si>
    <t>Volume fraction of cracks after delithiation + heating</t>
  </si>
  <si>
    <t>Volume fraction of rock salt phase (spinel formation neglected)</t>
  </si>
  <si>
    <t>Volume fraction of mesopores</t>
  </si>
  <si>
    <t>Vchange</t>
  </si>
  <si>
    <t>Vchange %</t>
  </si>
  <si>
    <t>Volume change for NCA grain when delithiated from x = 1 to x = 0.3</t>
  </si>
  <si>
    <t>VNCA0.3 * rho NCA0.3</t>
  </si>
  <si>
    <t>NCAx</t>
  </si>
  <si>
    <t>rho NCAx = ((MW NCAx / MW NCA0.3) * m NCA0.3) / ((100 - Vchange) * VNCA0.3)</t>
  </si>
  <si>
    <t>VNCA0.3</t>
  </si>
  <si>
    <t>Delithiated NCA after heating</t>
  </si>
  <si>
    <t>Vc0.3 + VNCA0.3 = Vc0.3 heat + VNCAx + Vrs + Vpore</t>
  </si>
  <si>
    <t>Vrs = VNCA0.3 * a * (MW rs / MW NCA0.3) * (rho NCA0.3 / rho rs)</t>
  </si>
  <si>
    <t>VNCAx = VNCA0.3 * b * (MW NCAx / MW NCA0.3) * (rho NCA0.3 / rho NCAx)</t>
  </si>
  <si>
    <t>VNCAx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</si>
</sst>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9" fontId="0" fillId="3" borderId="8" xfId="1" applyFont="1" applyFill="1" applyBorder="1"/>
    <xf numFmtId="9" fontId="0" fillId="0" borderId="6" xfId="0" applyNumberFormat="1" applyBorder="1"/>
    <xf numFmtId="9" fontId="0" fillId="2" borderId="2" xfId="0" applyNumberFormat="1" applyFill="1" applyBorder="1"/>
    <xf numFmtId="0" fontId="2" fillId="0" borderId="3" xfId="0" applyFont="1" applyBorder="1"/>
    <xf numFmtId="9" fontId="0" fillId="2" borderId="4" xfId="0" applyNumberFormat="1" applyFill="1" applyBorder="1"/>
    <xf numFmtId="9" fontId="0" fillId="0" borderId="4" xfId="0" applyNumberFormat="1" applyBorder="1"/>
    <xf numFmtId="9" fontId="0" fillId="3" borderId="6" xfId="1" applyFont="1" applyFill="1" applyBorder="1"/>
    <xf numFmtId="0" fontId="0" fillId="0" borderId="3" xfId="0" applyFont="1" applyBorder="1"/>
    <xf numFmtId="0" fontId="0" fillId="0" borderId="8" xfId="0" applyBorder="1"/>
    <xf numFmtId="164" fontId="0" fillId="0" borderId="4" xfId="0" applyNumberFormat="1" applyFill="1" applyBorder="1"/>
    <xf numFmtId="164" fontId="0" fillId="2" borderId="4" xfId="0" applyNumberFormat="1" applyFill="1" applyBorder="1"/>
    <xf numFmtId="0" fontId="0" fillId="0" borderId="5" xfId="0" applyFill="1" applyBorder="1"/>
    <xf numFmtId="0" fontId="0" fillId="2" borderId="3" xfId="0" applyFill="1" applyBorder="1"/>
    <xf numFmtId="0" fontId="0" fillId="3" borderId="3" xfId="0" applyFill="1" applyBorder="1"/>
    <xf numFmtId="165" fontId="0" fillId="0" borderId="0" xfId="0" applyNumberFormat="1" applyBorder="1"/>
    <xf numFmtId="2" fontId="0" fillId="0" borderId="4" xfId="0" applyNumberFormat="1" applyBorder="1"/>
    <xf numFmtId="2" fontId="0" fillId="2" borderId="4" xfId="0" applyNumberFormat="1" applyFill="1" applyBorder="1"/>
    <xf numFmtId="2" fontId="0" fillId="4" borderId="4" xfId="0" applyNumberFormat="1" applyFill="1" applyBorder="1"/>
    <xf numFmtId="2" fontId="0" fillId="0" borderId="6" xfId="0" applyNumberFormat="1" applyBorder="1"/>
    <xf numFmtId="0" fontId="0" fillId="0" borderId="3" xfId="0" applyFill="1" applyBorder="1"/>
    <xf numFmtId="0" fontId="0" fillId="0" borderId="0" xfId="0" applyFill="1" applyBorder="1"/>
    <xf numFmtId="9" fontId="0" fillId="0" borderId="0" xfId="0" applyNumberFormat="1" applyBorder="1"/>
    <xf numFmtId="164" fontId="0" fillId="2" borderId="6" xfId="0" applyNumberFormat="1" applyFill="1" applyBorder="1"/>
    <xf numFmtId="10" fontId="0" fillId="2" borderId="4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P28"/>
  <sheetViews>
    <sheetView tabSelected="1" workbookViewId="0">
      <selection activeCell="F24" sqref="F24"/>
    </sheetView>
  </sheetViews>
  <sheetFormatPr defaultRowHeight="12.75" x14ac:dyDescent="0.2"/>
  <cols>
    <col min="2" max="2" width="13.7109375" bestFit="1" customWidth="1"/>
    <col min="3" max="3" width="51.85546875" customWidth="1"/>
    <col min="4" max="5" width="11.7109375" customWidth="1"/>
    <col min="6" max="6" width="18.28515625" customWidth="1"/>
    <col min="8" max="8" width="13.7109375" bestFit="1" customWidth="1"/>
    <col min="9" max="9" width="10.140625" customWidth="1"/>
  </cols>
  <sheetData>
    <row r="1" spans="2:16" ht="13.5" thickBot="1" x14ac:dyDescent="0.25"/>
    <row r="2" spans="2:16" x14ac:dyDescent="0.2">
      <c r="B2" s="1" t="s">
        <v>1</v>
      </c>
      <c r="C2" s="2" t="s">
        <v>0</v>
      </c>
      <c r="F2" s="1" t="s">
        <v>5</v>
      </c>
      <c r="G2" s="12">
        <v>0.06</v>
      </c>
      <c r="I2" s="1" t="s">
        <v>39</v>
      </c>
      <c r="J2" s="7"/>
      <c r="K2" s="7"/>
      <c r="L2" s="7"/>
      <c r="M2" s="7"/>
      <c r="N2" s="7"/>
      <c r="O2" s="7"/>
      <c r="P2" s="2"/>
    </row>
    <row r="3" spans="2:16" x14ac:dyDescent="0.2">
      <c r="B3" s="3" t="s">
        <v>2</v>
      </c>
      <c r="C3" s="26">
        <v>0.3</v>
      </c>
      <c r="F3" s="13" t="s">
        <v>22</v>
      </c>
      <c r="G3" s="8" t="s">
        <v>25</v>
      </c>
      <c r="I3" s="3" t="s">
        <v>17</v>
      </c>
      <c r="J3" s="9"/>
      <c r="K3" s="9"/>
      <c r="L3" s="9"/>
      <c r="M3" s="9"/>
      <c r="N3" s="9"/>
      <c r="O3" s="9"/>
      <c r="P3" s="8"/>
    </row>
    <row r="4" spans="2:16" x14ac:dyDescent="0.2">
      <c r="B4" s="3" t="s">
        <v>3</v>
      </c>
      <c r="C4" s="26">
        <v>0.3</v>
      </c>
      <c r="F4" s="3" t="s">
        <v>6</v>
      </c>
      <c r="G4" s="8">
        <f>2*G7</f>
        <v>31.998000000000001</v>
      </c>
      <c r="I4" s="3" t="s">
        <v>18</v>
      </c>
      <c r="J4" s="9"/>
      <c r="K4" s="9"/>
      <c r="L4" s="9"/>
      <c r="M4" s="9"/>
      <c r="N4" s="9"/>
      <c r="O4" s="9"/>
      <c r="P4" s="8"/>
    </row>
    <row r="5" spans="2:16" x14ac:dyDescent="0.2">
      <c r="B5" s="3" t="s">
        <v>4</v>
      </c>
      <c r="C5" s="27">
        <f>(C4+C6)/2</f>
        <v>1.1499999999999999</v>
      </c>
      <c r="F5" s="3" t="s">
        <v>7</v>
      </c>
      <c r="G5" s="8">
        <v>6.9409999999999998</v>
      </c>
      <c r="I5" s="3" t="s">
        <v>19</v>
      </c>
      <c r="J5" s="9"/>
      <c r="K5" s="9"/>
      <c r="L5" s="9"/>
      <c r="M5" s="9"/>
      <c r="N5" s="9"/>
      <c r="O5" s="9"/>
      <c r="P5" s="8"/>
    </row>
    <row r="6" spans="2:16" x14ac:dyDescent="0.2">
      <c r="B6" s="3" t="s">
        <v>16</v>
      </c>
      <c r="C6" s="26">
        <v>2</v>
      </c>
      <c r="F6" s="3" t="s">
        <v>8</v>
      </c>
      <c r="G6" s="19">
        <f>0.8*58.6934+0.15*58.933195+0.05*26.981539</f>
        <v>57.143776199999998</v>
      </c>
      <c r="I6" s="3" t="s">
        <v>20</v>
      </c>
      <c r="J6" s="9"/>
      <c r="K6" s="9"/>
      <c r="L6" s="9"/>
      <c r="M6" s="9"/>
      <c r="N6" s="9"/>
      <c r="O6" s="9"/>
      <c r="P6" s="8"/>
    </row>
    <row r="7" spans="2:16" x14ac:dyDescent="0.2">
      <c r="B7" s="3" t="s">
        <v>13</v>
      </c>
      <c r="C7" s="25">
        <f>1-C8</f>
        <v>0.40248431497556825</v>
      </c>
      <c r="F7" s="3" t="s">
        <v>9</v>
      </c>
      <c r="G7" s="8">
        <v>15.999000000000001</v>
      </c>
      <c r="I7" s="3"/>
      <c r="J7" s="9"/>
      <c r="K7" s="9"/>
      <c r="L7" s="9"/>
      <c r="M7" s="9"/>
      <c r="N7" s="9"/>
      <c r="O7" s="9"/>
      <c r="P7" s="8"/>
    </row>
    <row r="8" spans="2:16" x14ac:dyDescent="0.2">
      <c r="B8" s="3" t="s">
        <v>14</v>
      </c>
      <c r="C8" s="25">
        <f>(2-C5-2*C9)/(2-C5)</f>
        <v>0.59751568502443175</v>
      </c>
      <c r="F8" s="3" t="s">
        <v>10</v>
      </c>
      <c r="G8" s="4">
        <f>0.3*G5+G6+G4</f>
        <v>91.224076199999999</v>
      </c>
      <c r="I8" s="3" t="s">
        <v>63</v>
      </c>
      <c r="J8" s="9"/>
      <c r="K8" s="9"/>
      <c r="L8" s="9"/>
      <c r="M8" s="9"/>
      <c r="N8" s="9"/>
      <c r="O8" s="9"/>
      <c r="P8" s="8"/>
    </row>
    <row r="9" spans="2:16" x14ac:dyDescent="0.2">
      <c r="B9" s="3" t="s">
        <v>15</v>
      </c>
      <c r="C9" s="25">
        <f>G2*G8/G4</f>
        <v>0.17105583386461654</v>
      </c>
      <c r="F9" s="3" t="s">
        <v>11</v>
      </c>
      <c r="G9" s="4">
        <f>C4*G5+G6+C5*G7</f>
        <v>77.62492619999999</v>
      </c>
      <c r="I9" s="3" t="s">
        <v>62</v>
      </c>
      <c r="J9" s="9"/>
      <c r="K9" s="9"/>
      <c r="L9" s="9"/>
      <c r="M9" s="9"/>
      <c r="N9" s="9"/>
      <c r="O9" s="9"/>
      <c r="P9" s="8"/>
    </row>
    <row r="10" spans="2:16" ht="13.5" thickBot="1" x14ac:dyDescent="0.25">
      <c r="B10" s="5" t="s">
        <v>21</v>
      </c>
      <c r="C10" s="28">
        <f>C7*C4+C8*C3</f>
        <v>0.3</v>
      </c>
      <c r="F10" s="3" t="s">
        <v>12</v>
      </c>
      <c r="G10" s="4">
        <f>C3*G5+G6+G4</f>
        <v>91.224076199999999</v>
      </c>
      <c r="I10" s="21" t="s">
        <v>58</v>
      </c>
      <c r="J10" s="18"/>
      <c r="K10" s="18"/>
      <c r="L10" s="18"/>
      <c r="M10" s="18"/>
      <c r="N10" s="18"/>
      <c r="O10" s="18"/>
      <c r="P10" s="6"/>
    </row>
    <row r="11" spans="2:16" x14ac:dyDescent="0.2">
      <c r="B11" s="9"/>
      <c r="C11" s="9"/>
      <c r="F11" s="13" t="s">
        <v>54</v>
      </c>
      <c r="G11" s="14">
        <v>0.04</v>
      </c>
      <c r="I11" s="30"/>
      <c r="J11" s="9"/>
      <c r="K11" s="9"/>
      <c r="L11" s="9"/>
      <c r="M11" s="9"/>
      <c r="N11" s="9"/>
      <c r="O11" s="9"/>
      <c r="P11" s="9"/>
    </row>
    <row r="12" spans="2:16" x14ac:dyDescent="0.2">
      <c r="F12" s="13" t="s">
        <v>23</v>
      </c>
      <c r="G12" s="8" t="s">
        <v>24</v>
      </c>
    </row>
    <row r="13" spans="2:16" ht="13.5" thickBot="1" x14ac:dyDescent="0.25">
      <c r="F13" s="17" t="s">
        <v>38</v>
      </c>
      <c r="G13" s="20">
        <v>4.8499999999999996</v>
      </c>
    </row>
    <row r="14" spans="2:16" x14ac:dyDescent="0.2">
      <c r="B14" s="1" t="s">
        <v>29</v>
      </c>
      <c r="C14" s="2" t="s">
        <v>61</v>
      </c>
      <c r="D14" s="9"/>
      <c r="E14" s="9"/>
      <c r="F14" s="3" t="s">
        <v>26</v>
      </c>
      <c r="G14" s="19">
        <f>(G8/SUM(G4:G6))/(1-G11)*G13</f>
        <v>4.7966103103581013</v>
      </c>
    </row>
    <row r="15" spans="2:16" x14ac:dyDescent="0.2">
      <c r="B15" s="3" t="s">
        <v>47</v>
      </c>
      <c r="C15" s="33">
        <v>5.33E-2</v>
      </c>
      <c r="D15" s="9"/>
      <c r="E15" s="9"/>
      <c r="F15" s="3" t="s">
        <v>27</v>
      </c>
      <c r="G15" s="20">
        <v>6.67</v>
      </c>
    </row>
    <row r="16" spans="2:16" ht="13.5" thickBot="1" x14ac:dyDescent="0.25">
      <c r="B16" s="3" t="s">
        <v>59</v>
      </c>
      <c r="C16" s="15">
        <f>1-C15</f>
        <v>0.94669999999999999</v>
      </c>
      <c r="D16" s="9"/>
      <c r="E16" s="9"/>
      <c r="F16" s="5" t="s">
        <v>28</v>
      </c>
      <c r="G16" s="32">
        <v>4.8</v>
      </c>
    </row>
    <row r="17" spans="2:16" x14ac:dyDescent="0.2">
      <c r="B17" s="3" t="s">
        <v>48</v>
      </c>
      <c r="C17" s="33">
        <v>3.9899999999999998E-2</v>
      </c>
      <c r="D17" s="9"/>
      <c r="E17" s="9"/>
    </row>
    <row r="18" spans="2:16" ht="13.5" thickBot="1" x14ac:dyDescent="0.25">
      <c r="B18" s="3" t="s">
        <v>64</v>
      </c>
      <c r="C18" s="15">
        <f>C16*C8*(G10/G8)*(G14/G16)</f>
        <v>0.56526863249263459</v>
      </c>
      <c r="D18" s="9"/>
      <c r="E18" s="9"/>
    </row>
    <row r="19" spans="2:16" x14ac:dyDescent="0.2">
      <c r="B19" s="3" t="s">
        <v>30</v>
      </c>
      <c r="C19" s="15">
        <f>C16*C7*(G9/G8)*(G14/G15)</f>
        <v>0.23316409085493364</v>
      </c>
      <c r="D19" s="9"/>
      <c r="E19" s="9"/>
      <c r="I19" s="1" t="s">
        <v>40</v>
      </c>
      <c r="J19" s="7"/>
      <c r="K19" s="7"/>
      <c r="L19" s="7"/>
      <c r="M19" s="7"/>
      <c r="N19" s="7"/>
      <c r="O19" s="7"/>
      <c r="P19" s="2"/>
    </row>
    <row r="20" spans="2:16" ht="13.5" thickBot="1" x14ac:dyDescent="0.25">
      <c r="B20" s="5" t="s">
        <v>31</v>
      </c>
      <c r="C20" s="16">
        <f>1-SUM(C17:C19)</f>
        <v>0.16166727665243175</v>
      </c>
      <c r="D20" s="9"/>
      <c r="E20" s="9"/>
      <c r="I20" s="22" t="s">
        <v>41</v>
      </c>
      <c r="J20" s="9" t="s">
        <v>42</v>
      </c>
      <c r="K20" s="9"/>
      <c r="L20" s="9"/>
      <c r="M20" s="9"/>
      <c r="N20" s="9"/>
      <c r="O20" s="9"/>
      <c r="P20" s="8"/>
    </row>
    <row r="21" spans="2:16" x14ac:dyDescent="0.2">
      <c r="B21" s="9"/>
      <c r="C21" s="9"/>
      <c r="D21" s="9"/>
      <c r="E21" s="9"/>
      <c r="I21" s="23" t="s">
        <v>43</v>
      </c>
      <c r="J21" s="9" t="s">
        <v>44</v>
      </c>
      <c r="K21" s="9"/>
      <c r="L21" s="9"/>
      <c r="M21" s="9"/>
      <c r="N21" s="9"/>
      <c r="O21" s="9"/>
      <c r="P21" s="8"/>
    </row>
    <row r="22" spans="2:16" ht="13.5" thickBot="1" x14ac:dyDescent="0.25">
      <c r="B22" s="9"/>
      <c r="C22" s="9"/>
      <c r="D22" s="9"/>
      <c r="E22" s="9"/>
      <c r="I22" s="3" t="s">
        <v>45</v>
      </c>
      <c r="J22" s="9" t="s">
        <v>46</v>
      </c>
      <c r="K22" s="9"/>
      <c r="L22" s="9"/>
      <c r="M22" s="9"/>
      <c r="N22" s="9"/>
      <c r="O22" s="9"/>
      <c r="P22" s="8"/>
    </row>
    <row r="23" spans="2:16" x14ac:dyDescent="0.2">
      <c r="B23" s="1" t="s">
        <v>37</v>
      </c>
      <c r="C23" s="7"/>
      <c r="D23" s="2"/>
      <c r="E23" s="9"/>
      <c r="I23" s="3" t="s">
        <v>57</v>
      </c>
      <c r="J23" s="9" t="s">
        <v>60</v>
      </c>
      <c r="K23" s="9"/>
      <c r="L23" s="9"/>
      <c r="M23" s="9"/>
      <c r="N23" s="9"/>
      <c r="O23" s="9"/>
      <c r="P23" s="8"/>
    </row>
    <row r="24" spans="2:16" x14ac:dyDescent="0.2">
      <c r="B24" s="3" t="s">
        <v>32</v>
      </c>
      <c r="C24" s="9" t="s">
        <v>56</v>
      </c>
      <c r="D24" s="8"/>
      <c r="E24" s="9"/>
      <c r="I24" s="3" t="s">
        <v>47</v>
      </c>
      <c r="J24" s="9" t="s">
        <v>49</v>
      </c>
      <c r="K24" s="9"/>
      <c r="L24" s="9"/>
      <c r="M24" s="9"/>
      <c r="N24" s="9"/>
      <c r="O24" s="9"/>
      <c r="P24" s="8"/>
    </row>
    <row r="25" spans="2:16" x14ac:dyDescent="0.2">
      <c r="B25" s="3"/>
      <c r="C25" s="24">
        <f>C16*G14</f>
        <v>4.5409509808160147</v>
      </c>
      <c r="D25" s="8" t="s">
        <v>33</v>
      </c>
      <c r="E25" s="9"/>
      <c r="I25" s="29" t="s">
        <v>48</v>
      </c>
      <c r="J25" s="9" t="s">
        <v>50</v>
      </c>
      <c r="K25" s="9"/>
      <c r="L25" s="9"/>
      <c r="M25" s="9"/>
      <c r="N25" s="9"/>
      <c r="O25" s="9"/>
      <c r="P25" s="8"/>
    </row>
    <row r="26" spans="2:16" x14ac:dyDescent="0.2">
      <c r="B26" s="3" t="s">
        <v>34</v>
      </c>
      <c r="C26" s="9" t="s">
        <v>35</v>
      </c>
      <c r="D26" s="8"/>
      <c r="E26" s="9"/>
      <c r="I26" s="3" t="s">
        <v>30</v>
      </c>
      <c r="J26" s="9" t="s">
        <v>51</v>
      </c>
      <c r="K26" s="9"/>
      <c r="L26" s="9"/>
      <c r="M26" s="9"/>
      <c r="N26" s="9"/>
      <c r="O26" s="9"/>
      <c r="P26" s="8"/>
    </row>
    <row r="27" spans="2:16" x14ac:dyDescent="0.2">
      <c r="B27" s="3"/>
      <c r="C27" s="24">
        <f>C18*G16+C19*G15</f>
        <v>4.2684939219670532</v>
      </c>
      <c r="D27" s="8" t="s">
        <v>33</v>
      </c>
      <c r="E27" s="9"/>
      <c r="I27" s="3" t="s">
        <v>31</v>
      </c>
      <c r="J27" s="9" t="s">
        <v>52</v>
      </c>
      <c r="K27" s="9"/>
      <c r="L27" s="9"/>
      <c r="M27" s="9"/>
      <c r="N27" s="9"/>
      <c r="O27" s="9"/>
      <c r="P27" s="8"/>
    </row>
    <row r="28" spans="2:16" ht="13.5" thickBot="1" x14ac:dyDescent="0.25">
      <c r="B28" s="5" t="s">
        <v>36</v>
      </c>
      <c r="C28" s="10">
        <f>(C25-C27)/C25</f>
        <v>6.0000000000000123E-2</v>
      </c>
      <c r="D28" s="11">
        <f>G2</f>
        <v>0.06</v>
      </c>
      <c r="E28" s="31"/>
      <c r="I28" s="5" t="s">
        <v>53</v>
      </c>
      <c r="J28" s="18" t="s">
        <v>55</v>
      </c>
      <c r="K28" s="18"/>
      <c r="L28" s="18"/>
      <c r="M28" s="18"/>
      <c r="N28" s="18"/>
      <c r="O28" s="18"/>
      <c r="P2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baseline_calculation_6%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 Jake (CR/RTC2.2-NA)</dc:creator>
  <cp:lastModifiedBy>Metzger Michael (CR/RTC2.2-NA)</cp:lastModifiedBy>
  <dcterms:created xsi:type="dcterms:W3CDTF">2018-12-25T23:30:39Z</dcterms:created>
  <dcterms:modified xsi:type="dcterms:W3CDTF">2019-02-08T07:57:47Z</dcterms:modified>
</cp:coreProperties>
</file>