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anu\ManuelLab\SugaLab\MyPapers&amp;Reviews\2019 Wnt paper Part 1\Finals\RSC\Revisions\"/>
    </mc:Choice>
  </mc:AlternateContent>
  <bookViews>
    <workbookView xWindow="0" yWindow="0" windowWidth="12326" windowHeight="7543"/>
  </bookViews>
  <sheets>
    <sheet name="Figure 3 Data" sheetId="6" r:id="rId1"/>
    <sheet name="Figure 5a Data" sheetId="5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6" l="1"/>
  <c r="F11" i="6"/>
  <c r="G11" i="6"/>
  <c r="H11" i="6"/>
  <c r="D11" i="6"/>
  <c r="C11" i="6"/>
  <c r="C10" i="6"/>
  <c r="E10" i="6"/>
  <c r="F10" i="6"/>
  <c r="G10" i="6"/>
  <c r="H10" i="6"/>
  <c r="D10" i="6"/>
  <c r="E20" i="6"/>
  <c r="F20" i="6"/>
  <c r="G20" i="6"/>
  <c r="H20" i="6"/>
  <c r="E21" i="6"/>
  <c r="F21" i="6"/>
  <c r="G21" i="6"/>
  <c r="H21" i="6"/>
  <c r="D21" i="6"/>
  <c r="D20" i="6"/>
  <c r="C21" i="6"/>
  <c r="C20" i="6"/>
  <c r="H9" i="6"/>
  <c r="G9" i="6"/>
  <c r="F9" i="6"/>
  <c r="E9" i="6"/>
  <c r="D9" i="6"/>
  <c r="C9" i="6"/>
  <c r="H8" i="6"/>
  <c r="G8" i="6"/>
  <c r="F8" i="6"/>
  <c r="E8" i="6"/>
  <c r="D8" i="6"/>
  <c r="C8" i="6"/>
  <c r="H19" i="6"/>
  <c r="G19" i="6"/>
  <c r="F19" i="6"/>
  <c r="E19" i="6"/>
  <c r="D19" i="6"/>
  <c r="C19" i="6"/>
  <c r="H18" i="6"/>
  <c r="G18" i="6"/>
  <c r="F18" i="6"/>
  <c r="E18" i="6"/>
  <c r="D18" i="6"/>
  <c r="C18" i="6"/>
  <c r="F20" i="5" l="1"/>
  <c r="G20" i="5"/>
  <c r="H20" i="5"/>
  <c r="I20" i="5"/>
  <c r="J20" i="5"/>
  <c r="K20" i="5"/>
  <c r="L20" i="5"/>
  <c r="M20" i="5"/>
  <c r="N20" i="5"/>
  <c r="O20" i="5"/>
  <c r="P20" i="5"/>
  <c r="Q20" i="5"/>
  <c r="R20" i="5"/>
  <c r="E20" i="5"/>
  <c r="C11" i="5"/>
  <c r="C21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D10" i="5"/>
  <c r="C19" i="5"/>
  <c r="C18" i="5"/>
  <c r="N16" i="5" s="1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K15" i="5" l="1"/>
  <c r="G11" i="5"/>
  <c r="H14" i="5"/>
  <c r="O11" i="5"/>
  <c r="F16" i="5"/>
  <c r="P14" i="5"/>
  <c r="E11" i="5"/>
  <c r="I11" i="5"/>
  <c r="M11" i="5"/>
  <c r="Q11" i="5"/>
  <c r="F11" i="5"/>
  <c r="J11" i="5"/>
  <c r="N11" i="5"/>
  <c r="R11" i="5"/>
  <c r="K11" i="5"/>
  <c r="O17" i="5"/>
  <c r="K17" i="5"/>
  <c r="G17" i="5"/>
  <c r="P16" i="5"/>
  <c r="L16" i="5"/>
  <c r="H16" i="5"/>
  <c r="D16" i="5"/>
  <c r="Q15" i="5"/>
  <c r="M15" i="5"/>
  <c r="I15" i="5"/>
  <c r="E15" i="5"/>
  <c r="R14" i="5"/>
  <c r="N14" i="5"/>
  <c r="J14" i="5"/>
  <c r="F14" i="5"/>
  <c r="R17" i="5"/>
  <c r="N17" i="5"/>
  <c r="J17" i="5"/>
  <c r="F17" i="5"/>
  <c r="O16" i="5"/>
  <c r="K16" i="5"/>
  <c r="G16" i="5"/>
  <c r="P15" i="5"/>
  <c r="L15" i="5"/>
  <c r="H15" i="5"/>
  <c r="D15" i="5"/>
  <c r="Q14" i="5"/>
  <c r="M14" i="5"/>
  <c r="I14" i="5"/>
  <c r="E14" i="5"/>
  <c r="K14" i="5"/>
  <c r="N15" i="5"/>
  <c r="I16" i="5"/>
  <c r="D17" i="5"/>
  <c r="D14" i="5"/>
  <c r="L14" i="5"/>
  <c r="G15" i="5"/>
  <c r="O15" i="5"/>
  <c r="J16" i="5"/>
  <c r="R16" i="5"/>
  <c r="E17" i="5"/>
  <c r="M17" i="5"/>
  <c r="I17" i="5"/>
  <c r="Q17" i="5"/>
  <c r="F15" i="5"/>
  <c r="Q16" i="5"/>
  <c r="L17" i="5"/>
  <c r="D11" i="5"/>
  <c r="H11" i="5"/>
  <c r="L11" i="5"/>
  <c r="P11" i="5"/>
  <c r="G14" i="5"/>
  <c r="O14" i="5"/>
  <c r="J15" i="5"/>
  <c r="R15" i="5"/>
  <c r="E16" i="5"/>
  <c r="M16" i="5"/>
  <c r="H17" i="5"/>
  <c r="P17" i="5"/>
  <c r="H19" i="5" l="1"/>
  <c r="P19" i="5"/>
  <c r="H18" i="5"/>
  <c r="P18" i="5"/>
  <c r="I18" i="5"/>
  <c r="I19" i="5"/>
  <c r="L18" i="5"/>
  <c r="L19" i="5"/>
  <c r="M18" i="5"/>
  <c r="M19" i="5"/>
  <c r="J19" i="5"/>
  <c r="J18" i="5"/>
  <c r="F19" i="5"/>
  <c r="F18" i="5"/>
  <c r="O19" i="5"/>
  <c r="O18" i="5"/>
  <c r="D18" i="5"/>
  <c r="D19" i="5"/>
  <c r="K19" i="5"/>
  <c r="K18" i="5"/>
  <c r="Q18" i="5"/>
  <c r="Q19" i="5"/>
  <c r="N19" i="5"/>
  <c r="N18" i="5"/>
  <c r="G19" i="5"/>
  <c r="G18" i="5"/>
  <c r="E18" i="5"/>
  <c r="E19" i="5"/>
  <c r="R19" i="5"/>
  <c r="R18" i="5"/>
  <c r="E21" i="5" l="1"/>
  <c r="L21" i="5"/>
  <c r="K21" i="5"/>
  <c r="J21" i="5"/>
  <c r="Q21" i="5"/>
  <c r="D21" i="5"/>
  <c r="M21" i="5"/>
  <c r="I21" i="5"/>
  <c r="P21" i="5"/>
  <c r="N21" i="5"/>
  <c r="O21" i="5"/>
  <c r="R21" i="5"/>
  <c r="G21" i="5"/>
  <c r="F21" i="5"/>
  <c r="H21" i="5"/>
  <c r="D20" i="5"/>
  <c r="C20" i="5"/>
</calcChain>
</file>

<file path=xl/sharedStrings.xml><?xml version="1.0" encoding="utf-8"?>
<sst xmlns="http://schemas.openxmlformats.org/spreadsheetml/2006/main" count="80" uniqueCount="36">
  <si>
    <t>n=1</t>
    <phoneticPr fontId="1"/>
  </si>
  <si>
    <t>n=2</t>
    <phoneticPr fontId="1"/>
  </si>
  <si>
    <t>n=3</t>
    <phoneticPr fontId="1"/>
  </si>
  <si>
    <t>n=4</t>
    <phoneticPr fontId="1"/>
  </si>
  <si>
    <t>Average</t>
    <phoneticPr fontId="1"/>
  </si>
  <si>
    <t>10 nM Wnt3a-AFM,
 no peptide</t>
  </si>
  <si>
    <t>Fold Value</t>
  </si>
  <si>
    <t>Standard Error (SE)</t>
  </si>
  <si>
    <t>Fold_SE</t>
  </si>
  <si>
    <t>Luciferase Reporter Raw Data</t>
  </si>
  <si>
    <t>Average blank-subtracted Data</t>
  </si>
  <si>
    <t>n=1</t>
    <phoneticPr fontId="1"/>
  </si>
  <si>
    <t>n=2</t>
    <phoneticPr fontId="1"/>
  </si>
  <si>
    <t>n=4</t>
    <phoneticPr fontId="1"/>
  </si>
  <si>
    <t>Average</t>
    <phoneticPr fontId="1"/>
  </si>
  <si>
    <t>Wnt3a/AFM,
no peptide</t>
  </si>
  <si>
    <t>Wnt3a/AFM,
1 μM WAp-D02</t>
  </si>
  <si>
    <t>Wnt3a/AFM,
1 μM WAp-D04</t>
  </si>
  <si>
    <t>Wnt3a/AFM,
1 μM WAp-D11</t>
  </si>
  <si>
    <t>Wnt3a/AFM,
1 μM WAp-L05</t>
  </si>
  <si>
    <t>10 nM Wnt3a-AFM,
160 nM WAp-D04</t>
  </si>
  <si>
    <t>10 nM Wnt3a-AFM,
1600 nM WAp-D04</t>
  </si>
  <si>
    <t>10 nM Wnt3a-AFM,
160 nM WAp-D04-W10P</t>
  </si>
  <si>
    <t>10 nM Wnt3a-AFM,
1600 nM WAp-D04-W10P</t>
  </si>
  <si>
    <t>10 nM Wnt3a-AFM,
160 nM WAp-D04-W10P/R2K</t>
  </si>
  <si>
    <t>10 nM Wnt3a-AFM,
1600 nM WAp-D04-W10P/R2K</t>
  </si>
  <si>
    <t>10 nM Wnt3a-AFM,
160 nM WAp-D04-W10P/K3I</t>
  </si>
  <si>
    <t>10 nM Wnt3a-AFM,
1600 nM WAp-D04-W10P/K3I</t>
  </si>
  <si>
    <t>10 nM Wnt3a-AFM,
160 nM WAp-D04-W10P/K3R</t>
  </si>
  <si>
    <t>10 nM Wnt3a-AFM,
1600 nM WAp-D04-W10P/K3R</t>
  </si>
  <si>
    <t>10 nM Wnt3a-AFM,
160 nM WAp-D04-W10P/K3T</t>
  </si>
  <si>
    <t>10 nM Wnt3a-AFM,
1600 nM WAp-D04-W10P/K3T</t>
  </si>
  <si>
    <t>10 nM Wnt3a-AFM,
160 nM WAp-D04-W10P/R2K/K3V</t>
  </si>
  <si>
    <t>10 nM Wnt3a-AFM,
1600 nM WAp-D04-W10P/R2K/K3V</t>
  </si>
  <si>
    <t>AFM,
no peptide</t>
  </si>
  <si>
    <t>10 nM AFM,
no peptide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</si>
</sst>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u/>
      <sz val="11"/>
      <color theme="11"/>
      <name val="Calibri"/>
      <family val="2"/>
      <charset val="128"/>
      <scheme val="minor"/>
    </font>
    <font>
      <b/>
      <sz val="18"/>
      <color theme="1"/>
      <name val="Calibri"/>
      <family val="3"/>
      <charset val="128"/>
      <scheme val="minor"/>
    </font>
    <font>
      <b/>
      <sz val="11"/>
      <color theme="1"/>
      <name val="Calibri"/>
      <family val="2"/>
      <charset val="128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2" defaultPivotStyle="PivotStyleLight16"/>
  <colors>
    <mruColors>
      <color rgb="FFFF9300"/>
      <color rgb="FFFFD579"/>
      <color rgb="FFD883FF"/>
      <color rgb="FF9437FF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tabSelected="1" workbookViewId="0">
      <selection activeCell="K11" sqref="K11"/>
    </sheetView>
  </sheetViews>
  <sheetFormatPr defaultRowHeight="14.6"/>
  <cols>
    <col min="2" max="2" width="16.69140625" bestFit="1" customWidth="1"/>
    <col min="3" max="4" width="11.84375" bestFit="1" customWidth="1"/>
    <col min="5" max="8" width="16.4609375" bestFit="1" customWidth="1"/>
  </cols>
  <sheetData>
    <row r="2" spans="2:8" ht="20.6">
      <c r="B2" s="9" t="s">
        <v>9</v>
      </c>
      <c r="C2" s="9"/>
      <c r="D2" s="9"/>
      <c r="E2" s="9"/>
      <c r="F2" s="9"/>
      <c r="G2" s="9"/>
      <c r="H2" s="9"/>
    </row>
    <row r="3" spans="2:8" ht="29.15">
      <c r="B3" s="1"/>
      <c r="C3" s="6" t="s">
        <v>34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</row>
    <row r="4" spans="2:8">
      <c r="B4" s="4" t="s">
        <v>11</v>
      </c>
      <c r="C4" s="1">
        <v>770</v>
      </c>
      <c r="D4" s="1">
        <v>1530</v>
      </c>
      <c r="E4" s="1">
        <v>1594</v>
      </c>
      <c r="F4" s="1">
        <v>828</v>
      </c>
      <c r="G4" s="1">
        <v>1532</v>
      </c>
      <c r="H4" s="1">
        <v>1424</v>
      </c>
    </row>
    <row r="5" spans="2:8">
      <c r="B5" s="4" t="s">
        <v>12</v>
      </c>
      <c r="C5" s="1">
        <v>702</v>
      </c>
      <c r="D5" s="1">
        <v>1480</v>
      </c>
      <c r="E5" s="1">
        <v>1700</v>
      </c>
      <c r="F5" s="1">
        <v>716</v>
      </c>
      <c r="G5" s="1">
        <v>1322</v>
      </c>
      <c r="H5" s="1">
        <v>1590</v>
      </c>
    </row>
    <row r="6" spans="2:8">
      <c r="B6" s="4" t="s">
        <v>2</v>
      </c>
      <c r="C6" s="1">
        <v>744</v>
      </c>
      <c r="D6" s="1">
        <v>1638</v>
      </c>
      <c r="E6" s="1">
        <v>1604</v>
      </c>
      <c r="F6" s="1">
        <v>860</v>
      </c>
      <c r="G6" s="1">
        <v>1404</v>
      </c>
      <c r="H6" s="1">
        <v>1420</v>
      </c>
    </row>
    <row r="7" spans="2:8">
      <c r="B7" s="4" t="s">
        <v>13</v>
      </c>
      <c r="C7" s="1">
        <v>876</v>
      </c>
      <c r="D7" s="1">
        <v>1562</v>
      </c>
      <c r="E7" s="1">
        <v>1948</v>
      </c>
      <c r="F7" s="1">
        <v>724</v>
      </c>
      <c r="G7" s="1">
        <v>1430</v>
      </c>
      <c r="H7" s="1">
        <v>1660</v>
      </c>
    </row>
    <row r="8" spans="2:8">
      <c r="B8" s="4" t="s">
        <v>14</v>
      </c>
      <c r="C8" s="1">
        <f>AVERAGE(C4:C7)</f>
        <v>773</v>
      </c>
      <c r="D8" s="1">
        <f t="shared" ref="D8:E8" si="0">AVERAGE(D4:D7)</f>
        <v>1552.5</v>
      </c>
      <c r="E8" s="1">
        <f t="shared" si="0"/>
        <v>1711.5</v>
      </c>
      <c r="F8" s="1">
        <f>AVERAGE(F4:F7)</f>
        <v>782</v>
      </c>
      <c r="G8" s="1">
        <f>AVERAGE(G4:G7)</f>
        <v>1422</v>
      </c>
      <c r="H8" s="1">
        <f>AVERAGE(H4:H7)</f>
        <v>1523.5</v>
      </c>
    </row>
    <row r="9" spans="2:8">
      <c r="B9" s="5" t="s">
        <v>7</v>
      </c>
      <c r="C9" s="1">
        <f>STDEV(C4:C7)/SQRT(COUNT(C4:C7))</f>
        <v>37.080992435478315</v>
      </c>
      <c r="D9" s="1">
        <f t="shared" ref="D9:E9" si="1">STDEV(D4:D7)/SQRT(COUNT(D4:D7))</f>
        <v>33.119732285552473</v>
      </c>
      <c r="E9" s="1">
        <f t="shared" si="1"/>
        <v>82.374652250151158</v>
      </c>
      <c r="F9" s="1">
        <f>STDEV(F4:F7)/SQRT(COUNT(F4:F7))</f>
        <v>36.423435679060631</v>
      </c>
      <c r="G9" s="1">
        <f>STDEV(G4:G7)/SQRT(COUNT(G4:G7))</f>
        <v>43.289721643826724</v>
      </c>
      <c r="H9" s="1">
        <f>STDEV(H4:H7)/SQRT(COUNT(H4:H7))</f>
        <v>60.323433810308465</v>
      </c>
    </row>
    <row r="10" spans="2:8">
      <c r="B10" s="5" t="s">
        <v>6</v>
      </c>
      <c r="C10" s="1">
        <f>C8/D8</f>
        <v>0.49790660225442834</v>
      </c>
      <c r="D10" s="1">
        <f>D8/$D$8</f>
        <v>1</v>
      </c>
      <c r="E10" s="1">
        <f t="shared" ref="E10:H10" si="2">E8/$D$8</f>
        <v>1.1024154589371982</v>
      </c>
      <c r="F10" s="1">
        <f t="shared" si="2"/>
        <v>0.50370370370370365</v>
      </c>
      <c r="G10" s="1">
        <f t="shared" si="2"/>
        <v>0.91594202898550725</v>
      </c>
      <c r="H10" s="1">
        <f t="shared" si="2"/>
        <v>0.98132045088566833</v>
      </c>
    </row>
    <row r="11" spans="2:8">
      <c r="B11" s="1" t="s">
        <v>8</v>
      </c>
      <c r="C11" s="1">
        <f>C9/D8</f>
        <v>2.3884697220920011E-2</v>
      </c>
      <c r="D11" s="1">
        <f>D9/$D$8</f>
        <v>2.1333160892465362E-2</v>
      </c>
      <c r="E11" s="1">
        <f t="shared" ref="E11:H11" si="3">E9/$D$8</f>
        <v>5.3059357326989472E-2</v>
      </c>
      <c r="F11" s="1">
        <f t="shared" si="3"/>
        <v>2.3461150195852258E-2</v>
      </c>
      <c r="G11" s="1">
        <f t="shared" si="3"/>
        <v>2.7883878675572769E-2</v>
      </c>
      <c r="H11" s="1">
        <f t="shared" si="3"/>
        <v>3.8855673951889512E-2</v>
      </c>
    </row>
    <row r="12" spans="2:8" ht="20.6">
      <c r="B12" s="9" t="s">
        <v>10</v>
      </c>
      <c r="C12" s="9"/>
      <c r="D12" s="9"/>
      <c r="E12" s="9"/>
      <c r="F12" s="9"/>
      <c r="G12" s="9"/>
      <c r="H12" s="9"/>
    </row>
    <row r="13" spans="2:8" ht="29.15">
      <c r="B13" s="1"/>
      <c r="C13" s="6" t="s">
        <v>34</v>
      </c>
      <c r="D13" s="6" t="s">
        <v>15</v>
      </c>
      <c r="E13" s="6" t="s">
        <v>16</v>
      </c>
      <c r="F13" s="6" t="s">
        <v>17</v>
      </c>
      <c r="G13" s="6" t="s">
        <v>18</v>
      </c>
      <c r="H13" s="6" t="s">
        <v>19</v>
      </c>
    </row>
    <row r="14" spans="2:8">
      <c r="B14" s="4" t="s">
        <v>11</v>
      </c>
      <c r="C14" s="1">
        <v>770</v>
      </c>
      <c r="D14" s="1">
        <v>757</v>
      </c>
      <c r="E14" s="1">
        <v>821</v>
      </c>
      <c r="F14" s="1">
        <v>55</v>
      </c>
      <c r="G14" s="1">
        <v>759</v>
      </c>
      <c r="H14" s="1">
        <v>651</v>
      </c>
    </row>
    <row r="15" spans="2:8">
      <c r="B15" s="4" t="s">
        <v>12</v>
      </c>
      <c r="C15" s="1">
        <v>702</v>
      </c>
      <c r="D15" s="1">
        <v>707</v>
      </c>
      <c r="E15" s="1">
        <v>927</v>
      </c>
      <c r="F15" s="1">
        <v>-57</v>
      </c>
      <c r="G15" s="1">
        <v>549</v>
      </c>
      <c r="H15" s="1">
        <v>817</v>
      </c>
    </row>
    <row r="16" spans="2:8">
      <c r="B16" s="4" t="s">
        <v>2</v>
      </c>
      <c r="C16" s="1">
        <v>744</v>
      </c>
      <c r="D16" s="1">
        <v>865</v>
      </c>
      <c r="E16" s="1">
        <v>831</v>
      </c>
      <c r="F16" s="1">
        <v>87</v>
      </c>
      <c r="G16" s="1">
        <v>631</v>
      </c>
      <c r="H16" s="1">
        <v>647</v>
      </c>
    </row>
    <row r="17" spans="2:8">
      <c r="B17" s="4" t="s">
        <v>13</v>
      </c>
      <c r="C17" s="1">
        <v>876</v>
      </c>
      <c r="D17" s="1">
        <v>789</v>
      </c>
      <c r="E17" s="1">
        <v>1175</v>
      </c>
      <c r="F17" s="1">
        <v>-49</v>
      </c>
      <c r="G17" s="1">
        <v>657</v>
      </c>
      <c r="H17" s="1">
        <v>887</v>
      </c>
    </row>
    <row r="18" spans="2:8">
      <c r="B18" s="4" t="s">
        <v>14</v>
      </c>
      <c r="C18" s="1">
        <f>AVERAGE(C14:C17)</f>
        <v>773</v>
      </c>
      <c r="D18" s="1">
        <f t="shared" ref="D18:H18" si="4">AVERAGE(D14:D17)</f>
        <v>779.5</v>
      </c>
      <c r="E18" s="1">
        <f t="shared" si="4"/>
        <v>938.5</v>
      </c>
      <c r="F18" s="1">
        <f t="shared" si="4"/>
        <v>9</v>
      </c>
      <c r="G18" s="1">
        <f t="shared" si="4"/>
        <v>649</v>
      </c>
      <c r="H18" s="1">
        <f t="shared" si="4"/>
        <v>750.5</v>
      </c>
    </row>
    <row r="19" spans="2:8">
      <c r="B19" s="5" t="s">
        <v>7</v>
      </c>
      <c r="C19" s="1">
        <f>STDEV(C14:C17)/SQRT(COUNT(C14:C17))</f>
        <v>37.080992435478315</v>
      </c>
      <c r="D19" s="1">
        <f t="shared" ref="D19:H19" si="5">STDEV(D14:D17)/SQRT(COUNT(D14:D17))</f>
        <v>33.119732285552473</v>
      </c>
      <c r="E19" s="1">
        <f t="shared" si="5"/>
        <v>82.374652250151158</v>
      </c>
      <c r="F19" s="1">
        <f t="shared" si="5"/>
        <v>36.423435679060631</v>
      </c>
      <c r="G19" s="1">
        <f t="shared" si="5"/>
        <v>43.289721643826724</v>
      </c>
      <c r="H19" s="1">
        <f t="shared" si="5"/>
        <v>60.323433810308465</v>
      </c>
    </row>
    <row r="20" spans="2:8">
      <c r="B20" s="5" t="s">
        <v>6</v>
      </c>
      <c r="C20" s="1">
        <f>C18/$D$18</f>
        <v>0.99166132135984608</v>
      </c>
      <c r="D20" s="1">
        <f>D18/$D$18</f>
        <v>1</v>
      </c>
      <c r="E20" s="1">
        <f t="shared" ref="E20:H20" si="6">E18/$D$18</f>
        <v>1.2039769082745349</v>
      </c>
      <c r="F20" s="1">
        <f t="shared" si="6"/>
        <v>1.1545862732520847E-2</v>
      </c>
      <c r="G20" s="1">
        <f t="shared" si="6"/>
        <v>0.83258499037844769</v>
      </c>
      <c r="H20" s="1">
        <f t="shared" si="6"/>
        <v>0.96279666452854396</v>
      </c>
    </row>
    <row r="21" spans="2:8">
      <c r="B21" s="1" t="s">
        <v>8</v>
      </c>
      <c r="C21" s="1">
        <f>C19/$D$18</f>
        <v>4.7570227627297387E-2</v>
      </c>
      <c r="D21" s="1">
        <f>D19/$D$18</f>
        <v>4.2488431411869754E-2</v>
      </c>
      <c r="E21" s="1">
        <f t="shared" ref="E21:H21" si="7">E19/$D$18</f>
        <v>0.10567626972437609</v>
      </c>
      <c r="F21" s="1">
        <f t="shared" si="7"/>
        <v>4.6726665399692918E-2</v>
      </c>
      <c r="G21" s="1">
        <f t="shared" si="7"/>
        <v>5.5535242647628894E-2</v>
      </c>
      <c r="H21" s="1">
        <f t="shared" si="7"/>
        <v>7.7387342925347616E-2</v>
      </c>
    </row>
  </sheetData>
  <mergeCells count="2">
    <mergeCell ref="B2:H2"/>
    <mergeCell ref="B12:H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1"/>
  <sheetViews>
    <sheetView zoomScale="85" zoomScaleNormal="85" workbookViewId="0">
      <selection activeCell="A6" sqref="A6"/>
    </sheetView>
  </sheetViews>
  <sheetFormatPr defaultRowHeight="14.6"/>
  <cols>
    <col min="2" max="2" width="18.07421875" bestFit="1" customWidth="1"/>
    <col min="3" max="3" width="12.4609375" bestFit="1" customWidth="1"/>
    <col min="4" max="16" width="11.84375" bestFit="1" customWidth="1"/>
    <col min="17" max="17" width="13.921875" customWidth="1"/>
    <col min="18" max="18" width="14.3828125" customWidth="1"/>
  </cols>
  <sheetData>
    <row r="2" spans="2:18" ht="23.15">
      <c r="B2" s="10" t="s">
        <v>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2:18" ht="87.45">
      <c r="B3" s="1"/>
      <c r="C3" s="8" t="s">
        <v>35</v>
      </c>
      <c r="D3" s="8" t="s">
        <v>5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8" t="s">
        <v>26</v>
      </c>
      <c r="L3" s="8" t="s">
        <v>27</v>
      </c>
      <c r="M3" s="8" t="s">
        <v>28</v>
      </c>
      <c r="N3" s="8" t="s">
        <v>29</v>
      </c>
      <c r="O3" s="8" t="s">
        <v>30</v>
      </c>
      <c r="P3" s="8" t="s">
        <v>31</v>
      </c>
      <c r="Q3" s="8" t="s">
        <v>32</v>
      </c>
      <c r="R3" s="8" t="s">
        <v>33</v>
      </c>
    </row>
    <row r="4" spans="2:18">
      <c r="B4" s="7" t="s">
        <v>0</v>
      </c>
      <c r="C4" s="1">
        <v>1158</v>
      </c>
      <c r="D4" s="1">
        <v>2742</v>
      </c>
      <c r="E4" s="1">
        <v>2370</v>
      </c>
      <c r="F4" s="1">
        <v>1490</v>
      </c>
      <c r="G4" s="1">
        <v>1716</v>
      </c>
      <c r="H4" s="1">
        <v>1152</v>
      </c>
      <c r="I4" s="1">
        <v>1784</v>
      </c>
      <c r="J4" s="1">
        <v>1086</v>
      </c>
      <c r="K4" s="1">
        <v>1802</v>
      </c>
      <c r="L4" s="1">
        <v>1066</v>
      </c>
      <c r="M4" s="1">
        <v>2060</v>
      </c>
      <c r="N4" s="1">
        <v>1176</v>
      </c>
      <c r="O4" s="1">
        <v>1858</v>
      </c>
      <c r="P4" s="1">
        <v>1196</v>
      </c>
      <c r="Q4" s="1">
        <v>2022</v>
      </c>
      <c r="R4" s="1">
        <v>1126</v>
      </c>
    </row>
    <row r="5" spans="2:18">
      <c r="B5" s="7" t="s">
        <v>1</v>
      </c>
      <c r="C5" s="1">
        <v>1184</v>
      </c>
      <c r="D5" s="1">
        <v>2680</v>
      </c>
      <c r="E5" s="1">
        <v>2440</v>
      </c>
      <c r="F5" s="1">
        <v>1470</v>
      </c>
      <c r="G5" s="1">
        <v>1858</v>
      </c>
      <c r="H5" s="1">
        <v>1076</v>
      </c>
      <c r="I5" s="1">
        <v>1896</v>
      </c>
      <c r="J5" s="1">
        <v>1168</v>
      </c>
      <c r="K5" s="1">
        <v>1900</v>
      </c>
      <c r="L5" s="1">
        <v>1096</v>
      </c>
      <c r="M5" s="1">
        <v>1998</v>
      </c>
      <c r="N5" s="1">
        <v>1212</v>
      </c>
      <c r="O5" s="1">
        <v>2008</v>
      </c>
      <c r="P5" s="1">
        <v>1048</v>
      </c>
      <c r="Q5" s="1">
        <v>2050</v>
      </c>
      <c r="R5" s="1">
        <v>1126</v>
      </c>
    </row>
    <row r="6" spans="2:18">
      <c r="B6" s="7" t="s">
        <v>2</v>
      </c>
      <c r="C6" s="1">
        <v>1190</v>
      </c>
      <c r="D6" s="1">
        <v>2896</v>
      </c>
      <c r="E6" s="1">
        <v>2374</v>
      </c>
      <c r="F6" s="1">
        <v>1480</v>
      </c>
      <c r="G6" s="1">
        <v>1546</v>
      </c>
      <c r="H6" s="1">
        <v>1138</v>
      </c>
      <c r="I6" s="1">
        <v>1768</v>
      </c>
      <c r="J6" s="1">
        <v>1108</v>
      </c>
      <c r="K6" s="1">
        <v>1824</v>
      </c>
      <c r="L6" s="1">
        <v>1268</v>
      </c>
      <c r="M6" s="1">
        <v>2060</v>
      </c>
      <c r="N6" s="1">
        <v>1310</v>
      </c>
      <c r="O6" s="1">
        <v>2048</v>
      </c>
      <c r="P6" s="1">
        <v>1216</v>
      </c>
      <c r="Q6" s="1">
        <v>2136</v>
      </c>
      <c r="R6" s="1">
        <v>1088</v>
      </c>
    </row>
    <row r="7" spans="2:18">
      <c r="B7" s="7" t="s">
        <v>3</v>
      </c>
      <c r="C7" s="1">
        <v>1214</v>
      </c>
      <c r="D7" s="1">
        <v>2960</v>
      </c>
      <c r="E7" s="1">
        <v>2498</v>
      </c>
      <c r="F7" s="1">
        <v>1432</v>
      </c>
      <c r="G7" s="1">
        <v>1760</v>
      </c>
      <c r="H7" s="1">
        <v>1240</v>
      </c>
      <c r="I7" s="1">
        <v>1754</v>
      </c>
      <c r="J7" s="1">
        <v>1098</v>
      </c>
      <c r="K7" s="1">
        <v>1914</v>
      </c>
      <c r="L7" s="1">
        <v>1268</v>
      </c>
      <c r="M7" s="1">
        <v>2038</v>
      </c>
      <c r="N7" s="1">
        <v>1124</v>
      </c>
      <c r="O7" s="1">
        <v>2020</v>
      </c>
      <c r="P7" s="1">
        <v>1142</v>
      </c>
      <c r="Q7" s="1">
        <v>2026</v>
      </c>
      <c r="R7" s="1">
        <v>1212</v>
      </c>
    </row>
    <row r="8" spans="2:18">
      <c r="B8" s="7" t="s">
        <v>4</v>
      </c>
      <c r="C8" s="1">
        <f>AVERAGE(C4:C7)</f>
        <v>1186.5</v>
      </c>
      <c r="D8" s="1">
        <f t="shared" ref="D8:H8" si="0">AVERAGE(D4:D7)</f>
        <v>2819.5</v>
      </c>
      <c r="E8" s="1">
        <f t="shared" si="0"/>
        <v>2420.5</v>
      </c>
      <c r="F8" s="1">
        <f t="shared" si="0"/>
        <v>1468</v>
      </c>
      <c r="G8" s="1">
        <f t="shared" si="0"/>
        <v>1720</v>
      </c>
      <c r="H8" s="1">
        <f t="shared" si="0"/>
        <v>1151.5</v>
      </c>
      <c r="I8" s="1">
        <f>AVERAGE(I4:I7)</f>
        <v>1800.5</v>
      </c>
      <c r="J8" s="1">
        <f>AVERAGE(J4:J7)</f>
        <v>1115</v>
      </c>
      <c r="K8" s="1">
        <f>AVERAGE(K4:K7)</f>
        <v>1860</v>
      </c>
      <c r="L8" s="1">
        <f>AVERAGE(L4:L7)</f>
        <v>1174.5</v>
      </c>
      <c r="M8" s="1">
        <f t="shared" ref="M8" si="1">AVERAGE(M4:M7)</f>
        <v>2039</v>
      </c>
      <c r="N8" s="1">
        <f>AVERAGE(N4:N7)</f>
        <v>1205.5</v>
      </c>
      <c r="O8" s="1">
        <f t="shared" ref="O8" si="2">AVERAGE(O4:O7)</f>
        <v>1983.5</v>
      </c>
      <c r="P8" s="1">
        <f>AVERAGE(P4:P7)</f>
        <v>1150.5</v>
      </c>
      <c r="Q8" s="1">
        <f t="shared" ref="Q8" si="3">AVERAGE(Q4:Q7)</f>
        <v>2058.5</v>
      </c>
      <c r="R8" s="1">
        <f>AVERAGE(R4:R7)</f>
        <v>1138</v>
      </c>
    </row>
    <row r="9" spans="2:18">
      <c r="B9" s="5" t="s">
        <v>7</v>
      </c>
      <c r="C9" s="1">
        <f>STDEV(C4:C7)/SQRT(COUNT(C4:C7))</f>
        <v>11.5</v>
      </c>
      <c r="D9" s="1">
        <f t="shared" ref="D9:H9" si="4">STDEV(D4:D7)/SQRT(COUNT(D4:D7))</f>
        <v>65.229722264215312</v>
      </c>
      <c r="E9" s="1">
        <f t="shared" si="4"/>
        <v>30.412442629073166</v>
      </c>
      <c r="F9" s="1">
        <f t="shared" si="4"/>
        <v>12.675435561221029</v>
      </c>
      <c r="G9" s="1">
        <f t="shared" si="4"/>
        <v>65.151106411684722</v>
      </c>
      <c r="H9" s="1">
        <f t="shared" si="4"/>
        <v>33.807050546693169</v>
      </c>
      <c r="I9" s="1">
        <f>STDEV(I4:I7)/SQRT(COUNT(I4:I7))</f>
        <v>32.417844880045109</v>
      </c>
      <c r="J9" s="1">
        <f>STDEV(J4:J7)/SQRT(COUNT(J4:J7))</f>
        <v>18.230011885167087</v>
      </c>
      <c r="K9" s="1">
        <f>STDEV(K4:K7)/SQRT(COUNT(K4:K7))</f>
        <v>27.652606869274852</v>
      </c>
      <c r="L9" s="1">
        <f>STDEV(L4:L7)/SQRT(COUNT(L4:L7))</f>
        <v>54.328476265521502</v>
      </c>
      <c r="M9" s="1">
        <f t="shared" ref="M9" si="5">STDEV(M4:M7)/SQRT(COUNT(M4:M7))</f>
        <v>14.617341299520465</v>
      </c>
      <c r="N9" s="1">
        <f>STDEV(N4:N7)/SQRT(COUNT(N4:N7))</f>
        <v>39.237524556645177</v>
      </c>
      <c r="O9" s="1">
        <f t="shared" ref="O9" si="6">STDEV(O4:O7)/SQRT(COUNT(O4:O7))</f>
        <v>42.664387959983678</v>
      </c>
      <c r="P9" s="1">
        <f>STDEV(P4:P7)/SQRT(COUNT(P4:P7))</f>
        <v>37.57104381479617</v>
      </c>
      <c r="Q9" s="1">
        <f t="shared" ref="Q9" si="7">STDEV(Q4:Q7)/SQRT(COUNT(Q4:Q7))</f>
        <v>26.562818625539975</v>
      </c>
      <c r="R9" s="1">
        <f>STDEV(R4:R7)/SQRT(COUNT(R4:R7))</f>
        <v>26.242459234352765</v>
      </c>
    </row>
    <row r="10" spans="2:18">
      <c r="B10" s="5" t="s">
        <v>6</v>
      </c>
      <c r="C10" s="1">
        <f>C8/D8</f>
        <v>0.42081929420109948</v>
      </c>
      <c r="D10" s="1">
        <f>D8/$D$8</f>
        <v>1</v>
      </c>
      <c r="E10" s="1">
        <f t="shared" ref="E10:R10" si="8">E8/$D$8</f>
        <v>0.8584855470828161</v>
      </c>
      <c r="F10" s="1">
        <f t="shared" si="8"/>
        <v>0.52065969143465152</v>
      </c>
      <c r="G10" s="1">
        <f t="shared" si="8"/>
        <v>0.61003724064550457</v>
      </c>
      <c r="H10" s="1">
        <f t="shared" si="8"/>
        <v>0.40840574569959215</v>
      </c>
      <c r="I10" s="1">
        <f t="shared" si="8"/>
        <v>0.63858840219897139</v>
      </c>
      <c r="J10" s="1">
        <f t="shared" si="8"/>
        <v>0.3954601879765916</v>
      </c>
      <c r="K10" s="1">
        <f t="shared" si="8"/>
        <v>0.65969143465153401</v>
      </c>
      <c r="L10" s="1">
        <f t="shared" si="8"/>
        <v>0.41656322042915411</v>
      </c>
      <c r="M10" s="1">
        <f t="shared" si="8"/>
        <v>0.72317786841638587</v>
      </c>
      <c r="N10" s="1">
        <f t="shared" si="8"/>
        <v>0.42755807767334636</v>
      </c>
      <c r="O10" s="1">
        <f t="shared" si="8"/>
        <v>0.70349352722113845</v>
      </c>
      <c r="P10" s="1">
        <f t="shared" si="8"/>
        <v>0.40805107288526332</v>
      </c>
      <c r="Q10" s="1">
        <f t="shared" si="8"/>
        <v>0.73009398829579708</v>
      </c>
      <c r="R10" s="1">
        <f t="shared" si="8"/>
        <v>0.40361766270615357</v>
      </c>
    </row>
    <row r="11" spans="2:18">
      <c r="B11" s="1" t="s">
        <v>8</v>
      </c>
      <c r="C11" s="1">
        <f>C9/D8</f>
        <v>4.07873736478099E-3</v>
      </c>
      <c r="D11" s="1">
        <f>D9/C8</f>
        <v>5.4976588507556101E-2</v>
      </c>
      <c r="E11" s="1">
        <f>E9/C8</f>
        <v>2.5632062898502457E-2</v>
      </c>
      <c r="F11" s="1">
        <f>F9/C8</f>
        <v>1.0683047249238119E-2</v>
      </c>
      <c r="G11" s="1">
        <f>G9/C8</f>
        <v>5.4910329887639886E-2</v>
      </c>
      <c r="H11" s="1">
        <f>H9/C8</f>
        <v>2.8493089377743926E-2</v>
      </c>
      <c r="I11" s="1">
        <f>I9/C8</f>
        <v>2.7322246000880835E-2</v>
      </c>
      <c r="J11" s="1">
        <f>J9/C8</f>
        <v>1.5364527505408418E-2</v>
      </c>
      <c r="K11" s="1">
        <f>K9/C8</f>
        <v>2.3306031916792962E-2</v>
      </c>
      <c r="L11" s="1">
        <f>L9/C8</f>
        <v>4.578885483819764E-2</v>
      </c>
      <c r="M11" s="1">
        <f>M9/C8</f>
        <v>1.2319714538154627E-2</v>
      </c>
      <c r="N11" s="1">
        <f>N9/C8</f>
        <v>3.3069974341883843E-2</v>
      </c>
      <c r="O11" s="1">
        <f>O9/C8</f>
        <v>3.5958186228389109E-2</v>
      </c>
      <c r="P11" s="1">
        <f>P9/C8</f>
        <v>3.1665439371931031E-2</v>
      </c>
      <c r="Q11" s="1">
        <f>Q9/C8</f>
        <v>2.2387542035853331E-2</v>
      </c>
      <c r="R11" s="1">
        <f>R9/C8</f>
        <v>2.2117538334894871E-2</v>
      </c>
    </row>
    <row r="12" spans="2:18" ht="23.15">
      <c r="B12" s="10" t="s">
        <v>10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ht="87.45">
      <c r="B13" s="1"/>
      <c r="C13" s="8" t="s">
        <v>35</v>
      </c>
      <c r="D13" s="8" t="s">
        <v>5</v>
      </c>
      <c r="E13" s="8" t="s">
        <v>20</v>
      </c>
      <c r="F13" s="8" t="s">
        <v>21</v>
      </c>
      <c r="G13" s="8" t="s">
        <v>22</v>
      </c>
      <c r="H13" s="8" t="s">
        <v>23</v>
      </c>
      <c r="I13" s="8" t="s">
        <v>24</v>
      </c>
      <c r="J13" s="8" t="s">
        <v>25</v>
      </c>
      <c r="K13" s="8" t="s">
        <v>26</v>
      </c>
      <c r="L13" s="8" t="s">
        <v>27</v>
      </c>
      <c r="M13" s="8" t="s">
        <v>28</v>
      </c>
      <c r="N13" s="8" t="s">
        <v>29</v>
      </c>
      <c r="O13" s="8" t="s">
        <v>30</v>
      </c>
      <c r="P13" s="8" t="s">
        <v>31</v>
      </c>
      <c r="Q13" s="8" t="s">
        <v>32</v>
      </c>
      <c r="R13" s="8" t="s">
        <v>33</v>
      </c>
    </row>
    <row r="14" spans="2:18">
      <c r="B14" s="7" t="s">
        <v>0</v>
      </c>
      <c r="C14" s="1">
        <v>1158</v>
      </c>
      <c r="D14" s="3">
        <f>2742-C18</f>
        <v>1555.5</v>
      </c>
      <c r="E14" s="3">
        <f>2370-C18</f>
        <v>1183.5</v>
      </c>
      <c r="F14" s="3">
        <f>1490-C18</f>
        <v>303.5</v>
      </c>
      <c r="G14" s="3">
        <f>1716-C18</f>
        <v>529.5</v>
      </c>
      <c r="H14" s="3">
        <f>1152-C18</f>
        <v>-34.5</v>
      </c>
      <c r="I14" s="3">
        <f>1784-C18</f>
        <v>597.5</v>
      </c>
      <c r="J14" s="3">
        <f>1086-C18</f>
        <v>-100.5</v>
      </c>
      <c r="K14" s="3">
        <f>1802-C18</f>
        <v>615.5</v>
      </c>
      <c r="L14" s="3">
        <f>1066-C18</f>
        <v>-120.5</v>
      </c>
      <c r="M14" s="3">
        <f>2060-C18</f>
        <v>873.5</v>
      </c>
      <c r="N14" s="3">
        <f>1176-C18</f>
        <v>-10.5</v>
      </c>
      <c r="O14" s="3">
        <f>1858-C18</f>
        <v>671.5</v>
      </c>
      <c r="P14" s="3">
        <f>1196-C18</f>
        <v>9.5</v>
      </c>
      <c r="Q14" s="3">
        <f>2022-C18</f>
        <v>835.5</v>
      </c>
      <c r="R14" s="3">
        <f>1126-C18</f>
        <v>-60.5</v>
      </c>
    </row>
    <row r="15" spans="2:18">
      <c r="B15" s="7" t="s">
        <v>1</v>
      </c>
      <c r="C15" s="1">
        <v>1184</v>
      </c>
      <c r="D15" s="3">
        <f>2680-C18</f>
        <v>1493.5</v>
      </c>
      <c r="E15" s="3">
        <f>2440-C18</f>
        <v>1253.5</v>
      </c>
      <c r="F15" s="3">
        <f>1470-C18</f>
        <v>283.5</v>
      </c>
      <c r="G15" s="3">
        <f>1858-C18</f>
        <v>671.5</v>
      </c>
      <c r="H15" s="3">
        <f>1076-C18</f>
        <v>-110.5</v>
      </c>
      <c r="I15" s="3">
        <f>1896-C18</f>
        <v>709.5</v>
      </c>
      <c r="J15" s="3">
        <f>1168-C18</f>
        <v>-18.5</v>
      </c>
      <c r="K15" s="3">
        <f>1900-C18</f>
        <v>713.5</v>
      </c>
      <c r="L15" s="3">
        <f>1096-C18</f>
        <v>-90.5</v>
      </c>
      <c r="M15" s="3">
        <f>1998-C18</f>
        <v>811.5</v>
      </c>
      <c r="N15" s="3">
        <f>1212-C18</f>
        <v>25.5</v>
      </c>
      <c r="O15" s="3">
        <f>2008-C18</f>
        <v>821.5</v>
      </c>
      <c r="P15" s="3">
        <f>1048-C18</f>
        <v>-138.5</v>
      </c>
      <c r="Q15" s="3">
        <f>2050-C18</f>
        <v>863.5</v>
      </c>
      <c r="R15" s="3">
        <f>1126-C18</f>
        <v>-60.5</v>
      </c>
    </row>
    <row r="16" spans="2:18">
      <c r="B16" s="7" t="s">
        <v>2</v>
      </c>
      <c r="C16" s="1">
        <v>1190</v>
      </c>
      <c r="D16" s="3">
        <f>2896-C18</f>
        <v>1709.5</v>
      </c>
      <c r="E16" s="3">
        <f>2374-C18</f>
        <v>1187.5</v>
      </c>
      <c r="F16" s="3">
        <f>1480-C18</f>
        <v>293.5</v>
      </c>
      <c r="G16" s="3">
        <f>1546-C18</f>
        <v>359.5</v>
      </c>
      <c r="H16" s="3">
        <f>1138-C18</f>
        <v>-48.5</v>
      </c>
      <c r="I16" s="3">
        <f>1768-C18</f>
        <v>581.5</v>
      </c>
      <c r="J16" s="3">
        <f>1108-C18</f>
        <v>-78.5</v>
      </c>
      <c r="K16" s="3">
        <f>1824-C18</f>
        <v>637.5</v>
      </c>
      <c r="L16" s="3">
        <f>1268-C18</f>
        <v>81.5</v>
      </c>
      <c r="M16" s="3">
        <f>2060-C18</f>
        <v>873.5</v>
      </c>
      <c r="N16" s="3">
        <f>1310-C18</f>
        <v>123.5</v>
      </c>
      <c r="O16" s="3">
        <f>2048-C18</f>
        <v>861.5</v>
      </c>
      <c r="P16" s="3">
        <f>1216-C18</f>
        <v>29.5</v>
      </c>
      <c r="Q16" s="3">
        <f>2136-C18</f>
        <v>949.5</v>
      </c>
      <c r="R16" s="3">
        <f>1088-C18</f>
        <v>-98.5</v>
      </c>
    </row>
    <row r="17" spans="2:18">
      <c r="B17" s="7" t="s">
        <v>3</v>
      </c>
      <c r="C17" s="1">
        <v>1214</v>
      </c>
      <c r="D17" s="3">
        <f>2960-C18</f>
        <v>1773.5</v>
      </c>
      <c r="E17" s="3">
        <f>2498-C18</f>
        <v>1311.5</v>
      </c>
      <c r="F17" s="3">
        <f>1432-C18</f>
        <v>245.5</v>
      </c>
      <c r="G17" s="3">
        <f>1760-C18</f>
        <v>573.5</v>
      </c>
      <c r="H17" s="3">
        <f>1240-C18</f>
        <v>53.5</v>
      </c>
      <c r="I17" s="3">
        <f>1754-C18</f>
        <v>567.5</v>
      </c>
      <c r="J17" s="3">
        <f>1098-C18</f>
        <v>-88.5</v>
      </c>
      <c r="K17" s="3">
        <f>1914-C18</f>
        <v>727.5</v>
      </c>
      <c r="L17" s="3">
        <f>1268-C18</f>
        <v>81.5</v>
      </c>
      <c r="M17" s="3">
        <f>2038-C18</f>
        <v>851.5</v>
      </c>
      <c r="N17" s="3">
        <f>1124-C18</f>
        <v>-62.5</v>
      </c>
      <c r="O17" s="3">
        <f>2020-C18</f>
        <v>833.5</v>
      </c>
      <c r="P17" s="3">
        <f>1142-C18</f>
        <v>-44.5</v>
      </c>
      <c r="Q17" s="3">
        <f>2026-C18</f>
        <v>839.5</v>
      </c>
      <c r="R17" s="3">
        <f>1212-C18</f>
        <v>25.5</v>
      </c>
    </row>
    <row r="18" spans="2:18">
      <c r="B18" s="7" t="s">
        <v>4</v>
      </c>
      <c r="C18" s="1">
        <f>AVERAGE(C14:C17)</f>
        <v>1186.5</v>
      </c>
      <c r="D18" s="1">
        <f t="shared" ref="D18:H18" si="9">AVERAGE(D14:D17)</f>
        <v>1633</v>
      </c>
      <c r="E18" s="1">
        <f t="shared" si="9"/>
        <v>1234</v>
      </c>
      <c r="F18" s="1">
        <f t="shared" si="9"/>
        <v>281.5</v>
      </c>
      <c r="G18" s="1">
        <f t="shared" si="9"/>
        <v>533.5</v>
      </c>
      <c r="H18" s="1">
        <f t="shared" si="9"/>
        <v>-35</v>
      </c>
      <c r="I18" s="1">
        <f>AVERAGE(I14:I17)</f>
        <v>614</v>
      </c>
      <c r="J18" s="1">
        <f>AVERAGE(J14:J17)</f>
        <v>-71.5</v>
      </c>
      <c r="K18" s="1">
        <f>AVERAGE(K14:K17)</f>
        <v>673.5</v>
      </c>
      <c r="L18" s="1">
        <f>AVERAGE(L14:L17)</f>
        <v>-12</v>
      </c>
      <c r="M18" s="1">
        <f t="shared" ref="M18" si="10">AVERAGE(M14:M17)</f>
        <v>852.5</v>
      </c>
      <c r="N18" s="1">
        <f>AVERAGE(N14:N17)</f>
        <v>19</v>
      </c>
      <c r="O18" s="1">
        <f t="shared" ref="O18" si="11">AVERAGE(O14:O17)</f>
        <v>797</v>
      </c>
      <c r="P18" s="1">
        <f>AVERAGE(P14:P17)</f>
        <v>-36</v>
      </c>
      <c r="Q18" s="1">
        <f t="shared" ref="Q18" si="12">AVERAGE(Q14:Q17)</f>
        <v>872</v>
      </c>
      <c r="R18" s="1">
        <f>AVERAGE(R14:R17)</f>
        <v>-48.5</v>
      </c>
    </row>
    <row r="19" spans="2:18">
      <c r="B19" s="5" t="s">
        <v>7</v>
      </c>
      <c r="C19" s="2">
        <f>STDEV(C14:C17)/SQRT(COUNT(C14:C17))</f>
        <v>11.5</v>
      </c>
      <c r="D19" s="2">
        <f t="shared" ref="D19:H19" si="13">STDEV(D14:D17)/SQRT(COUNT(D14:D17))</f>
        <v>65.229722264215312</v>
      </c>
      <c r="E19" s="2">
        <f t="shared" si="13"/>
        <v>30.412442629073166</v>
      </c>
      <c r="F19" s="2">
        <f t="shared" si="13"/>
        <v>12.675435561221029</v>
      </c>
      <c r="G19" s="2">
        <f t="shared" si="13"/>
        <v>65.151106411684722</v>
      </c>
      <c r="H19" s="2">
        <f t="shared" si="13"/>
        <v>33.807050546693169</v>
      </c>
      <c r="I19" s="2">
        <f>STDEV(I14:I17)/SQRT(COUNT(I14:I17))</f>
        <v>32.417844880045109</v>
      </c>
      <c r="J19" s="2">
        <f>STDEV(J14:J17)/SQRT(COUNT(J14:J17))</f>
        <v>18.230011885167087</v>
      </c>
      <c r="K19" s="2">
        <f>STDEV(K14:K17)/SQRT(COUNT(K14:K17))</f>
        <v>27.652606869274852</v>
      </c>
      <c r="L19" s="2">
        <f>STDEV(L14:L17)/SQRT(COUNT(L14:L17))</f>
        <v>54.328476265521502</v>
      </c>
      <c r="M19" s="2">
        <f t="shared" ref="M19" si="14">STDEV(M14:M17)/SQRT(COUNT(M14:M17))</f>
        <v>14.617341299520465</v>
      </c>
      <c r="N19" s="2">
        <f>STDEV(N14:N17)/SQRT(COUNT(N14:N17))</f>
        <v>39.237524556645177</v>
      </c>
      <c r="O19" s="2">
        <f t="shared" ref="O19" si="15">STDEV(O14:O17)/SQRT(COUNT(O14:O17))</f>
        <v>42.664387959983678</v>
      </c>
      <c r="P19" s="2">
        <f>STDEV(P14:P17)/SQRT(COUNT(P14:P17))</f>
        <v>37.57104381479617</v>
      </c>
      <c r="Q19" s="2">
        <f t="shared" ref="Q19" si="16">STDEV(Q14:Q17)/SQRT(COUNT(Q14:Q17))</f>
        <v>26.562818625539975</v>
      </c>
      <c r="R19" s="2">
        <f>STDEV(R14:R17)/SQRT(COUNT(R14:R17))</f>
        <v>26.242459234352765</v>
      </c>
    </row>
    <row r="20" spans="2:18">
      <c r="B20" s="5" t="s">
        <v>6</v>
      </c>
      <c r="C20" s="1">
        <f>C18/D18</f>
        <v>0.72657685241886094</v>
      </c>
      <c r="D20" s="1">
        <f>D18/D18</f>
        <v>1</v>
      </c>
      <c r="E20" s="1">
        <f>E18/$D$18</f>
        <v>0.75566442131047151</v>
      </c>
      <c r="F20" s="1">
        <f t="shared" ref="F20:R20" si="17">F18/$D$18</f>
        <v>0.17238211879975504</v>
      </c>
      <c r="G20" s="1">
        <f t="shared" si="17"/>
        <v>0.32669932639314148</v>
      </c>
      <c r="H20" s="1">
        <f t="shared" si="17"/>
        <v>-2.1432945499081445E-2</v>
      </c>
      <c r="I20" s="1">
        <f t="shared" si="17"/>
        <v>0.37599510104102879</v>
      </c>
      <c r="J20" s="1">
        <f t="shared" si="17"/>
        <v>-4.378444580526638E-2</v>
      </c>
      <c r="K20" s="1">
        <f t="shared" si="17"/>
        <v>0.41243110838946723</v>
      </c>
      <c r="L20" s="1">
        <f t="shared" si="17"/>
        <v>-7.3484384568279241E-3</v>
      </c>
      <c r="M20" s="1">
        <f t="shared" si="17"/>
        <v>0.52204531537048382</v>
      </c>
      <c r="N20" s="1">
        <f t="shared" si="17"/>
        <v>1.1635027556644213E-2</v>
      </c>
      <c r="O20" s="1">
        <f t="shared" si="17"/>
        <v>0.48805878750765463</v>
      </c>
      <c r="P20" s="1">
        <f t="shared" si="17"/>
        <v>-2.2045315370483771E-2</v>
      </c>
      <c r="Q20" s="1">
        <f t="shared" si="17"/>
        <v>0.53398652786282919</v>
      </c>
      <c r="R20" s="1">
        <f t="shared" si="17"/>
        <v>-2.969993876301286E-2</v>
      </c>
    </row>
    <row r="21" spans="2:18">
      <c r="B21" s="1" t="s">
        <v>8</v>
      </c>
      <c r="C21" s="1">
        <f>C19/D18</f>
        <v>7.0422535211267607E-3</v>
      </c>
      <c r="D21" s="1">
        <f>D19/$D$18</f>
        <v>3.9944716634547038E-2</v>
      </c>
      <c r="E21" s="1">
        <f t="shared" ref="E21:R21" si="18">E19/$D$18</f>
        <v>1.8623663581796183E-2</v>
      </c>
      <c r="F21" s="1">
        <f t="shared" si="18"/>
        <v>7.7620548445934039E-3</v>
      </c>
      <c r="G21" s="1">
        <f t="shared" si="18"/>
        <v>3.9896574655042698E-2</v>
      </c>
      <c r="H21" s="1">
        <f t="shared" si="18"/>
        <v>2.0702419195770465E-2</v>
      </c>
      <c r="I21" s="1">
        <f t="shared" si="18"/>
        <v>1.985171150033381E-2</v>
      </c>
      <c r="J21" s="1">
        <f t="shared" si="18"/>
        <v>1.1163510033782662E-2</v>
      </c>
      <c r="K21" s="1">
        <f t="shared" si="18"/>
        <v>1.6933623312476945E-2</v>
      </c>
      <c r="L21" s="1">
        <f t="shared" si="18"/>
        <v>3.3269122024201778E-2</v>
      </c>
      <c r="M21" s="1">
        <f t="shared" si="18"/>
        <v>8.9512194118312703E-3</v>
      </c>
      <c r="N21" s="1">
        <f t="shared" si="18"/>
        <v>2.4027877866898455E-2</v>
      </c>
      <c r="O21" s="1">
        <f t="shared" si="18"/>
        <v>2.6126385768514192E-2</v>
      </c>
      <c r="P21" s="1">
        <f t="shared" si="18"/>
        <v>2.3007375269317922E-2</v>
      </c>
      <c r="Q21" s="1">
        <f t="shared" si="18"/>
        <v>1.626626982580525E-2</v>
      </c>
      <c r="R21" s="1">
        <f t="shared" si="18"/>
        <v>1.607009138662141E-2</v>
      </c>
    </row>
  </sheetData>
  <mergeCells count="2">
    <mergeCell ref="B12:R12"/>
    <mergeCell ref="B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Figure 3 Data</vt:lpstr>
      <vt:lpstr>Figure 5a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protein</dc:creator>
  <cp:lastModifiedBy>Manuel Otero</cp:lastModifiedBy>
  <cp:lastPrinted>2019-08-20T09:00:58Z</cp:lastPrinted>
  <dcterms:created xsi:type="dcterms:W3CDTF">2019-07-23T08:55:10Z</dcterms:created>
  <dcterms:modified xsi:type="dcterms:W3CDTF">2020-03-10T09:16:27Z</dcterms:modified>
</cp:coreProperties>
</file>