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's me\Documents\Work Data March 2019\Felix\N-Glycosylation Review\Preprint\"/>
    </mc:Choice>
  </mc:AlternateContent>
  <xr:revisionPtr revIDLastSave="0" documentId="13_ncr:1_{FB0A62C3-0A33-4BBB-BEDC-8967636A5C9C}" xr6:coauthVersionLast="45" xr6:coauthVersionMax="45" xr10:uidLastSave="{00000000-0000-0000-0000-000000000000}"/>
  <bookViews>
    <workbookView xWindow="28680" yWindow="-120" windowWidth="29040" windowHeight="15840" activeTab="1" xr2:uid="{50129959-37D9-412E-855C-4ABFF13B44E3}"/>
  </bookViews>
  <sheets>
    <sheet name="Nucleosides" sheetId="2" r:id="rId1"/>
    <sheet name="Sugar Synth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J83" i="2"/>
  <c r="I83" i="2"/>
  <c r="H83" i="2"/>
  <c r="P83" i="2"/>
  <c r="N83" i="2"/>
  <c r="O83" i="2"/>
  <c r="G83" i="2"/>
  <c r="F83" i="2"/>
  <c r="E83" i="2"/>
  <c r="D83" i="2"/>
  <c r="O82" i="2"/>
  <c r="K82" i="2"/>
  <c r="J82" i="2"/>
  <c r="I82" i="2"/>
  <c r="H82" i="2"/>
  <c r="G82" i="2"/>
  <c r="F82" i="2"/>
  <c r="E82" i="2"/>
  <c r="P82" i="2"/>
  <c r="N82" i="2"/>
  <c r="D82" i="2"/>
  <c r="N81" i="2"/>
  <c r="K81" i="2"/>
  <c r="J81" i="2"/>
  <c r="I81" i="2"/>
  <c r="H81" i="2"/>
  <c r="G81" i="2"/>
  <c r="F81" i="2"/>
  <c r="E81" i="2"/>
  <c r="P81" i="2"/>
  <c r="O81" i="2"/>
  <c r="D81" i="2"/>
  <c r="N80" i="2"/>
  <c r="P80" i="2"/>
  <c r="O80" i="2"/>
  <c r="K80" i="2"/>
  <c r="J80" i="2"/>
  <c r="H80" i="2"/>
  <c r="G80" i="2"/>
  <c r="F80" i="2"/>
  <c r="I80" i="2"/>
  <c r="E80" i="2"/>
  <c r="D80" i="2"/>
  <c r="P79" i="2"/>
  <c r="O79" i="2"/>
  <c r="N79" i="2"/>
  <c r="K79" i="2"/>
  <c r="J79" i="2"/>
  <c r="I79" i="2"/>
  <c r="H79" i="2"/>
  <c r="G79" i="2"/>
  <c r="F79" i="2"/>
  <c r="E79" i="2"/>
  <c r="D79" i="2"/>
  <c r="K29" i="1"/>
  <c r="J29" i="1"/>
  <c r="I29" i="1"/>
  <c r="H29" i="1"/>
  <c r="N29" i="1"/>
  <c r="M29" i="1"/>
  <c r="L29" i="1"/>
  <c r="G29" i="1"/>
  <c r="F29" i="1"/>
  <c r="E29" i="1"/>
  <c r="D29" i="1"/>
  <c r="K78" i="2" l="1"/>
  <c r="J78" i="2"/>
  <c r="I78" i="2"/>
  <c r="H78" i="2"/>
  <c r="G78" i="2"/>
  <c r="F78" i="2"/>
  <c r="P78" i="2"/>
  <c r="O78" i="2"/>
  <c r="N78" i="2"/>
  <c r="M28" i="1"/>
  <c r="L28" i="1"/>
  <c r="E78" i="2"/>
  <c r="D78" i="2"/>
  <c r="O77" i="2" l="1"/>
  <c r="P77" i="2"/>
  <c r="N77" i="2"/>
  <c r="K77" i="2"/>
  <c r="J77" i="2"/>
  <c r="H77" i="2"/>
  <c r="I77" i="2"/>
  <c r="G77" i="2"/>
  <c r="F77" i="2"/>
  <c r="E77" i="2"/>
  <c r="D77" i="2"/>
  <c r="P76" i="2"/>
  <c r="O76" i="2"/>
  <c r="N76" i="2"/>
  <c r="K76" i="2"/>
  <c r="J76" i="2"/>
  <c r="I76" i="2"/>
  <c r="H76" i="2"/>
  <c r="G76" i="2"/>
  <c r="F76" i="2"/>
  <c r="E76" i="2"/>
  <c r="D76" i="2"/>
  <c r="H28" i="1"/>
  <c r="I28" i="1"/>
  <c r="J28" i="1"/>
  <c r="K28" i="1"/>
  <c r="G28" i="1"/>
  <c r="F28" i="1"/>
  <c r="E28" i="1"/>
  <c r="G27" i="1"/>
  <c r="K27" i="1"/>
  <c r="J27" i="1"/>
  <c r="I27" i="1"/>
  <c r="H27" i="1"/>
  <c r="M27" i="1"/>
  <c r="L27" i="1"/>
  <c r="F27" i="1"/>
  <c r="E27" i="1"/>
  <c r="K26" i="1" l="1"/>
  <c r="J26" i="1"/>
  <c r="I26" i="1"/>
  <c r="H26" i="1"/>
  <c r="N26" i="1"/>
  <c r="N27" i="1" s="1"/>
  <c r="N28" i="1" s="1"/>
  <c r="G26" i="1"/>
  <c r="F26" i="1"/>
  <c r="E26" i="1"/>
  <c r="D75" i="2" l="1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8" i="2"/>
  <c r="D29" i="2"/>
  <c r="D30" i="2"/>
  <c r="D31" i="2"/>
  <c r="D32" i="2"/>
  <c r="D33" i="2"/>
  <c r="D34" i="2"/>
  <c r="D27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D25" i="1" l="1"/>
  <c r="D21" i="1"/>
  <c r="D22" i="1" s="1"/>
  <c r="D20" i="1"/>
  <c r="D18" i="1"/>
  <c r="D19" i="1" s="1"/>
  <c r="D16" i="1"/>
  <c r="D17" i="1" s="1"/>
  <c r="D11" i="1"/>
  <c r="D12" i="1" s="1"/>
  <c r="D10" i="1"/>
  <c r="D9" i="1"/>
  <c r="D8" i="1"/>
  <c r="D7" i="1"/>
  <c r="D6" i="1"/>
  <c r="D14" i="1" s="1"/>
  <c r="D4" i="1"/>
  <c r="D26" i="1" s="1"/>
  <c r="D27" i="1" s="1"/>
  <c r="D28" i="1" s="1"/>
  <c r="N24" i="1"/>
  <c r="N23" i="1"/>
  <c r="N22" i="1"/>
  <c r="N18" i="1"/>
  <c r="N19" i="1" s="1"/>
  <c r="N17" i="1"/>
  <c r="N14" i="1"/>
  <c r="N15" i="1" s="1"/>
  <c r="N13" i="1"/>
  <c r="N12" i="1"/>
  <c r="N5" i="1"/>
  <c r="D15" i="1" l="1"/>
  <c r="D24" i="1"/>
  <c r="D5" i="1"/>
  <c r="K75" i="2"/>
  <c r="J75" i="2"/>
  <c r="I75" i="2"/>
  <c r="H75" i="2"/>
  <c r="G75" i="2"/>
  <c r="P75" i="2"/>
  <c r="F75" i="2"/>
  <c r="E75" i="2"/>
  <c r="K74" i="2"/>
  <c r="J74" i="2"/>
  <c r="I74" i="2"/>
  <c r="H74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J27" i="2"/>
  <c r="K27" i="2"/>
  <c r="H28" i="2"/>
  <c r="J28" i="2"/>
  <c r="K28" i="2"/>
  <c r="H29" i="2"/>
  <c r="J29" i="2"/>
  <c r="K29" i="2"/>
  <c r="H30" i="2"/>
  <c r="J30" i="2"/>
  <c r="K30" i="2"/>
  <c r="H31" i="2"/>
  <c r="I31" i="2"/>
  <c r="J31" i="2"/>
  <c r="K31" i="2"/>
  <c r="H32" i="2"/>
  <c r="I32" i="2"/>
  <c r="K32" i="2"/>
  <c r="H33" i="2"/>
  <c r="I33" i="2"/>
  <c r="J33" i="2"/>
  <c r="K33" i="2"/>
  <c r="H34" i="2"/>
  <c r="I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J69" i="2"/>
  <c r="K69" i="2"/>
  <c r="H70" i="2"/>
  <c r="I70" i="2"/>
  <c r="J70" i="2"/>
  <c r="K70" i="2"/>
  <c r="H71" i="2"/>
  <c r="I71" i="2"/>
  <c r="J71" i="2"/>
  <c r="K71" i="2"/>
  <c r="H72" i="2"/>
  <c r="I72" i="2"/>
  <c r="J72" i="2"/>
  <c r="K72" i="2"/>
  <c r="H73" i="2"/>
  <c r="I73" i="2"/>
  <c r="J73" i="2"/>
  <c r="K73" i="2"/>
  <c r="G74" i="2"/>
  <c r="F74" i="2"/>
  <c r="E74" i="2"/>
  <c r="G73" i="2"/>
  <c r="F73" i="2"/>
  <c r="P73" i="2"/>
  <c r="E73" i="2"/>
  <c r="D23" i="1" l="1"/>
  <c r="D13" i="1"/>
  <c r="P72" i="2"/>
  <c r="G72" i="2"/>
  <c r="F72" i="2"/>
  <c r="E72" i="2"/>
  <c r="G71" i="2" l="1"/>
  <c r="F71" i="2"/>
  <c r="P71" i="2"/>
  <c r="O71" i="2"/>
  <c r="P70" i="2"/>
  <c r="O70" i="2"/>
  <c r="G70" i="2"/>
  <c r="F70" i="2"/>
  <c r="E71" i="2" l="1"/>
  <c r="E70" i="2" l="1"/>
  <c r="P69" i="2"/>
  <c r="O69" i="2"/>
  <c r="G69" i="2"/>
  <c r="F69" i="2"/>
  <c r="E69" i="2"/>
  <c r="G68" i="2" l="1"/>
  <c r="F68" i="2"/>
  <c r="E68" i="2"/>
  <c r="G67" i="2"/>
  <c r="F67" i="2"/>
  <c r="E67" i="2"/>
  <c r="G66" i="2" l="1"/>
  <c r="F66" i="2"/>
  <c r="E66" i="2"/>
  <c r="E65" i="2"/>
  <c r="G65" i="2" l="1"/>
  <c r="F65" i="2"/>
  <c r="G64" i="2" l="1"/>
  <c r="F64" i="2"/>
  <c r="E64" i="2"/>
  <c r="H25" i="1"/>
  <c r="G63" i="2"/>
  <c r="F63" i="2"/>
  <c r="E63" i="2"/>
  <c r="K25" i="1"/>
  <c r="J25" i="1"/>
  <c r="I25" i="1"/>
  <c r="G25" i="1"/>
  <c r="F25" i="1"/>
  <c r="G62" i="2" l="1"/>
  <c r="F62" i="2"/>
  <c r="E62" i="2"/>
  <c r="G61" i="2"/>
  <c r="F61" i="2" l="1"/>
  <c r="E61" i="2"/>
  <c r="P61" i="2"/>
  <c r="K24" i="1"/>
  <c r="J24" i="1"/>
  <c r="I24" i="1"/>
  <c r="H24" i="1"/>
  <c r="G24" i="1"/>
  <c r="F24" i="1"/>
  <c r="E24" i="1"/>
  <c r="P60" i="2"/>
  <c r="P59" i="2"/>
  <c r="P58" i="2"/>
  <c r="P56" i="2"/>
  <c r="P52" i="2"/>
  <c r="P51" i="2"/>
  <c r="P48" i="2"/>
  <c r="P49" i="2"/>
  <c r="P50" i="2"/>
  <c r="P47" i="2"/>
  <c r="P45" i="2"/>
  <c r="P46" i="2"/>
  <c r="P42" i="2"/>
  <c r="P43" i="2"/>
  <c r="P44" i="2"/>
  <c r="P41" i="2"/>
  <c r="P36" i="2"/>
  <c r="P37" i="2"/>
  <c r="P38" i="2"/>
  <c r="P39" i="2"/>
  <c r="P40" i="2"/>
  <c r="P35" i="2"/>
  <c r="P33" i="2"/>
  <c r="P31" i="2"/>
  <c r="P28" i="2"/>
  <c r="P29" i="2"/>
  <c r="P30" i="2"/>
  <c r="P27" i="2"/>
  <c r="P25" i="2"/>
  <c r="P26" i="2"/>
  <c r="P24" i="2"/>
  <c r="P22" i="2"/>
  <c r="P23" i="2"/>
  <c r="P21" i="2"/>
  <c r="P20" i="2"/>
  <c r="P18" i="2"/>
  <c r="P19" i="2"/>
  <c r="P17" i="2"/>
  <c r="P11" i="2"/>
  <c r="P12" i="2"/>
  <c r="P13" i="2"/>
  <c r="P14" i="2"/>
  <c r="P15" i="2"/>
  <c r="P16" i="2"/>
  <c r="P5" i="2"/>
  <c r="P6" i="2"/>
  <c r="P7" i="2"/>
  <c r="P8" i="2"/>
  <c r="P9" i="2"/>
  <c r="P10" i="2"/>
  <c r="P4" i="2"/>
  <c r="G60" i="2" l="1"/>
  <c r="F60" i="2"/>
  <c r="E60" i="2"/>
  <c r="G59" i="2"/>
  <c r="F59" i="2"/>
  <c r="E59" i="2"/>
  <c r="O58" i="2" l="1"/>
  <c r="O57" i="2"/>
  <c r="O56" i="2"/>
  <c r="O55" i="2"/>
  <c r="O53" i="2"/>
  <c r="O48" i="2"/>
  <c r="O47" i="2"/>
  <c r="O42" i="2"/>
  <c r="O43" i="2"/>
  <c r="O44" i="2"/>
  <c r="O45" i="2"/>
  <c r="O46" i="2"/>
  <c r="O41" i="2"/>
  <c r="O22" i="2"/>
  <c r="O23" i="2"/>
  <c r="O24" i="2"/>
  <c r="O25" i="2"/>
  <c r="O26" i="2"/>
  <c r="O21" i="2"/>
  <c r="O18" i="2"/>
  <c r="O19" i="2"/>
  <c r="O17" i="2"/>
  <c r="O20" i="2"/>
  <c r="O27" i="2"/>
  <c r="O28" i="2"/>
  <c r="O29" i="2"/>
  <c r="O30" i="2"/>
  <c r="O31" i="2"/>
  <c r="O32" i="2"/>
  <c r="O33" i="2"/>
  <c r="O34" i="2"/>
  <c r="K23" i="1" l="1"/>
  <c r="J23" i="1"/>
  <c r="I23" i="1"/>
  <c r="H23" i="1"/>
  <c r="G23" i="1"/>
  <c r="F23" i="1"/>
  <c r="E23" i="1"/>
  <c r="G58" i="2" l="1"/>
  <c r="F58" i="2"/>
  <c r="E58" i="2"/>
  <c r="H22" i="1"/>
  <c r="I22" i="1"/>
  <c r="J22" i="1"/>
  <c r="K22" i="1"/>
  <c r="G22" i="1"/>
  <c r="F22" i="1"/>
  <c r="E22" i="1"/>
  <c r="K21" i="1"/>
  <c r="J21" i="1"/>
  <c r="I21" i="1"/>
  <c r="H21" i="1"/>
  <c r="G21" i="1"/>
  <c r="F21" i="1"/>
  <c r="G57" i="2"/>
  <c r="F57" i="2"/>
  <c r="E57" i="2"/>
  <c r="G56" i="2"/>
  <c r="F56" i="2"/>
  <c r="E56" i="2"/>
  <c r="J20" i="1"/>
  <c r="H20" i="1"/>
  <c r="G20" i="1"/>
  <c r="F20" i="1"/>
  <c r="G55" i="2" l="1"/>
  <c r="F55" i="2"/>
  <c r="E55" i="2"/>
  <c r="G54" i="2" l="1"/>
  <c r="F54" i="2"/>
  <c r="E54" i="2"/>
  <c r="G53" i="2"/>
  <c r="F53" i="2"/>
  <c r="E53" i="2"/>
  <c r="K19" i="1"/>
  <c r="J19" i="1"/>
  <c r="I19" i="1"/>
  <c r="H19" i="1"/>
  <c r="G19" i="1"/>
  <c r="F19" i="1"/>
  <c r="E19" i="1"/>
  <c r="G52" i="2"/>
  <c r="F52" i="2"/>
  <c r="E52" i="2"/>
  <c r="G51" i="2"/>
  <c r="F51" i="2"/>
  <c r="E51" i="2"/>
  <c r="G47" i="2"/>
  <c r="F47" i="2"/>
  <c r="G46" i="2"/>
  <c r="F46" i="2"/>
  <c r="G45" i="2"/>
  <c r="F45" i="2"/>
  <c r="G44" i="2"/>
  <c r="F44" i="2"/>
  <c r="F43" i="2"/>
  <c r="G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50" i="2"/>
  <c r="F50" i="2"/>
  <c r="E50" i="2"/>
  <c r="E49" i="2"/>
  <c r="G49" i="2"/>
  <c r="F49" i="2"/>
  <c r="G48" i="2" l="1"/>
  <c r="E48" i="2"/>
  <c r="F48" i="2"/>
  <c r="E47" i="2"/>
  <c r="E46" i="2" l="1"/>
  <c r="E45" i="2"/>
  <c r="E44" i="2"/>
  <c r="E43" i="2"/>
  <c r="E42" i="2"/>
  <c r="E41" i="2"/>
  <c r="E40" i="2" l="1"/>
  <c r="E39" i="2"/>
  <c r="E38" i="2"/>
  <c r="E37" i="2"/>
  <c r="E36" i="2"/>
  <c r="E35" i="2" l="1"/>
  <c r="G34" i="2"/>
  <c r="F34" i="2"/>
  <c r="G33" i="2"/>
  <c r="F33" i="2"/>
  <c r="G32" i="2"/>
  <c r="F32" i="2"/>
  <c r="G31" i="2"/>
  <c r="F31" i="2"/>
  <c r="G30" i="2"/>
  <c r="G28" i="2"/>
  <c r="F28" i="2"/>
  <c r="F30" i="2"/>
  <c r="G29" i="2"/>
  <c r="F29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 l="1"/>
  <c r="F19" i="2"/>
  <c r="E19" i="2"/>
  <c r="G18" i="2"/>
  <c r="F18" i="2"/>
  <c r="E18" i="2"/>
  <c r="F17" i="2" l="1"/>
  <c r="G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G9" i="2"/>
  <c r="F9" i="2"/>
  <c r="E10" i="2"/>
  <c r="E9" i="2"/>
  <c r="G8" i="2"/>
  <c r="F8" i="2"/>
  <c r="E8" i="2"/>
  <c r="G7" i="2"/>
  <c r="F7" i="2"/>
  <c r="E7" i="2"/>
  <c r="G6" i="2"/>
  <c r="F6" i="2"/>
  <c r="F5" i="2"/>
  <c r="E6" i="2"/>
  <c r="G5" i="2" l="1"/>
  <c r="E5" i="2"/>
  <c r="G4" i="2"/>
  <c r="F4" i="2"/>
  <c r="E4" i="2" l="1"/>
  <c r="K18" i="1" l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 l="1"/>
  <c r="J16" i="1"/>
  <c r="I16" i="1"/>
  <c r="H16" i="1"/>
  <c r="G16" i="1"/>
  <c r="F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H13" i="1"/>
  <c r="I13" i="1"/>
  <c r="G13" i="1"/>
  <c r="F13" i="1"/>
  <c r="E13" i="1"/>
  <c r="K12" i="1"/>
  <c r="J12" i="1"/>
  <c r="I12" i="1"/>
  <c r="H12" i="1"/>
  <c r="G12" i="1"/>
  <c r="F12" i="1"/>
  <c r="E12" i="1"/>
  <c r="E5" i="1"/>
  <c r="K11" i="1" l="1"/>
  <c r="J11" i="1"/>
  <c r="I11" i="1"/>
  <c r="H11" i="1"/>
  <c r="G11" i="1"/>
  <c r="F11" i="1"/>
  <c r="J10" i="1"/>
  <c r="H10" i="1"/>
  <c r="G10" i="1"/>
  <c r="F10" i="1"/>
  <c r="J9" i="1"/>
  <c r="H9" i="1"/>
  <c r="G9" i="1"/>
  <c r="F9" i="1"/>
  <c r="J7" i="1"/>
  <c r="K8" i="1"/>
  <c r="J8" i="1"/>
  <c r="I8" i="1"/>
  <c r="G8" i="1"/>
  <c r="H8" i="1"/>
  <c r="F8" i="1"/>
  <c r="G7" i="1"/>
  <c r="K7" i="1"/>
  <c r="I7" i="1"/>
  <c r="H7" i="1"/>
  <c r="F7" i="1"/>
  <c r="J4" i="1" l="1"/>
  <c r="K6" i="1"/>
  <c r="J6" i="1"/>
  <c r="I6" i="1"/>
  <c r="H6" i="1"/>
  <c r="G6" i="1"/>
  <c r="F6" i="1"/>
  <c r="K5" i="1"/>
  <c r="J5" i="1"/>
  <c r="G5" i="1"/>
  <c r="I5" i="1"/>
  <c r="H5" i="1"/>
  <c r="F5" i="1"/>
  <c r="G4" i="1"/>
  <c r="K4" i="1"/>
  <c r="I4" i="1"/>
  <c r="H4" i="1" l="1"/>
  <c r="F4" i="1"/>
</calcChain>
</file>

<file path=xl/sharedStrings.xml><?xml version="1.0" encoding="utf-8"?>
<sst xmlns="http://schemas.openxmlformats.org/spreadsheetml/2006/main" count="459" uniqueCount="234">
  <si>
    <t>Sugar Synthons</t>
  </si>
  <si>
    <t>Reaction</t>
  </si>
  <si>
    <t>Compound</t>
  </si>
  <si>
    <t>S1</t>
  </si>
  <si>
    <t>sEF [kg/kg]</t>
  </si>
  <si>
    <t>cEF [kg/kg]</t>
  </si>
  <si>
    <t>Reference</t>
  </si>
  <si>
    <t>Andreeva 2019</t>
  </si>
  <si>
    <t>Reagents</t>
  </si>
  <si>
    <t>Water</t>
  </si>
  <si>
    <t>Inorganics</t>
  </si>
  <si>
    <t>Solvents</t>
  </si>
  <si>
    <t>cEF contributions [kg/kg]</t>
  </si>
  <si>
    <t>Nudelman 1987</t>
  </si>
  <si>
    <t>S2</t>
  </si>
  <si>
    <t>S3</t>
  </si>
  <si>
    <t>Kissman 1955</t>
  </si>
  <si>
    <t>S4</t>
  </si>
  <si>
    <t>5-O-monomethoxytrityl-D-ribose</t>
  </si>
  <si>
    <t>Downey 2015</t>
  </si>
  <si>
    <t>S5</t>
  </si>
  <si>
    <t>5-O-trityl-D-ribose</t>
  </si>
  <si>
    <t xml:space="preserve">2,3,5-tri-O-acetyl-D-ribose </t>
  </si>
  <si>
    <t>Downey 2017</t>
  </si>
  <si>
    <t>S6</t>
  </si>
  <si>
    <t>7-methylguanosine hydroiodide</t>
  </si>
  <si>
    <t>-</t>
  </si>
  <si>
    <t>S7</t>
  </si>
  <si>
    <t>2'-deoxy-7-methylguanosine hydroiodide</t>
  </si>
  <si>
    <t>Alexeev 2020</t>
  </si>
  <si>
    <t>Drenichev 2018</t>
  </si>
  <si>
    <t>S8</t>
  </si>
  <si>
    <t xml:space="preserve">2,3,5-Tri-O-benzoyl-1-O-methyl-D-ribose </t>
  </si>
  <si>
    <t>Ramamurty 2011</t>
  </si>
  <si>
    <t>S9</t>
  </si>
  <si>
    <t>3,5-Di-O-benzoyl-a-D-ribofuranose-1,2-(pent-4-enyl orthobenzoate)</t>
  </si>
  <si>
    <t>S10</t>
  </si>
  <si>
    <t>2,3,5-Tri-O-acetyl-D-ribofuranosyl 1-(N-phenyl)-2,2,2-trifluoroacetimidate</t>
  </si>
  <si>
    <t>S11</t>
  </si>
  <si>
    <t>2,3,5-Tri-O-benzoyl-D-ribose</t>
  </si>
  <si>
    <t>Thomas 2007</t>
  </si>
  <si>
    <t>2,3,5-Tri-O-benzoyl-D-ribofuranosyl 1-(N-phenyl)-2,2,2-trifluoroacetimidate</t>
  </si>
  <si>
    <t>S12</t>
  </si>
  <si>
    <t>S13</t>
  </si>
  <si>
    <t xml:space="preserve">3,5-di-O-benzoyl-α-D-ribofuranoside (prop-2-yn-1-yl)-1,2-orthobenzoate </t>
  </si>
  <si>
    <t>Thadke 2014</t>
  </si>
  <si>
    <t>S14</t>
  </si>
  <si>
    <t xml:space="preserve">3,5-di-O-benzyl-α-D-ribofuranoside (prop-2-yn-1-yl)-1,2-orthobenzoate </t>
  </si>
  <si>
    <t xml:space="preserve">1,2,3,5-tetra-O-acetyl-b-D-ribose </t>
  </si>
  <si>
    <t>S15</t>
  </si>
  <si>
    <t>p-tolyl-2,3,5-tri-O-acetyl-1-thio-D-ribose</t>
  </si>
  <si>
    <t>Kurosu 2008</t>
  </si>
  <si>
    <t>Nucleosides</t>
  </si>
  <si>
    <t>Type</t>
  </si>
  <si>
    <t>N1</t>
  </si>
  <si>
    <t>5-methyluridine</t>
  </si>
  <si>
    <t>N2</t>
  </si>
  <si>
    <t>5-bromouridine</t>
  </si>
  <si>
    <t>N3</t>
  </si>
  <si>
    <t>5-trifluorouridine</t>
  </si>
  <si>
    <t>N4</t>
  </si>
  <si>
    <t>uridine</t>
  </si>
  <si>
    <t>N5</t>
  </si>
  <si>
    <t>2,6-dichloropurine riboside</t>
  </si>
  <si>
    <t>N6</t>
  </si>
  <si>
    <t>adenosine</t>
  </si>
  <si>
    <t>N7</t>
  </si>
  <si>
    <t>2-amino-6-chloropurine riboside</t>
  </si>
  <si>
    <t>Anhydroses</t>
  </si>
  <si>
    <t>N8</t>
  </si>
  <si>
    <t>N9</t>
  </si>
  <si>
    <t>cytidine</t>
  </si>
  <si>
    <t>N10</t>
  </si>
  <si>
    <t>5-fluorouridine</t>
  </si>
  <si>
    <t>N11</t>
  </si>
  <si>
    <t>6-chloropurine riboside</t>
  </si>
  <si>
    <t>N12</t>
  </si>
  <si>
    <t>N13</t>
  </si>
  <si>
    <t>guanosine</t>
  </si>
  <si>
    <t>N14</t>
  </si>
  <si>
    <t>N15</t>
  </si>
  <si>
    <t>N16</t>
  </si>
  <si>
    <t>N17</t>
  </si>
  <si>
    <t>2-chloroadenosine</t>
  </si>
  <si>
    <t>Barai 2002</t>
  </si>
  <si>
    <t>N18</t>
  </si>
  <si>
    <t>2'-deoxy-5-fluorouridine</t>
  </si>
  <si>
    <t>N19</t>
  </si>
  <si>
    <t>2'-deoxy-5-ethyluridine</t>
  </si>
  <si>
    <t>N20</t>
  </si>
  <si>
    <t>2'-deoxyuridine</t>
  </si>
  <si>
    <t>N21</t>
  </si>
  <si>
    <t>2-chloro-2'-deoxyadenosine</t>
  </si>
  <si>
    <t>N22</t>
  </si>
  <si>
    <t>2'-deoxyadenosine</t>
  </si>
  <si>
    <t>N23</t>
  </si>
  <si>
    <t>2'-deoxyguanosine</t>
  </si>
  <si>
    <t>N24</t>
  </si>
  <si>
    <t>Yehia 2020</t>
  </si>
  <si>
    <t>N25</t>
  </si>
  <si>
    <t>N26</t>
  </si>
  <si>
    <t>6-chloro-2-fluoropurine riboside</t>
  </si>
  <si>
    <t>N27</t>
  </si>
  <si>
    <t>6-chloro-2-fluoropurine 2-deoxyriboside</t>
  </si>
  <si>
    <t>N28</t>
  </si>
  <si>
    <t>Zhou 2015</t>
  </si>
  <si>
    <t>N29</t>
  </si>
  <si>
    <t>N30</t>
  </si>
  <si>
    <t>2'-deoxyinosine</t>
  </si>
  <si>
    <t>Zuffi 2004</t>
  </si>
  <si>
    <t>Ubiali 2004</t>
  </si>
  <si>
    <t>N31</t>
  </si>
  <si>
    <t>N32</t>
  </si>
  <si>
    <t>Fraser-Reid 2013</t>
  </si>
  <si>
    <t>N33</t>
  </si>
  <si>
    <t>N34</t>
  </si>
  <si>
    <t>N35</t>
  </si>
  <si>
    <t>N36</t>
  </si>
  <si>
    <t>N37</t>
  </si>
  <si>
    <t>N38</t>
  </si>
  <si>
    <t>Liao 2008</t>
  </si>
  <si>
    <t>N39</t>
  </si>
  <si>
    <t>N40</t>
  </si>
  <si>
    <t>N41</t>
  </si>
  <si>
    <t>N42</t>
  </si>
  <si>
    <t>Liao 2009</t>
  </si>
  <si>
    <t>N43</t>
  </si>
  <si>
    <t>Trifluoro-acet-imidates</t>
  </si>
  <si>
    <t>N44</t>
  </si>
  <si>
    <t>Rao 2015</t>
  </si>
  <si>
    <t>N45</t>
  </si>
  <si>
    <t>N46</t>
  </si>
  <si>
    <t>N47</t>
  </si>
  <si>
    <t>Propar-gyl-Ortho-esters</t>
  </si>
  <si>
    <t>N48</t>
  </si>
  <si>
    <t>Liu 2015</t>
  </si>
  <si>
    <t>N49</t>
  </si>
  <si>
    <t>S16</t>
  </si>
  <si>
    <t>p-tolyl-2,3,5-tri-O-benzoyl-1-thio-D-ribose</t>
  </si>
  <si>
    <t>N50</t>
  </si>
  <si>
    <t>N51</t>
  </si>
  <si>
    <t>N52</t>
  </si>
  <si>
    <t>S17</t>
  </si>
  <si>
    <t>4-N-2’,3’,5’-Tri-O-tetraacetylcytidine</t>
  </si>
  <si>
    <t>Nowak 2005</t>
  </si>
  <si>
    <t>N53</t>
  </si>
  <si>
    <t>Lewis Acid TG</t>
  </si>
  <si>
    <t>Azuma 1977</t>
  </si>
  <si>
    <t>Miyaki 1970</t>
  </si>
  <si>
    <t>S18</t>
  </si>
  <si>
    <t>3’-5’-O-(tetraisopropyldisiloxan-1,3-diyl)-inosine</t>
  </si>
  <si>
    <t>Kawase 1989</t>
  </si>
  <si>
    <t>S19</t>
  </si>
  <si>
    <t>2'-O-acetyl-3’-5’-O-(tetraisopropyldisiloxan-1,3-diyl)-inosine</t>
  </si>
  <si>
    <t>Boryski 1998</t>
  </si>
  <si>
    <t>N54</t>
  </si>
  <si>
    <t>N55</t>
  </si>
  <si>
    <t>6-methylpurine riboside</t>
  </si>
  <si>
    <t>S20</t>
  </si>
  <si>
    <t>2,3,5-tri-O-acetyl-D-ribofuranosyl ortho-hexynylbenzoate</t>
  </si>
  <si>
    <t>Zhang 2011</t>
  </si>
  <si>
    <t>N56</t>
  </si>
  <si>
    <t>N57</t>
  </si>
  <si>
    <t>S21</t>
  </si>
  <si>
    <t>2,3,5-tri-O-benzoyl-D-ribofuranosyl ortho-hexynylbenzoate</t>
  </si>
  <si>
    <t>N58</t>
  </si>
  <si>
    <t>o-hex-ynylbenzoates</t>
  </si>
  <si>
    <t>Thio-glyco-sides</t>
  </si>
  <si>
    <t>S22</t>
  </si>
  <si>
    <r>
      <t>1-Chloro-2-deoxy-3,5-di-</t>
    </r>
    <r>
      <rPr>
        <i/>
        <sz val="11"/>
        <color theme="1"/>
        <rFont val="Calibri"/>
        <family val="2"/>
        <scheme val="minor"/>
      </rPr>
      <t>O-p</t>
    </r>
    <r>
      <rPr>
        <sz val="11"/>
        <color theme="1"/>
        <rFont val="Calibri"/>
        <family val="2"/>
        <scheme val="minor"/>
      </rPr>
      <t>-toluoyl-ribose</t>
    </r>
  </si>
  <si>
    <t>Rolland 1997</t>
  </si>
  <si>
    <t>N59</t>
  </si>
  <si>
    <t>N60</t>
  </si>
  <si>
    <t>6-(trifluoromethyl)purine 2-deoxyriboside</t>
  </si>
  <si>
    <t>Glcosylation Yield [%]</t>
  </si>
  <si>
    <t>Halogenoses</t>
  </si>
  <si>
    <t>Hockova 1999</t>
  </si>
  <si>
    <t>N61</t>
  </si>
  <si>
    <t>2-thiothymidine</t>
  </si>
  <si>
    <t>Ackermann 2013</t>
  </si>
  <si>
    <t>N62</t>
  </si>
  <si>
    <t>thymidine</t>
  </si>
  <si>
    <t>Freskos 1989</t>
  </si>
  <si>
    <t>N63</t>
  </si>
  <si>
    <t>N64</t>
  </si>
  <si>
    <t>2,6-dichloropurine 2-deoxyriboside</t>
  </si>
  <si>
    <t>Kazimierczuk 1984</t>
  </si>
  <si>
    <t>N65</t>
  </si>
  <si>
    <t>6-chloropurine 2-deoxyriboside</t>
  </si>
  <si>
    <t>N66</t>
  </si>
  <si>
    <t>Glycosyl acetates</t>
  </si>
  <si>
    <t>Moreau 2013</t>
  </si>
  <si>
    <t>N67</t>
  </si>
  <si>
    <t>1-O-acetyl-2,3,5-tri-O-benzoyl-D-ribose</t>
  </si>
  <si>
    <t>N68</t>
  </si>
  <si>
    <t>Parmenopoulou 2012</t>
  </si>
  <si>
    <t>Kim 2001</t>
  </si>
  <si>
    <t>N69</t>
  </si>
  <si>
    <t>Shirouzou 2014</t>
  </si>
  <si>
    <t>N70</t>
  </si>
  <si>
    <t>5-iodouridine</t>
  </si>
  <si>
    <t>Sugar Synthon</t>
  </si>
  <si>
    <t>Total Steps</t>
  </si>
  <si>
    <t>Chromato-graphy Steps</t>
  </si>
  <si>
    <t>Time [h]</t>
  </si>
  <si>
    <t>Total Reaction Solvent [mL/g]</t>
  </si>
  <si>
    <t>N71</t>
  </si>
  <si>
    <t>N72</t>
  </si>
  <si>
    <t>5-ethyluridine</t>
  </si>
  <si>
    <t>Niedballa 1970</t>
  </si>
  <si>
    <t>Glycosyl Phosphates</t>
  </si>
  <si>
    <r>
      <rPr>
        <b/>
        <i/>
        <sz val="16"/>
        <color theme="1"/>
        <rFont val="Calibri"/>
        <family val="2"/>
        <scheme val="minor"/>
      </rPr>
      <t>n-</t>
    </r>
    <r>
      <rPr>
        <b/>
        <sz val="16"/>
        <color theme="1"/>
        <rFont val="Calibri"/>
        <family val="2"/>
        <scheme val="minor"/>
      </rPr>
      <t>Pentenyl-Orthoesters</t>
    </r>
  </si>
  <si>
    <t>Total Yield [%]</t>
  </si>
  <si>
    <t>Total Time [h]</t>
  </si>
  <si>
    <t>S23</t>
  </si>
  <si>
    <t>3,5-Dimethyl-4-(2’-iodophenyl)phenyl 2,3,5-tri-O-acetyl-β-D-ribofuranoside</t>
  </si>
  <si>
    <t>Hu 2019</t>
  </si>
  <si>
    <t>S24</t>
  </si>
  <si>
    <t>3,5-Dimethyl-4-(2’-iodophenyl)phenyl 2,3,5-tri-O-benzoyl-β-D-ribofuranoside</t>
  </si>
  <si>
    <t>S25</t>
  </si>
  <si>
    <t>3,5-Dimethyl-4-(2’-phenylethylphenyl)phenyl 2,3,5-tri-O-benzoyl-β-D-ribofuranoside</t>
  </si>
  <si>
    <t>N73</t>
  </si>
  <si>
    <t>N74</t>
  </si>
  <si>
    <t>N75</t>
  </si>
  <si>
    <t>EPP Glyco-sides</t>
  </si>
  <si>
    <t>S26</t>
  </si>
  <si>
    <t>2,3,5-Tri-O-benzoyl-D-ribofuranosyl 2-(1-phenylvinyl) benzoate</t>
  </si>
  <si>
    <t>Li 2020</t>
  </si>
  <si>
    <t>N76</t>
  </si>
  <si>
    <t>o-(1-Phenylviyl)benzoates</t>
  </si>
  <si>
    <t>N77</t>
  </si>
  <si>
    <t>N78</t>
  </si>
  <si>
    <t>N79</t>
  </si>
  <si>
    <t>N80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</si>
</sst>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F19A-19DC-4CDA-B823-982D1D706492}">
  <dimension ref="A1:R133"/>
  <sheetViews>
    <sheetView topLeftCell="C1" zoomScaleNormal="100" workbookViewId="0">
      <selection activeCell="S1" sqref="S1:S1048576"/>
    </sheetView>
  </sheetViews>
  <sheetFormatPr baseColWidth="10" defaultRowHeight="15" x14ac:dyDescent="0.25"/>
  <cols>
    <col min="2" max="2" width="37.7109375" bestFit="1" customWidth="1"/>
    <col min="4" max="4" width="10.85546875" customWidth="1"/>
    <col min="5" max="5" width="16.7109375" customWidth="1"/>
    <col min="8" max="9" width="11" bestFit="1" customWidth="1"/>
    <col min="10" max="11" width="11.42578125" bestFit="1" customWidth="1"/>
    <col min="13" max="13" width="12" customWidth="1"/>
    <col min="14" max="14" width="9" customWidth="1"/>
    <col min="15" max="15" width="8.28515625" customWidth="1"/>
    <col min="16" max="16" width="12.85546875" customWidth="1"/>
    <col min="17" max="17" width="8.85546875" customWidth="1"/>
    <col min="18" max="18" width="18.85546875" bestFit="1" customWidth="1"/>
  </cols>
  <sheetData>
    <row r="1" spans="1:18" ht="23.25" x14ac:dyDescent="0.35">
      <c r="A1" s="13" t="s">
        <v>52</v>
      </c>
    </row>
    <row r="2" spans="1:18" x14ac:dyDescent="0.25">
      <c r="A2" s="31" t="s">
        <v>1</v>
      </c>
      <c r="B2" s="35" t="s">
        <v>2</v>
      </c>
      <c r="C2" s="31" t="s">
        <v>204</v>
      </c>
      <c r="D2" s="34" t="s">
        <v>213</v>
      </c>
      <c r="E2" s="34" t="s">
        <v>205</v>
      </c>
      <c r="F2" s="31" t="s">
        <v>4</v>
      </c>
      <c r="G2" s="31" t="s">
        <v>5</v>
      </c>
      <c r="H2" s="31" t="s">
        <v>12</v>
      </c>
      <c r="I2" s="31"/>
      <c r="J2" s="31"/>
      <c r="K2" s="31"/>
      <c r="L2" s="36" t="s">
        <v>53</v>
      </c>
      <c r="M2" s="32" t="s">
        <v>174</v>
      </c>
      <c r="N2" s="32" t="s">
        <v>212</v>
      </c>
      <c r="O2" s="32" t="s">
        <v>202</v>
      </c>
      <c r="P2" s="32" t="s">
        <v>203</v>
      </c>
      <c r="Q2" s="32" t="s">
        <v>201</v>
      </c>
      <c r="R2" s="35" t="s">
        <v>6</v>
      </c>
    </row>
    <row r="3" spans="1:18" x14ac:dyDescent="0.25">
      <c r="A3" s="31"/>
      <c r="B3" s="35"/>
      <c r="C3" s="31"/>
      <c r="D3" s="34"/>
      <c r="E3" s="34"/>
      <c r="F3" s="31"/>
      <c r="G3" s="31"/>
      <c r="H3" s="9" t="s">
        <v>8</v>
      </c>
      <c r="I3" s="10" t="s">
        <v>10</v>
      </c>
      <c r="J3" s="11" t="s">
        <v>11</v>
      </c>
      <c r="K3" s="12" t="s">
        <v>9</v>
      </c>
      <c r="L3" s="36"/>
      <c r="M3" s="32"/>
      <c r="N3" s="32"/>
      <c r="O3" s="32"/>
      <c r="P3" s="32"/>
      <c r="Q3" s="32"/>
      <c r="R3" s="35"/>
    </row>
    <row r="4" spans="1:18" x14ac:dyDescent="0.25">
      <c r="A4" s="2" t="s">
        <v>54</v>
      </c>
      <c r="B4" t="s">
        <v>55</v>
      </c>
      <c r="C4" s="2">
        <v>17.25</v>
      </c>
      <c r="D4" s="2">
        <f>30.25+C4</f>
        <v>47.5</v>
      </c>
      <c r="E4" s="1">
        <f>(10/0.101)+0.845*8.62</f>
        <v>106.293800990099</v>
      </c>
      <c r="F4" s="1">
        <f>(0.126+0.153+0.433+0.424+0.845+0.845*2.6-0.101)/0.101</f>
        <v>40.366336633663366</v>
      </c>
      <c r="G4" s="4">
        <f>(0.126+0.153+0.433+0.424+0.845+0.845*2158+0.04+39.62+7.9+81.257+22.8+97.763+1153.11+1.02+1.04-0.101)/0.101</f>
        <v>31979.603960396034</v>
      </c>
      <c r="H4" s="5">
        <f>(0.126+0.153+0.433+0.424+0.845+0.845*4)/0.101</f>
        <v>53.079207920792072</v>
      </c>
      <c r="I4" s="6">
        <f>(0.845*89+0.04+39.62)/0.101</f>
        <v>1137.2772277227723</v>
      </c>
      <c r="J4" s="7">
        <f>(0.845*1963+7.9+81.257+22.8+97.763+1153.11)/0.101</f>
        <v>29916.485148514847</v>
      </c>
      <c r="K4" s="8">
        <f>(0.845*104+1.02+1.04)/0.101</f>
        <v>890.49504950495043</v>
      </c>
      <c r="L4" s="33" t="s">
        <v>68</v>
      </c>
      <c r="M4" s="2">
        <v>39</v>
      </c>
      <c r="N4" s="4">
        <f>100*0.62*0.39</f>
        <v>24.18</v>
      </c>
      <c r="O4" s="23">
        <v>2</v>
      </c>
      <c r="P4" s="23">
        <f>1+1</f>
        <v>2</v>
      </c>
      <c r="Q4" s="23" t="s">
        <v>17</v>
      </c>
      <c r="R4" t="s">
        <v>19</v>
      </c>
    </row>
    <row r="5" spans="1:18" x14ac:dyDescent="0.25">
      <c r="A5" s="2" t="s">
        <v>56</v>
      </c>
      <c r="B5" t="s">
        <v>57</v>
      </c>
      <c r="C5" s="2">
        <v>17.25</v>
      </c>
      <c r="D5" s="2">
        <f t="shared" ref="D5:D10" si="0">C5+30.25</f>
        <v>47.5</v>
      </c>
      <c r="E5" s="1">
        <f>(10/0.09)+0.845*8.62</f>
        <v>118.39501111111112</v>
      </c>
      <c r="F5" s="1">
        <f>(0.191+0.153+0.433+0.424+0.845+0.845*2.6-0.09)/0.09</f>
        <v>46.144444444444453</v>
      </c>
      <c r="G5" s="4">
        <f>(0.191+0.153+0.433+0.424+0.845+0.845*2158+0.04+39.62+7.9+81.257+22.8+97.763+1153.11+1.02+1.04-0.09)/0.09</f>
        <v>35889.066666666666</v>
      </c>
      <c r="H5" s="5">
        <f>(0.191+0.153+0.433+0.424+0.845+0.845*4)/0.09</f>
        <v>60.288888888888891</v>
      </c>
      <c r="I5" s="6">
        <f>(0.845*89+0.04+39.62)/0.09</f>
        <v>1276.2777777777778</v>
      </c>
      <c r="J5" s="7">
        <f>(0.845*1963+7.9+81.257+22.8+97.763+1153.11)/0.09</f>
        <v>33572.944444444438</v>
      </c>
      <c r="K5" s="8">
        <f>(0.845*104+1.02+1.04)/0.09</f>
        <v>999.33333333333337</v>
      </c>
      <c r="L5" s="33"/>
      <c r="M5" s="2">
        <v>28</v>
      </c>
      <c r="N5" s="4">
        <f>100*0.62*0.28</f>
        <v>17.360000000000003</v>
      </c>
      <c r="O5" s="23">
        <v>2</v>
      </c>
      <c r="P5" s="23">
        <f t="shared" ref="P5:P10" si="1">1+1</f>
        <v>2</v>
      </c>
      <c r="Q5" s="23" t="s">
        <v>17</v>
      </c>
      <c r="R5" t="s">
        <v>19</v>
      </c>
    </row>
    <row r="6" spans="1:18" x14ac:dyDescent="0.25">
      <c r="A6" s="2" t="s">
        <v>58</v>
      </c>
      <c r="B6" t="s">
        <v>59</v>
      </c>
      <c r="C6" s="2">
        <v>17.25</v>
      </c>
      <c r="D6" s="2">
        <f t="shared" si="0"/>
        <v>47.5</v>
      </c>
      <c r="E6" s="1">
        <f>(10/0.097)+0.845*8.62</f>
        <v>110.37668350515465</v>
      </c>
      <c r="F6" s="1">
        <f>(0.191+0.153+0.433+0.424+0.845+0.845*2.6-0.097)/0.097</f>
        <v>42.742268041237111</v>
      </c>
      <c r="G6" s="4">
        <f>(0.181+0.153+0.433+0.424+0.845+0.845*2158+0.04+39.62+7.9+81.257+22.8+97.763+1153.11+1.02+1.04-0.097)/0.097</f>
        <v>33298.958762886592</v>
      </c>
      <c r="H6" s="5">
        <f>(0.181+0.153+0.433+0.424+0.845+0.845*4)/0.097</f>
        <v>55.835051546391746</v>
      </c>
      <c r="I6" s="6">
        <f>(0.845*89+0.04+39.62)/0.097</f>
        <v>1184.1752577319587</v>
      </c>
      <c r="J6" s="7">
        <f>(0.845*1963+7.9+81.257+22.8+97.763+1153.11)/0.097</f>
        <v>31150.154639175253</v>
      </c>
      <c r="K6" s="8">
        <f>(0.845*104+1.02+1.04)/0.097</f>
        <v>927.21649484536078</v>
      </c>
      <c r="L6" s="33"/>
      <c r="M6" s="2">
        <v>31</v>
      </c>
      <c r="N6" s="4">
        <f>100*0.62*0.31</f>
        <v>19.22</v>
      </c>
      <c r="O6" s="23">
        <v>2</v>
      </c>
      <c r="P6" s="23">
        <f t="shared" si="1"/>
        <v>2</v>
      </c>
      <c r="Q6" s="23" t="s">
        <v>17</v>
      </c>
      <c r="R6" t="s">
        <v>19</v>
      </c>
    </row>
    <row r="7" spans="1:18" x14ac:dyDescent="0.25">
      <c r="A7" s="2" t="s">
        <v>60</v>
      </c>
      <c r="B7" t="s">
        <v>61</v>
      </c>
      <c r="C7" s="2">
        <v>17.25</v>
      </c>
      <c r="D7" s="2">
        <f t="shared" si="0"/>
        <v>47.5</v>
      </c>
      <c r="E7" s="1">
        <f>(10/0.076)+0.845*8.62</f>
        <v>138.86284736842106</v>
      </c>
      <c r="F7" s="1">
        <f>(0.11+0.153+0.433+0.424+0.845+0.845*2.6-0.076)/0.076</f>
        <v>53.76315789473685</v>
      </c>
      <c r="G7" s="4">
        <f>(0.11+0.153+0.433+0.424+0.845+0.845*2158+0.04+39.62+7.9+81.257+22.8+97.763+1153.11+1.02+1.04-0.076)/0.076</f>
        <v>42499.32894736842</v>
      </c>
      <c r="H7" s="5">
        <f>(0.11+0.153+0.433+0.424+0.845+0.845*4)/0.076</f>
        <v>70.328947368421055</v>
      </c>
      <c r="I7" s="6">
        <f>(0.845*89+0.04+39.62)/0.076</f>
        <v>1511.3815789473686</v>
      </c>
      <c r="J7" s="7">
        <f>(0.845*1963+7.9+81.257+22.8+97.763+1153.11)/0.076</f>
        <v>39757.434210526313</v>
      </c>
      <c r="K7" s="8">
        <f>(0.845*104+1.02+1.04)/0.076</f>
        <v>1183.421052631579</v>
      </c>
      <c r="L7" s="33"/>
      <c r="M7" s="2">
        <v>31</v>
      </c>
      <c r="N7" s="4">
        <f>100*0.62*0.31</f>
        <v>19.22</v>
      </c>
      <c r="O7" s="23">
        <v>2</v>
      </c>
      <c r="P7" s="23">
        <f t="shared" si="1"/>
        <v>2</v>
      </c>
      <c r="Q7" s="23" t="s">
        <v>17</v>
      </c>
      <c r="R7" t="s">
        <v>19</v>
      </c>
    </row>
    <row r="8" spans="1:18" x14ac:dyDescent="0.25">
      <c r="A8" s="2" t="s">
        <v>62</v>
      </c>
      <c r="B8" t="s">
        <v>63</v>
      </c>
      <c r="C8" s="2">
        <v>36.5</v>
      </c>
      <c r="D8" s="2">
        <f t="shared" si="0"/>
        <v>66.75</v>
      </c>
      <c r="E8" s="1">
        <f>(11/0.094)+0.444*8.62</f>
        <v>120.84855659574468</v>
      </c>
      <c r="F8" s="1">
        <f>(0.197+0.16+0.455+0.448+0.444+0.444*2.6-0.094)/0.094</f>
        <v>29.408510638297873</v>
      </c>
      <c r="G8" s="4">
        <f>(0.197+0.16+0.455+0.448+0.444+0.444*2158+0.04+25+8.69+81.257+22.8+12.343+814.834+22.12+1.02+1.04+28-0.094)/0.094</f>
        <v>21030.91489361702</v>
      </c>
      <c r="H8" s="5">
        <f>(0.197+0.16+0.455+0.448+0.444+0.444*4)/0.094</f>
        <v>37.021276595744681</v>
      </c>
      <c r="I8" s="6">
        <f>(0.444*89+0.04+25)/0.094</f>
        <v>686.76595744680844</v>
      </c>
      <c r="J8" s="7">
        <f>(0.444*1963+7.9+81.257+22.8+12.343+814.834+22.12)/0.094</f>
        <v>19498.148936170212</v>
      </c>
      <c r="K8" s="8">
        <f>(0.444*104+1.02+1.04+28)/0.076</f>
        <v>1003.1052631578948</v>
      </c>
      <c r="L8" s="33"/>
      <c r="M8" s="2">
        <v>28</v>
      </c>
      <c r="N8" s="4">
        <f>100*0.62*0.28</f>
        <v>17.360000000000003</v>
      </c>
      <c r="O8" s="23">
        <v>2</v>
      </c>
      <c r="P8" s="23">
        <f t="shared" si="1"/>
        <v>2</v>
      </c>
      <c r="Q8" s="23" t="s">
        <v>17</v>
      </c>
      <c r="R8" t="s">
        <v>19</v>
      </c>
    </row>
    <row r="9" spans="1:18" x14ac:dyDescent="0.25">
      <c r="A9" s="2" t="s">
        <v>64</v>
      </c>
      <c r="B9" t="s">
        <v>65</v>
      </c>
      <c r="C9" s="2">
        <v>19</v>
      </c>
      <c r="D9" s="2">
        <f t="shared" si="0"/>
        <v>49.25</v>
      </c>
      <c r="E9" s="1">
        <f>(7/0.063)+0.251*8.62</f>
        <v>113.27473111111111</v>
      </c>
      <c r="F9" s="1">
        <f>(0.08+0.092+0.258+0.256+0.251+0.251*2.6-0.063)/0.063</f>
        <v>24.231746031746031</v>
      </c>
      <c r="G9" s="4">
        <f>(0.08+0.092+0.258+0.256+0.251+0.251*2158+0.04+18.74+5.53+81.257+22.8+37.051+561.393+0.853+1.02+1.04-0.063)/0.063</f>
        <v>20194.539682539682</v>
      </c>
      <c r="H9" s="5">
        <f>(0.08+0.092+0.258+0.256+0.251+0.251*4)/0.063</f>
        <v>30.809523809523807</v>
      </c>
      <c r="I9" s="6">
        <f>(0.251*89+0.04+18.74)/0.063</f>
        <v>652.68253968253964</v>
      </c>
      <c r="J9" s="7">
        <f>(0.251*1963+5.52+81.257+22.8+37.051+561.393+0.853)/0.063</f>
        <v>19072.809523809523</v>
      </c>
      <c r="K9" s="8">
        <f>(0.251*104+1.02+1.04)/0.063</f>
        <v>447.04761904761904</v>
      </c>
      <c r="L9" s="33"/>
      <c r="M9" s="2">
        <v>40</v>
      </c>
      <c r="N9" s="4">
        <f>100*0.62*0.4</f>
        <v>24.8</v>
      </c>
      <c r="O9" s="23">
        <v>2</v>
      </c>
      <c r="P9" s="23">
        <f t="shared" si="1"/>
        <v>2</v>
      </c>
      <c r="Q9" s="23" t="s">
        <v>17</v>
      </c>
      <c r="R9" t="s">
        <v>19</v>
      </c>
    </row>
    <row r="10" spans="1:18" x14ac:dyDescent="0.25">
      <c r="A10" s="2" t="s">
        <v>66</v>
      </c>
      <c r="B10" t="s">
        <v>67</v>
      </c>
      <c r="C10" s="2">
        <v>89</v>
      </c>
      <c r="D10" s="2">
        <f t="shared" si="0"/>
        <v>119.25</v>
      </c>
      <c r="E10" s="1">
        <f>(7/0.152)+0.287*8.62</f>
        <v>48.526571578947369</v>
      </c>
      <c r="F10" s="1">
        <f>(0.115+0.103+0.288+0.288+0.287+0.287*2.6-0.152)/0.152</f>
        <v>11.021052631578948</v>
      </c>
      <c r="G10" s="4">
        <f>(0.115+0.103+0.288+0.288+0.287+0.287*2158+0.04+21.62+5.53+81.257+22.8+21.35+683.554+1.02+1.04+1.52-0.152)/0.152</f>
        <v>9605.3026315789466</v>
      </c>
      <c r="H10" s="5">
        <f>(0.115+0.103+0.288+0.288+0.287+0.287*4)/0.152</f>
        <v>14.664473684210527</v>
      </c>
      <c r="I10" s="6">
        <f>(0.287*89+0.04+21.62)/0.152</f>
        <v>310.54605263157896</v>
      </c>
      <c r="J10" s="7">
        <f>(0.287*1963+5.53+81.257+22.8+21.35+683.554)/0.152</f>
        <v>9064.9473684210516</v>
      </c>
      <c r="K10" s="8">
        <f>(0.287*104+1.02+1.04+1.52)/0.152</f>
        <v>219.92105263157893</v>
      </c>
      <c r="L10" s="33"/>
      <c r="M10" s="2">
        <v>74</v>
      </c>
      <c r="N10" s="4">
        <f>100*0.62*0.74</f>
        <v>45.88</v>
      </c>
      <c r="O10" s="23">
        <v>2</v>
      </c>
      <c r="P10" s="23">
        <f t="shared" si="1"/>
        <v>2</v>
      </c>
      <c r="Q10" s="23" t="s">
        <v>17</v>
      </c>
      <c r="R10" t="s">
        <v>19</v>
      </c>
    </row>
    <row r="11" spans="1:18" x14ac:dyDescent="0.25">
      <c r="A11" s="2" t="s">
        <v>69</v>
      </c>
      <c r="B11" t="s">
        <v>61</v>
      </c>
      <c r="C11" s="2">
        <v>30.16</v>
      </c>
      <c r="D11" s="2">
        <f t="shared" ref="D11:D16" si="2">C11+8.92</f>
        <v>39.08</v>
      </c>
      <c r="E11" s="1">
        <f>(24/0.17)+0.1*2.45</f>
        <v>141.42147058823528</v>
      </c>
      <c r="F11" s="1">
        <f>(0.426+0.32+0.1+0.1*1.1+0.096+0.088-0.17)/0.17</f>
        <v>5.7058823529411766</v>
      </c>
      <c r="G11" s="4">
        <f>(0.426+0.32+0.1*0.1*35+0.096+0.088+20.6+9.5+3.16+10.5+50.856+599.331+1.343-0.17)/0.17</f>
        <v>4096.4705882352946</v>
      </c>
      <c r="H11" s="5">
        <f>(0.426+0.32+0.1+0.1*2+0.096+0.088)/0.17</f>
        <v>7.2352941176470598</v>
      </c>
      <c r="I11" s="6">
        <f>(0.1*0.3+20.6)/0.17</f>
        <v>121.35294117647059</v>
      </c>
      <c r="J11" s="7">
        <f>(0.1*28+9.5+3.16+10.5+50.856+599.331+1.343)/0.17</f>
        <v>3985.2352941176468</v>
      </c>
      <c r="K11" s="8">
        <f>(0.1*28)/0.17</f>
        <v>16.47058823529412</v>
      </c>
      <c r="L11" s="33"/>
      <c r="M11" s="2">
        <v>28</v>
      </c>
      <c r="N11" s="4">
        <f>100*0.52*0.28</f>
        <v>14.560000000000002</v>
      </c>
      <c r="O11" s="23">
        <v>2</v>
      </c>
      <c r="P11" s="23">
        <f>1</f>
        <v>1</v>
      </c>
      <c r="Q11" s="23" t="s">
        <v>20</v>
      </c>
      <c r="R11" t="s">
        <v>23</v>
      </c>
    </row>
    <row r="12" spans="1:18" x14ac:dyDescent="0.25">
      <c r="A12" s="2" t="s">
        <v>70</v>
      </c>
      <c r="B12" t="s">
        <v>71</v>
      </c>
      <c r="C12" s="2">
        <v>30.16</v>
      </c>
      <c r="D12" s="2">
        <f t="shared" si="2"/>
        <v>39.08</v>
      </c>
      <c r="E12" s="1">
        <f>(24/0.221)+0.1*2.45</f>
        <v>108.84228506787331</v>
      </c>
      <c r="F12" s="1">
        <f>(0.423+0.16+0.1+0.1*1.1+0.096+0.088-0.221)/0.221</f>
        <v>3.4208144796380084</v>
      </c>
      <c r="G12" s="4">
        <f>(0.423+0.16+0.1+0.1*35+0.096+0.088+17.34+9.5+3.16+10.5+49.657+493.523+1.746-0.221)/0.221</f>
        <v>2667.7466063348415</v>
      </c>
      <c r="H12" s="5">
        <f>(0.423+0.16+0.1+0.1*2+0.096+0.088)/0.221</f>
        <v>4.8280542986425337</v>
      </c>
      <c r="I12" s="6">
        <f>(0.1*0.3+17.34)/0.221</f>
        <v>78.597285067873301</v>
      </c>
      <c r="J12" s="7">
        <f>(0.1*28+9.5+3.16+10.5+49.657+493.523+1.746)/0.221</f>
        <v>2583.1945701357463</v>
      </c>
      <c r="K12" s="8">
        <f>(0.1*28)/0.221</f>
        <v>12.669683257918553</v>
      </c>
      <c r="L12" s="33"/>
      <c r="M12" s="2">
        <v>36</v>
      </c>
      <c r="N12" s="4">
        <f>100*0.52*0.36</f>
        <v>18.72</v>
      </c>
      <c r="O12" s="23">
        <v>2</v>
      </c>
      <c r="P12" s="23">
        <f>1</f>
        <v>1</v>
      </c>
      <c r="Q12" s="23" t="s">
        <v>20</v>
      </c>
      <c r="R12" t="s">
        <v>23</v>
      </c>
    </row>
    <row r="13" spans="1:18" x14ac:dyDescent="0.25">
      <c r="A13" s="2" t="s">
        <v>72</v>
      </c>
      <c r="B13" t="s">
        <v>73</v>
      </c>
      <c r="C13" s="2">
        <v>30.16</v>
      </c>
      <c r="D13" s="2">
        <f t="shared" si="2"/>
        <v>39.08</v>
      </c>
      <c r="E13" s="1">
        <f>(24/0.21)+0.1*2.45</f>
        <v>114.5307142857143</v>
      </c>
      <c r="F13" s="1">
        <f>(0.5+0.32+0.1+0.1*1.1+0.096+0.088-0.21)/0.21</f>
        <v>4.7809523809523826</v>
      </c>
      <c r="G13" s="4">
        <f>(0.5+0.32+0.1+0.1*35+0.096+0.088+22.08+9.5+3.16+10.5+54.51+642.39+1.659-0.21)/0.21</f>
        <v>3562.8238095238089</v>
      </c>
      <c r="H13" s="5">
        <f>(0.5+0.32+0.1+0.1*2+0.096+0.088)/0.21</f>
        <v>6.2095238095238114</v>
      </c>
      <c r="I13" s="6">
        <f>(0.1*0.3+22.08)/0.21</f>
        <v>105.28571428571429</v>
      </c>
      <c r="J13" s="7">
        <f>(0.1*28+9.5+3.16+10.5+54.51+642.39+1.659)/0.21</f>
        <v>3450.0904761904762</v>
      </c>
      <c r="K13" s="8">
        <f>(0.1*28)/0.21</f>
        <v>13.333333333333336</v>
      </c>
      <c r="L13" s="33"/>
      <c r="M13" s="2">
        <v>31</v>
      </c>
      <c r="N13" s="4">
        <f>100*0.52*0.31</f>
        <v>16.12</v>
      </c>
      <c r="O13" s="23">
        <v>2</v>
      </c>
      <c r="P13" s="23">
        <f>1</f>
        <v>1</v>
      </c>
      <c r="Q13" s="23" t="s">
        <v>20</v>
      </c>
      <c r="R13" t="s">
        <v>23</v>
      </c>
    </row>
    <row r="14" spans="1:18" x14ac:dyDescent="0.25">
      <c r="A14" s="2" t="s">
        <v>74</v>
      </c>
      <c r="B14" t="s">
        <v>75</v>
      </c>
      <c r="C14" s="2">
        <v>30.16</v>
      </c>
      <c r="D14" s="2">
        <f t="shared" si="2"/>
        <v>39.08</v>
      </c>
      <c r="E14" s="1">
        <f>(24/0.408)+0.1*2.45</f>
        <v>59.068529411764708</v>
      </c>
      <c r="F14" s="1">
        <f>(0.587+0.16+0.1+0.1*1.1+0.096+0.088-0.408)/0.408</f>
        <v>1.7965686274509807</v>
      </c>
      <c r="G14" s="4">
        <f>(0.587+0.16+0.1+0.1*35+0.096+0.088+20.62+9.5+3.16+10.5+28.507+637.622+4.08-0.408)/0.408</f>
        <v>1760.0784313725489</v>
      </c>
      <c r="H14" s="5">
        <f>(0.587+0.16+0.1+0.1*2+0.096+0.088)/0.408</f>
        <v>3.0171568627450984</v>
      </c>
      <c r="I14" s="6">
        <f>(0.1*0.3+20.62)/0.408</f>
        <v>50.612745098039227</v>
      </c>
      <c r="J14" s="7">
        <f>(0.1*28+9.5+3.16+10.5+28.507+637.622)/0.408</f>
        <v>1696.2965686274511</v>
      </c>
      <c r="K14" s="8">
        <f>(0.1*28+4.08)/0.408</f>
        <v>16.86274509803922</v>
      </c>
      <c r="L14" s="33"/>
      <c r="M14" s="2">
        <v>56</v>
      </c>
      <c r="N14" s="4">
        <f>100*0.52*0.56</f>
        <v>29.120000000000005</v>
      </c>
      <c r="O14" s="23">
        <v>2</v>
      </c>
      <c r="P14" s="23">
        <f>1</f>
        <v>1</v>
      </c>
      <c r="Q14" s="23" t="s">
        <v>20</v>
      </c>
      <c r="R14" t="s">
        <v>23</v>
      </c>
    </row>
    <row r="15" spans="1:18" x14ac:dyDescent="0.25">
      <c r="A15" s="2" t="s">
        <v>76</v>
      </c>
      <c r="B15" t="s">
        <v>65</v>
      </c>
      <c r="C15" s="2">
        <v>30.16</v>
      </c>
      <c r="D15" s="2">
        <f t="shared" si="2"/>
        <v>39.08</v>
      </c>
      <c r="E15" s="1">
        <f>(24/0.22)+0.1*2.45</f>
        <v>109.3359090909091</v>
      </c>
      <c r="F15" s="1">
        <f>(0.515+0.16+0.1+0.1*1.1+0.096+0.088-0.22)/0.22</f>
        <v>3.8590909090909089</v>
      </c>
      <c r="G15" s="4">
        <f>(0.515+0.16+0.1+0.1*35+0.096+0.088+20.62+9.5+3.16+10.5+26.516+593.094+3.563-0.22)/0.22</f>
        <v>3050.8727272727274</v>
      </c>
      <c r="H15" s="5">
        <f>(0.515+0.16+0.1+0.1*2+0.096+0.088)/0.22</f>
        <v>5.2681818181818194</v>
      </c>
      <c r="I15" s="6">
        <f>(0.1*0.3+19.18)/0.22</f>
        <v>87.318181818181827</v>
      </c>
      <c r="J15" s="7">
        <f>(0.1*28+9.5+3.16+10.5+26.516+593.094+3.563)/0.22</f>
        <v>2950.6045454545456</v>
      </c>
      <c r="K15" s="8">
        <f>(0.1*28)/0.22</f>
        <v>12.727272727272728</v>
      </c>
      <c r="L15" s="33"/>
      <c r="M15" s="2">
        <v>33</v>
      </c>
      <c r="N15" s="4">
        <f>100*0.52*0.33</f>
        <v>17.16</v>
      </c>
      <c r="O15" s="23">
        <v>2</v>
      </c>
      <c r="P15" s="23">
        <f>1</f>
        <v>1</v>
      </c>
      <c r="Q15" s="23" t="s">
        <v>20</v>
      </c>
      <c r="R15" t="s">
        <v>23</v>
      </c>
    </row>
    <row r="16" spans="1:18" x14ac:dyDescent="0.25">
      <c r="A16" s="2" t="s">
        <v>77</v>
      </c>
      <c r="B16" t="s">
        <v>78</v>
      </c>
      <c r="C16" s="2">
        <v>50.66</v>
      </c>
      <c r="D16" s="2">
        <f t="shared" si="2"/>
        <v>59.58</v>
      </c>
      <c r="E16" s="1">
        <f>(24/0.106)+0.1*2.45</f>
        <v>226.66009433962265</v>
      </c>
      <c r="F16" s="1">
        <f>(0.574+0.16+0.1+0.1*1.1+0.096+0.088-0.106)/0.106</f>
        <v>9.6415094339622645</v>
      </c>
      <c r="G16" s="4">
        <f>(0.574+0.16+0.1+0.1*35+0.096+0.088+20.36+4+11+3.16+10.5+58.306+435.195+37.525+0.837+52.5-0.106)/0.106</f>
        <v>6016.933962264151</v>
      </c>
      <c r="H16" s="5">
        <f>(0.574+0.16+0.1+0.1*2+0.096+0.088)/0.106</f>
        <v>11.490566037735851</v>
      </c>
      <c r="I16" s="6">
        <f>(0.1*0.3+20.36+4)/0.106</f>
        <v>230.09433962264151</v>
      </c>
      <c r="J16" s="7">
        <f>(0.1*28+11+3.16+10.5+58.306+435.195+37.525+0.837)/0.106</f>
        <v>5276.632075471698</v>
      </c>
      <c r="K16" s="8">
        <f>(0.1*28+52.5)/0.106</f>
        <v>521.69811320754718</v>
      </c>
      <c r="L16" s="33"/>
      <c r="M16" s="2">
        <v>15</v>
      </c>
      <c r="N16" s="4">
        <f>100*0.52*0.15</f>
        <v>7.8</v>
      </c>
      <c r="O16" s="23">
        <v>2</v>
      </c>
      <c r="P16" s="23">
        <f>2</f>
        <v>2</v>
      </c>
      <c r="Q16" s="23" t="s">
        <v>20</v>
      </c>
      <c r="R16" t="s">
        <v>23</v>
      </c>
    </row>
    <row r="17" spans="1:18" x14ac:dyDescent="0.25">
      <c r="A17" s="2" t="s">
        <v>79</v>
      </c>
      <c r="B17" t="s">
        <v>55</v>
      </c>
      <c r="C17" s="2">
        <v>23.58</v>
      </c>
      <c r="D17" s="2">
        <f>C17+42.33</f>
        <v>65.91</v>
      </c>
      <c r="E17" s="1">
        <f>(80/0.058)+0.191*17.86</f>
        <v>1382.7216048275861</v>
      </c>
      <c r="F17" s="1">
        <f>(0.037+0.191+0.191*1.7+0.02+0.00016+0.00016-0.058)/0.058</f>
        <v>8.8796551724137931</v>
      </c>
      <c r="G17" s="4">
        <f>(0.037+0.191+0.191*293+0.02+0.00016+0.00016+0.63+14+19.75+33.25+1.975+63.175+7.9+119.7+15.8+106.4+79.37-0.058)/0.058</f>
        <v>8932.8158620689665</v>
      </c>
      <c r="H17" s="5">
        <f>(0.037+0.191+0.191*2.7+0.02+0.00016+0.00016)/0.058</f>
        <v>13.172758620689658</v>
      </c>
      <c r="I17" s="6">
        <f>(0.191*0+0.63+14)/0.058</f>
        <v>252.24137931034483</v>
      </c>
      <c r="J17" s="7">
        <f>(0.191*291+19.75+33.25+1.975+63.175+7.9+119.7+15.8+106.4)/0.058</f>
        <v>7302.2586206896558</v>
      </c>
      <c r="K17" s="8">
        <f>(79.37)/0.058</f>
        <v>1368.4482758620691</v>
      </c>
      <c r="L17" s="33" t="s">
        <v>210</v>
      </c>
      <c r="M17" s="2">
        <v>75</v>
      </c>
      <c r="N17" s="4">
        <f>100*0.84*0.75</f>
        <v>63</v>
      </c>
      <c r="O17" s="23">
        <f>1+1</f>
        <v>2</v>
      </c>
      <c r="P17" s="23">
        <f>1</f>
        <v>1</v>
      </c>
      <c r="Q17" s="23" t="s">
        <v>24</v>
      </c>
      <c r="R17" t="s">
        <v>29</v>
      </c>
    </row>
    <row r="18" spans="1:18" x14ac:dyDescent="0.25">
      <c r="A18" s="2" t="s">
        <v>80</v>
      </c>
      <c r="B18" t="s">
        <v>73</v>
      </c>
      <c r="C18" s="2">
        <v>23.58</v>
      </c>
      <c r="D18" s="2">
        <f>C18+42.33</f>
        <v>65.91</v>
      </c>
      <c r="E18" s="1">
        <f>(80/0.122)+0.363*17.86</f>
        <v>662.22088491803277</v>
      </c>
      <c r="F18" s="1">
        <f>(0.08+0.363+0.363*1.7+0.039+0.00016+0.00016-0.122)/0.122</f>
        <v>8.011639344262294</v>
      </c>
      <c r="G18" s="4">
        <f>(0.08+0.363+0.363*293+0.039+0.00016+0.00016+0.63+14+19.75+33.25+1.975+63.175+7.9+119.7+15.8+106.4+79.37-0.122)/0.122</f>
        <v>4661.2239344262307</v>
      </c>
      <c r="H18" s="5">
        <f>(0.08+0.363+0.363*2.7+0.039+0.00016+0.00016)/0.122</f>
        <v>11.987049180327867</v>
      </c>
      <c r="I18" s="6">
        <f>(0.363*0+0.63+14)/0.122</f>
        <v>119.91803278688525</v>
      </c>
      <c r="J18" s="7">
        <f>(0.363*291+19.75+33.25+1.975+63.175+7.9+119.7+15.8+106.4)/0.122</f>
        <v>3881.8278688524588</v>
      </c>
      <c r="K18" s="8">
        <f>(79.37)/0.122</f>
        <v>650.57377049180332</v>
      </c>
      <c r="L18" s="33"/>
      <c r="M18" s="2">
        <v>76</v>
      </c>
      <c r="N18" s="4">
        <f>100*0.84*0.76</f>
        <v>63.84</v>
      </c>
      <c r="O18" s="23">
        <f t="shared" ref="O18:O19" si="3">1+1</f>
        <v>2</v>
      </c>
      <c r="P18" s="23">
        <f>1</f>
        <v>1</v>
      </c>
      <c r="Q18" s="23" t="s">
        <v>24</v>
      </c>
      <c r="R18" t="s">
        <v>29</v>
      </c>
    </row>
    <row r="19" spans="1:18" x14ac:dyDescent="0.25">
      <c r="A19" s="2" t="s">
        <v>81</v>
      </c>
      <c r="B19" t="s">
        <v>57</v>
      </c>
      <c r="C19" s="2">
        <v>23.58</v>
      </c>
      <c r="D19" s="2">
        <f>C19+42.33</f>
        <v>65.91</v>
      </c>
      <c r="E19" s="1">
        <f>(80/0.07)+0.166*17.86</f>
        <v>1145.8219028571427</v>
      </c>
      <c r="F19" s="1">
        <f>(0.05+0.166+0.166*1.7+0.018+0.00016+0.00016-0.07)/0.07</f>
        <v>6.378857142857143</v>
      </c>
      <c r="G19" s="4">
        <f>(0.05+0.166+0.166*293+0.018+0.00016+0.00016+0.63+14+19.75+33.25+1.975+63.175+7.9+119.7+15.8+106.4+79.37-0.07)/0.07</f>
        <v>7296.4617142857132</v>
      </c>
      <c r="H19" s="5">
        <f>(0.05+0.166+0.166*2.7+0.018+0.00016+0.00016)/0.07</f>
        <v>9.7502857142857167</v>
      </c>
      <c r="I19" s="6">
        <f>(0.166*0+0.63+14)/0.07</f>
        <v>209</v>
      </c>
      <c r="J19" s="7">
        <f>(0.166*291+19.75+33.25+1.975+63.175+7.9+119.7+15.8+106.4)/0.07</f>
        <v>5946.5142857142864</v>
      </c>
      <c r="K19" s="8">
        <f>(79.37)/0.07</f>
        <v>1133.8571428571429</v>
      </c>
      <c r="L19" s="33"/>
      <c r="M19" s="2">
        <v>84</v>
      </c>
      <c r="N19" s="4">
        <f>100*0.84*0.84</f>
        <v>70.56</v>
      </c>
      <c r="O19" s="23">
        <f t="shared" si="3"/>
        <v>2</v>
      </c>
      <c r="P19" s="23">
        <f>1</f>
        <v>1</v>
      </c>
      <c r="Q19" s="23" t="s">
        <v>24</v>
      </c>
      <c r="R19" t="s">
        <v>29</v>
      </c>
    </row>
    <row r="20" spans="1:18" x14ac:dyDescent="0.25">
      <c r="A20" s="2" t="s">
        <v>82</v>
      </c>
      <c r="B20" t="s">
        <v>83</v>
      </c>
      <c r="C20" s="2">
        <v>27.42</v>
      </c>
      <c r="D20" s="2">
        <f>C20</f>
        <v>27.42</v>
      </c>
      <c r="E20" s="1">
        <f>250/2.3</f>
        <v>108.69565217391305</v>
      </c>
      <c r="F20" s="1">
        <f>(1.7+8+0.2+0.341-2.3)/2.3</f>
        <v>3.4526086956521733</v>
      </c>
      <c r="G20" s="4">
        <f>(1.7+8+0.2+0.341+198+195.525+6254.325+18.17+249.659+80-2.3)/2.3</f>
        <v>3045.0521739130431</v>
      </c>
      <c r="H20" s="5">
        <f>(1.7+8+0.2+0.341)/2.3</f>
        <v>4.4526086956521738</v>
      </c>
      <c r="I20" s="6">
        <f>198/2.3</f>
        <v>86.08695652173914</v>
      </c>
      <c r="J20" s="7">
        <f>(195.525+6254.325+18.17)/2.3</f>
        <v>2812.1826086956521</v>
      </c>
      <c r="K20" s="8">
        <f>(249.659+80)/2.3</f>
        <v>143.33000000000001</v>
      </c>
      <c r="L20" s="33"/>
      <c r="M20" s="2">
        <v>81</v>
      </c>
      <c r="N20" s="4">
        <f>100*1*0.81</f>
        <v>81</v>
      </c>
      <c r="O20" s="23">
        <f>1</f>
        <v>1</v>
      </c>
      <c r="P20" s="23">
        <f>1</f>
        <v>1</v>
      </c>
      <c r="Q20" s="23" t="s">
        <v>26</v>
      </c>
      <c r="R20" t="s">
        <v>84</v>
      </c>
    </row>
    <row r="21" spans="1:18" x14ac:dyDescent="0.25">
      <c r="A21" s="2" t="s">
        <v>85</v>
      </c>
      <c r="B21" t="s">
        <v>86</v>
      </c>
      <c r="C21" s="2">
        <v>24.25</v>
      </c>
      <c r="D21" s="2">
        <f t="shared" ref="D21:D26" si="4">C21+23.75</f>
        <v>48</v>
      </c>
      <c r="E21" s="1">
        <f>(350/0.349)+1.074*21.74</f>
        <v>1026.2140895128941</v>
      </c>
      <c r="F21" s="1">
        <f>(0.227+1.074+1.074*7+0.119+0.00032+0.00002-0.349)/0.349</f>
        <v>24.611289398280803</v>
      </c>
      <c r="G21" s="4">
        <f>(0.227+1.074+1.074*249+0.119+0.00032+0.00002+2.758+119+35+118.5+7.9+252.7+15.8+239.4+23.7+226.1+7.9+252.7+15.8+239.4+347.242-0.349)/0.349</f>
        <v>6224.6342120343843</v>
      </c>
      <c r="H21" s="5">
        <f>(0.227+1.074+1.074*8+0.119+0.00032+0.00002)/0.349</f>
        <v>28.68865329512894</v>
      </c>
      <c r="I21" s="6">
        <f>(2.758+119+35)/0.349</f>
        <v>449.16332378223495</v>
      </c>
      <c r="J21" s="7">
        <f>(1.074*243+118.5+7.9+252.7+15.8+239.4+23.7+226.1+7.9+252.7+15.8+239.4)/0.349</f>
        <v>4758.9742120343844</v>
      </c>
      <c r="K21" s="8">
        <f>(347.242)/0.349</f>
        <v>994.96275071633249</v>
      </c>
      <c r="L21" s="33"/>
      <c r="M21" s="2">
        <v>81</v>
      </c>
      <c r="N21" s="4">
        <f>100*0.65*0.81</f>
        <v>52.650000000000006</v>
      </c>
      <c r="O21" s="23">
        <f>1+1</f>
        <v>2</v>
      </c>
      <c r="P21" s="23">
        <f>2</f>
        <v>2</v>
      </c>
      <c r="Q21" s="23" t="s">
        <v>27</v>
      </c>
      <c r="R21" t="s">
        <v>30</v>
      </c>
    </row>
    <row r="22" spans="1:18" x14ac:dyDescent="0.25">
      <c r="A22" s="2" t="s">
        <v>87</v>
      </c>
      <c r="B22" t="s">
        <v>88</v>
      </c>
      <c r="C22" s="2">
        <v>24.25</v>
      </c>
      <c r="D22" s="2">
        <f t="shared" si="4"/>
        <v>48</v>
      </c>
      <c r="E22" s="1">
        <f>(350/0.363)+1.074*21.74</f>
        <v>987.53608782369145</v>
      </c>
      <c r="F22" s="1">
        <f>(0.245+1.074+1.074*7+0.119+0.00032+0.00002-0.363)/0.363</f>
        <v>23.673112947658403</v>
      </c>
      <c r="G22" s="4">
        <f>(0.245+1.074+1.074*249+0.119+0.00032+0.00002+2.758+119+35+118.5+7.9+252.7+15.8+239.4+23.7+226.1+7.9+252.7+15.8+239.4+347.242-0.363)/0.363</f>
        <v>5984.5766942148775</v>
      </c>
      <c r="H22" s="5">
        <f>(0.245+1.074+1.074*8+0.119+0.00032+0.00002)/0.363</f>
        <v>27.631790633608819</v>
      </c>
      <c r="I22" s="6">
        <f>(2.758+119+35)/0.363</f>
        <v>431.84022038567491</v>
      </c>
      <c r="J22" s="7">
        <f>(1.074*243+118.5+7.9+252.7+15.8+239.4+23.7+226.1+7.9+252.7+15.8+239.4)/0.363</f>
        <v>4575.432506887053</v>
      </c>
      <c r="K22" s="8">
        <f>(347.242)/0.363</f>
        <v>956.58953168044081</v>
      </c>
      <c r="L22" s="33"/>
      <c r="M22" s="2">
        <v>81</v>
      </c>
      <c r="N22" s="4">
        <f>100*0.65*0.81</f>
        <v>52.650000000000006</v>
      </c>
      <c r="O22" s="23">
        <f t="shared" ref="O22:O26" si="5">1+1</f>
        <v>2</v>
      </c>
      <c r="P22" s="23">
        <f>2</f>
        <v>2</v>
      </c>
      <c r="Q22" s="23" t="s">
        <v>27</v>
      </c>
      <c r="R22" t="s">
        <v>30</v>
      </c>
    </row>
    <row r="23" spans="1:18" x14ac:dyDescent="0.25">
      <c r="A23" s="2" t="s">
        <v>89</v>
      </c>
      <c r="B23" t="s">
        <v>90</v>
      </c>
      <c r="C23" s="2">
        <v>24.25</v>
      </c>
      <c r="D23" s="2">
        <f t="shared" si="4"/>
        <v>48</v>
      </c>
      <c r="E23" s="1">
        <f>(350/0.319)+1.074*21.74</f>
        <v>1120.52744338558</v>
      </c>
      <c r="F23" s="1">
        <f>(0.196+1.074+1.074*7+0.119+0.00032+0.00002-0.319)/0.319</f>
        <v>26.922695924764884</v>
      </c>
      <c r="G23" s="4">
        <f>(0.196+1.074+1.074*249+0.119+0.00032+0.00002+2.758+119+35+118.5+7.9+252.7+15.8+239.4+23.7+226.1+7.9+252.7+15.8+239.4+347.242-0.319)/0.319</f>
        <v>6810.0198746081514</v>
      </c>
      <c r="H23" s="5">
        <f>(0.196+1.074+1.074*8+0.119+0.00032+0.00002)/0.319</f>
        <v>31.289467084639497</v>
      </c>
      <c r="I23" s="6">
        <f>(2.758+119+35)/0.319</f>
        <v>491.4043887147335</v>
      </c>
      <c r="J23" s="7">
        <f>(1.074*243+118.5+7.9+252.7+15.8+239.4+23.7+226.1+7.9+252.7+15.8+239.4)/0.319</f>
        <v>5206.5266457680254</v>
      </c>
      <c r="K23" s="8">
        <f>(347.242)/0.319</f>
        <v>1088.5329153605016</v>
      </c>
      <c r="L23" s="33"/>
      <c r="M23" s="2">
        <v>80</v>
      </c>
      <c r="N23" s="4">
        <f>100*0.65*0.8</f>
        <v>52</v>
      </c>
      <c r="O23" s="23">
        <f t="shared" si="5"/>
        <v>2</v>
      </c>
      <c r="P23" s="23">
        <f>2</f>
        <v>2</v>
      </c>
      <c r="Q23" s="23" t="s">
        <v>27</v>
      </c>
      <c r="R23" t="s">
        <v>30</v>
      </c>
    </row>
    <row r="24" spans="1:18" x14ac:dyDescent="0.25">
      <c r="A24" s="2" t="s">
        <v>91</v>
      </c>
      <c r="B24" t="s">
        <v>92</v>
      </c>
      <c r="C24" s="2">
        <v>147.75</v>
      </c>
      <c r="D24" s="2">
        <f t="shared" si="4"/>
        <v>171.5</v>
      </c>
      <c r="E24" s="1">
        <f>(150/0.025)+0.076*21.74</f>
        <v>6001.6522400000003</v>
      </c>
      <c r="F24" s="1">
        <f>(0.021+0.076+0.076*7+0.008+0.00032-0.025)/0.025</f>
        <v>24.492799999999999</v>
      </c>
      <c r="G24" s="4">
        <f>(0.021+0.076+0.076*249+0.008+0.00032+1.182+4.55+23.7+3.95+126.35+7.9+119.7+148.818-0.025)/0.025</f>
        <v>18206.172800000004</v>
      </c>
      <c r="H24" s="5">
        <f>(0.021+0.076+0.076*8+0.008+0.00032)/0.025</f>
        <v>28.532799999999998</v>
      </c>
      <c r="I24" s="6">
        <f>(1.182+4.55)/0.025</f>
        <v>229.27999999999997</v>
      </c>
      <c r="J24" s="7">
        <f>(0.076*243+23.7+3.95+126.35+7.9+119.7)/0.025</f>
        <v>12002.72</v>
      </c>
      <c r="K24" s="8">
        <f>148.818/0.025</f>
        <v>5952.72</v>
      </c>
      <c r="L24" s="33"/>
      <c r="M24" s="2">
        <v>70</v>
      </c>
      <c r="N24" s="4">
        <f>100*0.65*0.7</f>
        <v>45.5</v>
      </c>
      <c r="O24" s="23">
        <f t="shared" si="5"/>
        <v>2</v>
      </c>
      <c r="P24" s="23">
        <f>2</f>
        <v>2</v>
      </c>
      <c r="Q24" s="23" t="s">
        <v>27</v>
      </c>
      <c r="R24" t="s">
        <v>30</v>
      </c>
    </row>
    <row r="25" spans="1:18" x14ac:dyDescent="0.25">
      <c r="A25" s="2" t="s">
        <v>93</v>
      </c>
      <c r="B25" t="s">
        <v>94</v>
      </c>
      <c r="C25" s="2">
        <v>24.25</v>
      </c>
      <c r="D25" s="2">
        <f t="shared" si="4"/>
        <v>48</v>
      </c>
      <c r="E25" s="1">
        <f>(350/0.407)+1.074*21.74</f>
        <v>883.29961995086001</v>
      </c>
      <c r="F25" s="1">
        <f>(0.236+1.074+1.074*7+0.119+0.00032-0.407)/0.407</f>
        <v>20.983587223587229</v>
      </c>
      <c r="G25" s="4">
        <f>(0.236+1.074+1.074*249+0.119+0.00032+2.758+119+35+118.5+7.9+252.7+15.8+239.4+23.7+226.1+7.9+252.7+15.8+239.4+347.242-0.407)/0.407</f>
        <v>5337.4651597051597</v>
      </c>
      <c r="H25" s="5">
        <f>(0.236+1.074+1.074*8+0.119+0.00032)/0.407</f>
        <v>24.622407862407865</v>
      </c>
      <c r="I25" s="6">
        <f>(2.758+119+35)/0.407</f>
        <v>385.15479115479116</v>
      </c>
      <c r="J25" s="7">
        <f>(1.074*243+118.5+7.9+252.7+15.8+239.4+23.7+226.1+7.9+252.7+15.8+239.4)/0.407</f>
        <v>4080.7911547911553</v>
      </c>
      <c r="K25" s="8">
        <f>(347.242)/0.407</f>
        <v>853.17444717444732</v>
      </c>
      <c r="L25" s="33"/>
      <c r="M25" s="2">
        <v>93</v>
      </c>
      <c r="N25" s="4">
        <f>100*0.65*0.93</f>
        <v>60.45</v>
      </c>
      <c r="O25" s="23">
        <f t="shared" si="5"/>
        <v>2</v>
      </c>
      <c r="P25" s="23">
        <f>2</f>
        <v>2</v>
      </c>
      <c r="Q25" s="23" t="s">
        <v>27</v>
      </c>
      <c r="R25" t="s">
        <v>30</v>
      </c>
    </row>
    <row r="26" spans="1:18" x14ac:dyDescent="0.25">
      <c r="A26" s="2" t="s">
        <v>95</v>
      </c>
      <c r="B26" t="s">
        <v>96</v>
      </c>
      <c r="C26" s="2">
        <v>24.25</v>
      </c>
      <c r="D26" s="2">
        <f t="shared" si="4"/>
        <v>48</v>
      </c>
      <c r="E26" s="1">
        <f>(350/0.419)+1.074*21.74</f>
        <v>858.67095570405729</v>
      </c>
      <c r="F26" s="1">
        <f>(0.238+1.074+1.074*7+0.119+0.00032-0.419)/0.419</f>
        <v>20.35875894988067</v>
      </c>
      <c r="G26" s="4">
        <f>(0.238+1.074+1.074*249+0.119+0.00032+2.758+119+35+118.5+7.9+252.7+15.8+239.4+23.7+226.1+7.9+252.7+15.8+239.4+347.242-0.419)/0.419</f>
        <v>5184.5783293556096</v>
      </c>
      <c r="H26" s="5">
        <f>(0.238+1.074+1.074*8+0.119+0.00032)/0.419</f>
        <v>23.922004773269691</v>
      </c>
      <c r="I26" s="6">
        <f>(2.758+119+35)/0.419</f>
        <v>374.12410501193312</v>
      </c>
      <c r="J26" s="7">
        <f>(1.074*243+118.5+7.9+252.7+15.8+239.4+23.7+226.1+7.9+252.7+15.8+239.4)/0.419</f>
        <v>3963.9188544152748</v>
      </c>
      <c r="K26" s="8">
        <f>(347.242)/0.419</f>
        <v>828.73985680190935</v>
      </c>
      <c r="L26" s="33"/>
      <c r="M26" s="2">
        <v>95</v>
      </c>
      <c r="N26" s="4">
        <f>100*0.65*0.95</f>
        <v>61.75</v>
      </c>
      <c r="O26" s="23">
        <f t="shared" si="5"/>
        <v>2</v>
      </c>
      <c r="P26" s="23">
        <f>2</f>
        <v>2</v>
      </c>
      <c r="Q26" s="23" t="s">
        <v>27</v>
      </c>
      <c r="R26" t="s">
        <v>30</v>
      </c>
    </row>
    <row r="27" spans="1:18" x14ac:dyDescent="0.25">
      <c r="A27" s="2" t="s">
        <v>97</v>
      </c>
      <c r="B27" t="s">
        <v>63</v>
      </c>
      <c r="C27" s="2">
        <v>26.5</v>
      </c>
      <c r="D27" s="2">
        <f>C27</f>
        <v>26.5</v>
      </c>
      <c r="E27" s="1">
        <f>50/0.034</f>
        <v>1470.5882352941176</v>
      </c>
      <c r="F27" s="1">
        <f>(0.047+0.269+0.004+0.005+0.005-0.034)/0.034</f>
        <v>8.7058823529411775</v>
      </c>
      <c r="G27" s="4">
        <f>(0.047+0.269+0.004+0.005+0.005+16.294+50+144.375-0.034)/0.034</f>
        <v>6204.8529411764703</v>
      </c>
      <c r="H27" s="5">
        <f>(0.047+0.269+0.004+0.005+0.005)/0.034</f>
        <v>9.7058823529411757</v>
      </c>
      <c r="I27" s="6" t="s">
        <v>26</v>
      </c>
      <c r="J27" s="7">
        <f>(16.294)/0.034</f>
        <v>479.23529411764702</v>
      </c>
      <c r="K27" s="8">
        <f>(50+144.375)/0.034</f>
        <v>5716.911764705882</v>
      </c>
      <c r="L27" s="33"/>
      <c r="M27" s="2">
        <v>49</v>
      </c>
      <c r="N27" s="4">
        <f>100*1*0.49</f>
        <v>49</v>
      </c>
      <c r="O27" s="23">
        <f>1</f>
        <v>1</v>
      </c>
      <c r="P27" s="23">
        <f>1</f>
        <v>1</v>
      </c>
      <c r="Q27" s="23" t="s">
        <v>26</v>
      </c>
      <c r="R27" t="s">
        <v>98</v>
      </c>
    </row>
    <row r="28" spans="1:18" x14ac:dyDescent="0.25">
      <c r="A28" s="2" t="s">
        <v>99</v>
      </c>
      <c r="B28" t="s">
        <v>185</v>
      </c>
      <c r="C28" s="2">
        <v>26.5</v>
      </c>
      <c r="D28" s="2">
        <f t="shared" ref="D28:D34" si="6">C28</f>
        <v>26.5</v>
      </c>
      <c r="E28" s="1">
        <f>50/0.036</f>
        <v>1388.8888888888889</v>
      </c>
      <c r="F28" s="1">
        <f>(0.047+0.371+0.004+0.005+0.005-0.036)/0.036</f>
        <v>11.000000000000002</v>
      </c>
      <c r="G28" s="4">
        <f>(0.047+0.371+0.004+0.005+0.005+23.89+50+185.76-0.036)/0.036</f>
        <v>7223.5</v>
      </c>
      <c r="H28" s="5">
        <f>(0.047+0.371+0.004+0.005+0.005)/0.036</f>
        <v>12</v>
      </c>
      <c r="I28" s="6" t="s">
        <v>26</v>
      </c>
      <c r="J28" s="7">
        <f>(23.89)/0.034</f>
        <v>702.64705882352939</v>
      </c>
      <c r="K28" s="8">
        <f>(50+185.76)/0.034</f>
        <v>6934.1176470588225</v>
      </c>
      <c r="L28" s="33"/>
      <c r="M28" s="2">
        <v>45</v>
      </c>
      <c r="N28" s="4">
        <f>100*1*0.45</f>
        <v>45</v>
      </c>
      <c r="O28" s="23">
        <f>1</f>
        <v>1</v>
      </c>
      <c r="P28" s="23">
        <f>1</f>
        <v>1</v>
      </c>
      <c r="Q28" s="23" t="s">
        <v>26</v>
      </c>
      <c r="R28" t="s">
        <v>98</v>
      </c>
    </row>
    <row r="29" spans="1:18" x14ac:dyDescent="0.25">
      <c r="A29" s="2" t="s">
        <v>100</v>
      </c>
      <c r="B29" t="s">
        <v>101</v>
      </c>
      <c r="C29" s="2">
        <v>26.5</v>
      </c>
      <c r="D29" s="2">
        <f t="shared" si="6"/>
        <v>26.5</v>
      </c>
      <c r="E29" s="2">
        <v>1562.5</v>
      </c>
      <c r="F29" s="1">
        <f>(0.043+0.269+0.004+0.005+0.005-0.032)/0.032</f>
        <v>9.1875000000000018</v>
      </c>
      <c r="G29" s="4">
        <f>(0.043+0.269+0.004+0.005+0.005+16.096+50+142.625-0.032)/0.032</f>
        <v>6531.7187499999991</v>
      </c>
      <c r="H29" s="5">
        <f>(0.043+0.269+0.004+0.005+0.005)/0.032</f>
        <v>10.1875</v>
      </c>
      <c r="I29" s="6" t="s">
        <v>26</v>
      </c>
      <c r="J29" s="7">
        <f>(16.096)/0.032</f>
        <v>503</v>
      </c>
      <c r="K29" s="8">
        <f>(50+142.625)/0.032</f>
        <v>6019.53125</v>
      </c>
      <c r="L29" s="33"/>
      <c r="M29" s="2">
        <v>53</v>
      </c>
      <c r="N29" s="4">
        <f>100*1*0.53</f>
        <v>53</v>
      </c>
      <c r="O29" s="23">
        <f>1</f>
        <v>1</v>
      </c>
      <c r="P29" s="23">
        <f>1</f>
        <v>1</v>
      </c>
      <c r="Q29" s="23" t="s">
        <v>26</v>
      </c>
      <c r="R29" t="s">
        <v>98</v>
      </c>
    </row>
    <row r="30" spans="1:18" x14ac:dyDescent="0.25">
      <c r="A30" s="2" t="s">
        <v>102</v>
      </c>
      <c r="B30" t="s">
        <v>103</v>
      </c>
      <c r="C30" s="2">
        <v>26.5</v>
      </c>
      <c r="D30" s="2">
        <f t="shared" si="6"/>
        <v>26.5</v>
      </c>
      <c r="E30" s="2">
        <v>1562.5</v>
      </c>
      <c r="F30" s="1">
        <f>(0.043+0.327+0.004+0.005+0.005-0.032)/0.032</f>
        <v>11</v>
      </c>
      <c r="G30" s="4">
        <f>(0.043+0.327+0.004+0.005+0.005+21.235+50+165.12-0.032)/0.032</f>
        <v>7397.09375</v>
      </c>
      <c r="H30" s="5">
        <f>(0.043+0.371+0.004+0.005+0.005)/0.032</f>
        <v>13.375</v>
      </c>
      <c r="I30" s="6" t="s">
        <v>26</v>
      </c>
      <c r="J30" s="7">
        <f>(21.235)/0.034</f>
        <v>624.55882352941171</v>
      </c>
      <c r="K30" s="8">
        <f>(50+165.12)/0.032</f>
        <v>6722.5</v>
      </c>
      <c r="L30" s="33"/>
      <c r="M30" s="2">
        <v>54</v>
      </c>
      <c r="N30" s="4">
        <f>100*1*0.54</f>
        <v>54</v>
      </c>
      <c r="O30" s="23">
        <f>1</f>
        <v>1</v>
      </c>
      <c r="P30" s="23">
        <f>1</f>
        <v>1</v>
      </c>
      <c r="Q30" s="23" t="s">
        <v>26</v>
      </c>
      <c r="R30" t="s">
        <v>98</v>
      </c>
    </row>
    <row r="31" spans="1:18" x14ac:dyDescent="0.25">
      <c r="A31" s="2" t="s">
        <v>104</v>
      </c>
      <c r="B31" t="s">
        <v>101</v>
      </c>
      <c r="C31" s="2">
        <v>26</v>
      </c>
      <c r="D31" s="2">
        <f t="shared" si="6"/>
        <v>26</v>
      </c>
      <c r="E31" s="2">
        <v>217.4</v>
      </c>
      <c r="F31" s="1">
        <f>(0.216+0.61+0.008+0.015+0.014-0.23)/0.23</f>
        <v>2.7521739130434781</v>
      </c>
      <c r="G31" s="4">
        <f>(0.216+0.61+0.008+0.015+0.014+17.26+6+21.305+538.027+94.5+35.1+50-0.23)/0.23</f>
        <v>3316.630434782609</v>
      </c>
      <c r="H31" s="5">
        <f>(0.216+0.61+0.008+0.015+0.014)/0.23</f>
        <v>3.7521739130434781</v>
      </c>
      <c r="I31" s="6">
        <f>(17.26+6+21.305)/0.23</f>
        <v>193.76086956521738</v>
      </c>
      <c r="J31" s="7">
        <f>(21.305+538.027)/0.23</f>
        <v>2431.8782608695651</v>
      </c>
      <c r="K31" s="8">
        <f>(50)/0.23</f>
        <v>217.39130434782606</v>
      </c>
      <c r="L31" s="33"/>
      <c r="M31" s="2">
        <v>60</v>
      </c>
      <c r="N31" s="4">
        <f>100*1*0.6</f>
        <v>60</v>
      </c>
      <c r="O31" s="23">
        <f>1</f>
        <v>1</v>
      </c>
      <c r="P31" s="23">
        <f>2</f>
        <v>2</v>
      </c>
      <c r="Q31" s="23" t="s">
        <v>26</v>
      </c>
      <c r="R31" t="s">
        <v>105</v>
      </c>
    </row>
    <row r="32" spans="1:18" x14ac:dyDescent="0.25">
      <c r="A32" s="2" t="s">
        <v>106</v>
      </c>
      <c r="B32" t="s">
        <v>96</v>
      </c>
      <c r="C32" s="2">
        <v>5.5</v>
      </c>
      <c r="D32" s="2">
        <f t="shared" si="6"/>
        <v>5.5</v>
      </c>
      <c r="E32" s="2">
        <v>173.3</v>
      </c>
      <c r="F32" s="1">
        <f>(6+12.1+50+3.675-5.6)/5.6</f>
        <v>11.816964285714286</v>
      </c>
      <c r="G32" s="4">
        <f>(6+12.1+50+3.675+15+50+896.325+33.847+60-5.6)/5.6</f>
        <v>200.24053571428573</v>
      </c>
      <c r="H32" s="5">
        <f>(6+12.1+50+3.675)/5.6</f>
        <v>12.816964285714285</v>
      </c>
      <c r="I32" s="6">
        <f>(15)/5.6</f>
        <v>2.6785714285714288</v>
      </c>
      <c r="J32" s="7" t="s">
        <v>26</v>
      </c>
      <c r="K32" s="8">
        <f>(50+896.325+33.847+60)/5.6</f>
        <v>185.745</v>
      </c>
      <c r="L32" s="33"/>
      <c r="M32" s="2">
        <v>50</v>
      </c>
      <c r="N32" s="4">
        <f>100*1*0.5</f>
        <v>50</v>
      </c>
      <c r="O32" s="23">
        <f>1</f>
        <v>1</v>
      </c>
      <c r="P32" s="23">
        <v>0</v>
      </c>
      <c r="Q32" s="23" t="s">
        <v>26</v>
      </c>
      <c r="R32" t="s">
        <v>109</v>
      </c>
    </row>
    <row r="33" spans="1:18" x14ac:dyDescent="0.25">
      <c r="A33" s="2" t="s">
        <v>107</v>
      </c>
      <c r="B33" t="s">
        <v>108</v>
      </c>
      <c r="C33" s="2">
        <v>44.5</v>
      </c>
      <c r="D33" s="2">
        <f t="shared" si="6"/>
        <v>44.5</v>
      </c>
      <c r="E33" s="2">
        <v>207.5</v>
      </c>
      <c r="F33" s="1">
        <f>(0.17+0.57+0.068+0.1-0.241)/0.241</f>
        <v>2.7676348547717846</v>
      </c>
      <c r="G33" s="4">
        <f>(0.17+0.57+0.068+0.1+0.068+37.715+49.933+293.285-0.241)/0.241</f>
        <v>1583.6846473029048</v>
      </c>
      <c r="H33" s="5">
        <f>(0.17+0.57+0.068+0.1)/0.241</f>
        <v>3.7676348547717846</v>
      </c>
      <c r="I33" s="6">
        <f>(0.066)/0.241</f>
        <v>0.27385892116182575</v>
      </c>
      <c r="J33" s="7">
        <f>(37.715)/0.241</f>
        <v>156.49377593360998</v>
      </c>
      <c r="K33" s="8">
        <f>(49.933+293.285)/0.241</f>
        <v>1424.1410788381745</v>
      </c>
      <c r="L33" s="33"/>
      <c r="M33" s="2">
        <v>76</v>
      </c>
      <c r="N33" s="4">
        <f>100*1*0.76</f>
        <v>76</v>
      </c>
      <c r="O33" s="23">
        <f>1</f>
        <v>1</v>
      </c>
      <c r="P33" s="23">
        <f>1</f>
        <v>1</v>
      </c>
      <c r="Q33" s="23" t="s">
        <v>26</v>
      </c>
      <c r="R33" t="s">
        <v>110</v>
      </c>
    </row>
    <row r="34" spans="1:18" x14ac:dyDescent="0.25">
      <c r="A34" s="2" t="s">
        <v>111</v>
      </c>
      <c r="B34" t="s">
        <v>96</v>
      </c>
      <c r="C34" s="2">
        <v>44.5</v>
      </c>
      <c r="D34" s="2">
        <f t="shared" si="6"/>
        <v>44.5</v>
      </c>
      <c r="E34" s="2">
        <v>207.5</v>
      </c>
      <c r="F34" s="1">
        <f>(0.189+0.57+0.068+0.1-0.307)/0.307</f>
        <v>2.0195439739413676</v>
      </c>
      <c r="G34" s="4">
        <f>(0.189+0.57+0.068+0.1+0.066+49.933-0.307)/0.307</f>
        <v>164.8827361563518</v>
      </c>
      <c r="H34" s="5">
        <f>(0.189+0.57+0.068+0.1)/0.307</f>
        <v>3.0195439739413681</v>
      </c>
      <c r="I34" s="6">
        <f>(0.066)/0.241</f>
        <v>0.27385892116182575</v>
      </c>
      <c r="J34" s="7" t="s">
        <v>26</v>
      </c>
      <c r="K34" s="8">
        <f>(49.933)/0.307</f>
        <v>162.64820846905539</v>
      </c>
      <c r="L34" s="33"/>
      <c r="M34" s="2">
        <v>92</v>
      </c>
      <c r="N34" s="4">
        <f>100*1*0.92</f>
        <v>92</v>
      </c>
      <c r="O34" s="23">
        <f>1</f>
        <v>1</v>
      </c>
      <c r="P34" s="23">
        <v>0</v>
      </c>
      <c r="Q34" s="23" t="s">
        <v>26</v>
      </c>
      <c r="R34" t="s">
        <v>110</v>
      </c>
    </row>
    <row r="35" spans="1:18" x14ac:dyDescent="0.25">
      <c r="A35" s="2" t="s">
        <v>112</v>
      </c>
      <c r="B35" t="s">
        <v>61</v>
      </c>
      <c r="C35" s="2">
        <v>33.5</v>
      </c>
      <c r="D35" s="2">
        <f t="shared" ref="D35:D40" si="7">C35+46.59</f>
        <v>80.09</v>
      </c>
      <c r="E35" s="1">
        <f>(15.71/0.2)+0.53*149.22</f>
        <v>157.63659999999999</v>
      </c>
      <c r="F35" s="1">
        <f>(0.134+1.162+0.027+0.53+0.53*4.9+0.248+0.186+0.248-0.2)/0.2</f>
        <v>24.66</v>
      </c>
      <c r="G35" s="4">
        <f>(0.134+1.162+0.027+0.53+0.53*2398+0.248+0.186+0.248+0.438+49.84+2.37+1.58+39.9+328.944+672.84+3.626+4.835+15.8+25.406+5.813+4.682+235.84-0.2)/0.2</f>
        <v>13325.945000000003</v>
      </c>
      <c r="H35" s="5">
        <f>(0.134+1.162+0.027+0.53+0.53*7+0.248+0.186+0.248)/0.2</f>
        <v>31.224999999999998</v>
      </c>
      <c r="I35" s="6">
        <f>(0.53*126+0.438+49.84)/0.2</f>
        <v>585.29</v>
      </c>
      <c r="J35" s="7">
        <f>(0.53*1965+2.37+1.58+39.9+328.944+672.84+3.626+4.835+15.8+25.406)/0.2</f>
        <v>10683.755000000001</v>
      </c>
      <c r="K35" s="8">
        <f>(0.53*301+5.813+4.682+235.84)/0.2</f>
        <v>2029.325</v>
      </c>
      <c r="L35" s="30" t="s">
        <v>211</v>
      </c>
      <c r="M35" s="2">
        <v>92</v>
      </c>
      <c r="N35" s="4">
        <f>100*0.52*0.92*0.89</f>
        <v>42.577600000000004</v>
      </c>
      <c r="O35" s="23">
        <v>7</v>
      </c>
      <c r="P35" s="23">
        <f>2+1+1</f>
        <v>4</v>
      </c>
      <c r="Q35" s="23" t="s">
        <v>34</v>
      </c>
      <c r="R35" t="s">
        <v>113</v>
      </c>
    </row>
    <row r="36" spans="1:18" x14ac:dyDescent="0.25">
      <c r="A36" s="2" t="s">
        <v>114</v>
      </c>
      <c r="B36" t="s">
        <v>55</v>
      </c>
      <c r="C36" s="2">
        <v>33.5</v>
      </c>
      <c r="D36" s="2">
        <f t="shared" si="7"/>
        <v>80.09</v>
      </c>
      <c r="E36" s="1">
        <f>(10.62/0.111)+0.265*149.22</f>
        <v>135.21897567567567</v>
      </c>
      <c r="F36" s="1">
        <f>(0.076+0.581+0.013+0.265+0.265*4.9+0.124+0.093+0.13-0.111)/0.111</f>
        <v>22.247747747747749</v>
      </c>
      <c r="G36" s="4">
        <f>(0.076+0.581+0.013+0.265+0.265*2398+0.124+0.093+0.13+0.438+22.86+2.37+1.58+39.9+150.876+308.61+1.904+2.538+7.9+13.699+5.813+2.458+127.16-0.111)/0.111</f>
        <v>11934.657657657661</v>
      </c>
      <c r="H36" s="5">
        <f>(0.076+0.581+0.013+0.265+0.265*7+0.124+0.093+0.13)/0.111</f>
        <v>28.261261261261261</v>
      </c>
      <c r="I36" s="6">
        <f>(0.265*126+0.438+22.86)/0.111</f>
        <v>510.70270270270271</v>
      </c>
      <c r="J36" s="7">
        <f>(0.265*1965+2.37+1.58+39.9+150.876+308.61+1.904+2.538+7.9+13.699)/0.111</f>
        <v>9460.378378378382</v>
      </c>
      <c r="K36" s="8">
        <f>(0.265*301+5.813+2.458+127.16)/0.111</f>
        <v>1938.7027027027027</v>
      </c>
      <c r="L36" s="30"/>
      <c r="M36" s="2">
        <v>97</v>
      </c>
      <c r="N36" s="4">
        <f>100*0.52*0.97*0.89</f>
        <v>44.891599999999997</v>
      </c>
      <c r="O36" s="23">
        <v>7</v>
      </c>
      <c r="P36" s="23">
        <f t="shared" ref="P36:P40" si="8">2+1+1</f>
        <v>4</v>
      </c>
      <c r="Q36" s="23" t="s">
        <v>34</v>
      </c>
      <c r="R36" t="s">
        <v>113</v>
      </c>
    </row>
    <row r="37" spans="1:18" x14ac:dyDescent="0.25">
      <c r="A37" s="2" t="s">
        <v>115</v>
      </c>
      <c r="B37" t="s">
        <v>71</v>
      </c>
      <c r="C37" s="2">
        <v>53.41</v>
      </c>
      <c r="D37" s="2">
        <f t="shared" si="7"/>
        <v>100</v>
      </c>
      <c r="E37" s="1">
        <f>(12.33/0.09)+0.265*149.22</f>
        <v>176.54329999999999</v>
      </c>
      <c r="F37" s="1">
        <f>(0.067+0.295+0.581+0.013+0.265+0.265*4.9+0.124+0.119-0.09)/0.09</f>
        <v>29.69444444444445</v>
      </c>
      <c r="G37" s="4">
        <f>(0.067+0.295+0.581+0.013+0.265+0.265*2398+0.124+0.119+0.438+16.88+2.156+0.83+2.37+1.58+39.9+194.964+133.94+1.738+2.317+7.9+14.173+6.66+5.813+2.244+131.56-0.09)/0.09</f>
        <v>13358.966666666673</v>
      </c>
      <c r="H37" s="5">
        <f>(0.067+0.295+0.581+0.013+0.265+0.265*7+0.124+0.119)/0.09</f>
        <v>36.87777777777778</v>
      </c>
      <c r="I37" s="6">
        <f>(0.265*126+0.438+16.88)/0.09</f>
        <v>563.42222222222222</v>
      </c>
      <c r="J37" s="7">
        <f>(0.265*1965+2.156+0.83+2.37+1.58+39.9+194.964+133.94+1.738+2.317+7.9+14.173)/0.09</f>
        <v>10251.033333333336</v>
      </c>
      <c r="K37" s="8">
        <f>(0.265*301+6.66+5.813+2.244+131.56)/0.09</f>
        <v>2511.577777777778</v>
      </c>
      <c r="L37" s="30"/>
      <c r="M37" s="2">
        <v>82</v>
      </c>
      <c r="N37" s="4">
        <f>100*0.52*0.82*0.89</f>
        <v>37.949600000000004</v>
      </c>
      <c r="O37" s="23">
        <v>8</v>
      </c>
      <c r="P37" s="23">
        <f t="shared" si="8"/>
        <v>4</v>
      </c>
      <c r="Q37" s="23" t="s">
        <v>34</v>
      </c>
      <c r="R37" t="s">
        <v>113</v>
      </c>
    </row>
    <row r="38" spans="1:18" x14ac:dyDescent="0.25">
      <c r="A38" s="2" t="s">
        <v>116</v>
      </c>
      <c r="B38" t="s">
        <v>63</v>
      </c>
      <c r="C38" s="2">
        <v>33.5</v>
      </c>
      <c r="D38" s="2">
        <f t="shared" si="7"/>
        <v>80.09</v>
      </c>
      <c r="E38" s="1">
        <f>(9.95/0.121)+0.265*149.22</f>
        <v>121.77470495867769</v>
      </c>
      <c r="F38" s="1">
        <f>(0.113+0.581+0.013+0.265+0.265*4.9+0.124+0.093+0.114-0.121)/0.121</f>
        <v>20.500000000000004</v>
      </c>
      <c r="G38" s="4">
        <f>(0.113+0.581+0.013+0.265+0.265*2398+0.124+0.093+0.114+0.438+23.78+2.37+1.58+39.9+313.896+107.01+1.675+2.232+7.9+12.319+5.813+2.216+123.64-0.121)/0.121</f>
        <v>10590.256198347108</v>
      </c>
      <c r="H38" s="5">
        <f>(0.113+0.581+0.013+0.265+0.265*7+0.124+0.093+0.114)/0.121</f>
        <v>26.099173553719009</v>
      </c>
      <c r="I38" s="6">
        <f>(0.265*126+0.438+23.78)/0.121</f>
        <v>476.09917355371908</v>
      </c>
      <c r="J38" s="7">
        <f>(0.265*1965+2.37+1.58+39.9+313.896+107.01+1.675+2.232+7.9+12.319)/0.121</f>
        <v>8343.8595041322296</v>
      </c>
      <c r="K38" s="8">
        <f>(0.265*301+5.813+2.216+123.64)/0.121</f>
        <v>1747.3884297520663</v>
      </c>
      <c r="L38" s="30"/>
      <c r="M38" s="4">
        <v>85</v>
      </c>
      <c r="N38" s="4">
        <f>100*0.52*0.85*0.89</f>
        <v>39.337999999999994</v>
      </c>
      <c r="O38" s="23">
        <v>7</v>
      </c>
      <c r="P38" s="23">
        <f t="shared" si="8"/>
        <v>4</v>
      </c>
      <c r="Q38" s="23" t="s">
        <v>34</v>
      </c>
      <c r="R38" t="s">
        <v>113</v>
      </c>
    </row>
    <row r="39" spans="1:18" x14ac:dyDescent="0.25">
      <c r="A39" s="2" t="s">
        <v>117</v>
      </c>
      <c r="B39" t="s">
        <v>67</v>
      </c>
      <c r="C39" s="2">
        <v>33.5</v>
      </c>
      <c r="D39" s="2">
        <f t="shared" si="7"/>
        <v>80.09</v>
      </c>
      <c r="E39" s="1">
        <f>(9.09/0.094)+0.265*149.22</f>
        <v>136.24542765957449</v>
      </c>
      <c r="F39" s="1">
        <f>(0.101+0.581+0.013+0.265+0.265*4.9+0.124+0.093+0.095-0.094)/0.094</f>
        <v>26.34574468085107</v>
      </c>
      <c r="G39" s="4">
        <f>(0.101+0.581+0.013+0.265+0.265*2398+0.124+0.093+0.095+0.438+23.54+2.37+1.58+39.9+529.65+1.386+1.843+7.9+10.665+5.813+1.783+99-0.094)/0.094</f>
        <v>14494.851063829788</v>
      </c>
      <c r="H39" s="5">
        <f>(0.101+0.581+0.013+0.265+0.265*7+0.124+0.093+0.095)/0.094</f>
        <v>33.265957446808514</v>
      </c>
      <c r="I39" s="6">
        <f>(0.265*126+0.438+23.54)/0.094</f>
        <v>610.29787234042556</v>
      </c>
      <c r="J39" s="7">
        <f>(0.265*1965+2.37+1.58+39.9+529.65+1.386+1.843+7.9+10.665)/0.094</f>
        <v>11872.54255319149</v>
      </c>
      <c r="K39" s="8">
        <f>(0.265*301+5.813+1.785+99)/0.094</f>
        <v>1982.5851063829787</v>
      </c>
      <c r="L39" s="30"/>
      <c r="M39" s="4">
        <v>70</v>
      </c>
      <c r="N39" s="4">
        <f>100*0.52*0.7*0.89</f>
        <v>32.396000000000001</v>
      </c>
      <c r="O39" s="23">
        <v>7</v>
      </c>
      <c r="P39" s="23">
        <f t="shared" si="8"/>
        <v>4</v>
      </c>
      <c r="Q39" s="23" t="s">
        <v>34</v>
      </c>
      <c r="R39" t="s">
        <v>113</v>
      </c>
    </row>
    <row r="40" spans="1:18" x14ac:dyDescent="0.25">
      <c r="A40" s="2" t="s">
        <v>118</v>
      </c>
      <c r="B40" t="s">
        <v>65</v>
      </c>
      <c r="C40" s="2">
        <v>33.5</v>
      </c>
      <c r="D40" s="2">
        <f t="shared" si="7"/>
        <v>80.09</v>
      </c>
      <c r="E40" s="1">
        <f>(6.75/0.036)+0.265*149.22</f>
        <v>227.04329999999999</v>
      </c>
      <c r="F40" s="1">
        <f>(0.081+0.581+0.013+0.265+0.265*4.9+0.124+0.093+0.041-0.036)/0.036</f>
        <v>68.347222222222229</v>
      </c>
      <c r="G40" s="4">
        <f>(0.081+0.581+0.013+0.265+0.265*2398+0.124+0.093+0.041+0.438+23.14+2.37+1.58+39.9+520.65+0.792+0.593+3.95+4.361+5.813+0.762+40.48-0.036)/0.036</f>
        <v>35596.138888888898</v>
      </c>
      <c r="H40" s="5">
        <f>(0.081+0.581+0.013+0.265+0.265*7+0.124+0.093+0.041)/0.036</f>
        <v>84.805555555555557</v>
      </c>
      <c r="I40" s="6">
        <f>(0.265*126+0.438+23.14)/0.036</f>
        <v>1582.4444444444446</v>
      </c>
      <c r="J40" s="7">
        <f>(0.265*1965+2.37+1.58+39.9+520.65+0.792+0.593+3.95+4.361)/0.036</f>
        <v>30414.472222222226</v>
      </c>
      <c r="K40" s="8">
        <f>(0.265*301+5.813+0.762+40.48)/0.036</f>
        <v>3522.7777777777778</v>
      </c>
      <c r="L40" s="30"/>
      <c r="M40" s="4">
        <v>30</v>
      </c>
      <c r="N40" s="4">
        <f>100*0.52*0.3*0.89</f>
        <v>13.884</v>
      </c>
      <c r="O40" s="23">
        <v>7</v>
      </c>
      <c r="P40" s="23">
        <f t="shared" si="8"/>
        <v>4</v>
      </c>
      <c r="Q40" s="23" t="s">
        <v>34</v>
      </c>
      <c r="R40" t="s">
        <v>113</v>
      </c>
    </row>
    <row r="41" spans="1:18" x14ac:dyDescent="0.25">
      <c r="A41" s="2" t="s">
        <v>119</v>
      </c>
      <c r="B41" t="s">
        <v>61</v>
      </c>
      <c r="C41" s="2">
        <v>64.67</v>
      </c>
      <c r="D41" s="2">
        <f t="shared" ref="D41:D46" si="9">C41+168.57</f>
        <v>233.24</v>
      </c>
      <c r="E41" s="1">
        <f>(9.5/0.065)+0.19*53.68</f>
        <v>156.35304615384615</v>
      </c>
      <c r="F41" s="1">
        <f>(0.05+0.183+0.19+0.19*9.5+0.007+0.081-0.065)/0.065</f>
        <v>34.630769230769225</v>
      </c>
      <c r="G41" s="4">
        <f>(0.05+0.183+0.19+0.19*1818+0.007+0.081+8.6+1.58+2.5+2.5+0.365+56.76+116.1+1.158+1.158+3.9+8.295+1.53+77-0.065)/0.065</f>
        <v>9650.953846153845</v>
      </c>
      <c r="H41" s="5">
        <f>(0.05+0.183+0.19+0.19*13+0.007+0.081)/0.065</f>
        <v>45.861538461538466</v>
      </c>
      <c r="I41" s="6">
        <f>(0.19*83+8.6)/0.065</f>
        <v>374.92307692307685</v>
      </c>
      <c r="J41" s="7">
        <f>(0.19*1624+1.58+2.5+2.5+0.365+56.76+116.1+1.158+1.158+3.9+8.295)/0.065</f>
        <v>7736.5538461538463</v>
      </c>
      <c r="K41" s="8">
        <f>(0.19*102+1.53+77)/0.065</f>
        <v>1506.3076923076922</v>
      </c>
      <c r="L41" s="30" t="s">
        <v>127</v>
      </c>
      <c r="M41" s="2">
        <v>98</v>
      </c>
      <c r="N41" s="4">
        <f>100*0.37*0.98*0.89</f>
        <v>32.2714</v>
      </c>
      <c r="O41" s="23">
        <f>3+1+1+4</f>
        <v>9</v>
      </c>
      <c r="P41" s="23">
        <f>2+1+1+0</f>
        <v>4</v>
      </c>
      <c r="Q41" s="23" t="s">
        <v>42</v>
      </c>
      <c r="R41" t="s">
        <v>120</v>
      </c>
    </row>
    <row r="42" spans="1:18" x14ac:dyDescent="0.25">
      <c r="A42" s="2" t="s">
        <v>121</v>
      </c>
      <c r="B42" t="s">
        <v>55</v>
      </c>
      <c r="C42" s="2">
        <v>64.67</v>
      </c>
      <c r="D42" s="2">
        <f t="shared" si="9"/>
        <v>233.24</v>
      </c>
      <c r="E42" s="1">
        <f>(9/0.06)+0.19*53.68</f>
        <v>160.19919999999999</v>
      </c>
      <c r="F42" s="1">
        <f>(0.057+0.183+0.19+0.19*9.5+0.007+0.071-0.06)/0.06</f>
        <v>37.550000000000004</v>
      </c>
      <c r="G42" s="4">
        <f>(0.057+0.183+0.19+0.19*1818+0.007+0.071+8.74+1.58+2.5+2.5+0.365+57.684+117.99+1.027+1.396+3.95+7.394+1.326+68.64-0.06)/0.06</f>
        <v>10349.333333333336</v>
      </c>
      <c r="H42" s="5">
        <f>(0.057+0.183+0.19+0.19*13+0.007+0.071)/0.06</f>
        <v>49.633333333333347</v>
      </c>
      <c r="I42" s="6">
        <f>(0.19*83+8.74)/0.06</f>
        <v>408.5</v>
      </c>
      <c r="J42" s="7">
        <f>(0.19*1624+1.58+2.5+2.5+0.365+57.684+117.99+1.027+1.396+3.95+7.394)/0.06</f>
        <v>8415.7666666666664</v>
      </c>
      <c r="K42" s="8">
        <f>(0.19*102+1.326+68.64)/0.06</f>
        <v>1489.1000000000001</v>
      </c>
      <c r="L42" s="30"/>
      <c r="M42" s="2">
        <v>88</v>
      </c>
      <c r="N42" s="4">
        <f>100*0.37*0.88*0.89</f>
        <v>28.978400000000004</v>
      </c>
      <c r="O42" s="23">
        <f t="shared" ref="O42:O46" si="10">3+1+1+4</f>
        <v>9</v>
      </c>
      <c r="P42" s="23">
        <f t="shared" ref="P42:P46" si="11">2+1+1+0</f>
        <v>4</v>
      </c>
      <c r="Q42" s="23" t="s">
        <v>42</v>
      </c>
      <c r="R42" t="s">
        <v>120</v>
      </c>
    </row>
    <row r="43" spans="1:18" x14ac:dyDescent="0.25">
      <c r="A43" s="2" t="s">
        <v>122</v>
      </c>
      <c r="B43" t="s">
        <v>61</v>
      </c>
      <c r="C43" s="2">
        <v>64.67</v>
      </c>
      <c r="D43" s="2">
        <f t="shared" si="9"/>
        <v>233.24</v>
      </c>
      <c r="E43" s="1">
        <f>(9.5/0.065)+0.19*41.95</f>
        <v>154.12434615384615</v>
      </c>
      <c r="F43" s="1">
        <f>(0.05+0.183+0.19+0.19*10.1+0.007+0.081-0.065)/0.065</f>
        <v>36.384615384615387</v>
      </c>
      <c r="G43" s="4">
        <f>(0.05+0.183+0.19+0.19*2670+0.007+0.081+8.6+1.58+2.5+2.5+0.365+56.76+116.1+1.158+1.158+3.9+8.295+1.53+52.36-0.065)/0.065</f>
        <v>11762.338461538462</v>
      </c>
      <c r="H43" s="5">
        <f>(0.05+0.183+0.19+0.19*12+0.007+0.081)/0.065</f>
        <v>42.938461538461546</v>
      </c>
      <c r="I43" s="6">
        <f>(0.19*153+8.6)/0.065</f>
        <v>579.53846153846155</v>
      </c>
      <c r="J43" s="7">
        <f>(0.19*2368+1.58+2.5+2.5+0.365+56.76+116.1+1.158+1.158+3.9+8.295)/0.065</f>
        <v>9911.3230769230759</v>
      </c>
      <c r="K43" s="8">
        <f>(0.19*140+1.53+52.36)/0.065</f>
        <v>1238.3076923076924</v>
      </c>
      <c r="L43" s="30"/>
      <c r="M43" s="2">
        <v>98</v>
      </c>
      <c r="N43" s="4">
        <f>100*0.3*0.98*0.88</f>
        <v>25.872</v>
      </c>
      <c r="O43" s="23">
        <f t="shared" si="10"/>
        <v>9</v>
      </c>
      <c r="P43" s="23">
        <f t="shared" si="11"/>
        <v>4</v>
      </c>
      <c r="Q43" s="23" t="s">
        <v>36</v>
      </c>
      <c r="R43" t="s">
        <v>120</v>
      </c>
    </row>
    <row r="44" spans="1:18" x14ac:dyDescent="0.25">
      <c r="A44" s="2" t="s">
        <v>123</v>
      </c>
      <c r="B44" t="s">
        <v>55</v>
      </c>
      <c r="C44" s="2">
        <v>64.67</v>
      </c>
      <c r="D44" s="2">
        <f t="shared" si="9"/>
        <v>233.24</v>
      </c>
      <c r="E44" s="1">
        <f>(9/0.06)+0.19*41.95</f>
        <v>157.97049999999999</v>
      </c>
      <c r="F44" s="1">
        <f>(0.057+0.183+0.19+0.19*10.1+0.007+0.07-0.06)/0.06</f>
        <v>39.433333333333337</v>
      </c>
      <c r="G44" s="4">
        <f>(0.057+0.183+0.19+0.19*2670+0.007+0.07+8.6+1.58+2.5+2.5+0.365+50.292+102.87+1.027+1.396+3.95+5.072+1.326+47.08-0.06)/0.06</f>
        <v>12271.750000000005</v>
      </c>
      <c r="H44" s="5">
        <f>(0.057+0.183+0.19+0.19*12+0.007+0.07)/0.06</f>
        <v>46.45000000000001</v>
      </c>
      <c r="I44" s="6">
        <f>(0.19*153+8.74)/0.06</f>
        <v>630.16666666666674</v>
      </c>
      <c r="J44" s="7">
        <f>(0.19*2368+1.58+2.5+2.5+0.365+50.292+102.87+1.027+1.396+3.95+5.072)/0.06</f>
        <v>10357.866666666669</v>
      </c>
      <c r="K44" s="8">
        <f>(0.19*140+1.326+47.08)/0.06</f>
        <v>1250.1000000000001</v>
      </c>
      <c r="L44" s="30"/>
      <c r="M44" s="2">
        <v>88</v>
      </c>
      <c r="N44" s="4">
        <f>100*0.3*0.88*0.89</f>
        <v>23.495999999999999</v>
      </c>
      <c r="O44" s="23">
        <f t="shared" si="10"/>
        <v>9</v>
      </c>
      <c r="P44" s="23">
        <f t="shared" si="11"/>
        <v>4</v>
      </c>
      <c r="Q44" s="23" t="s">
        <v>36</v>
      </c>
      <c r="R44" t="s">
        <v>120</v>
      </c>
    </row>
    <row r="45" spans="1:18" x14ac:dyDescent="0.25">
      <c r="A45" s="2" t="s">
        <v>124</v>
      </c>
      <c r="B45" t="s">
        <v>61</v>
      </c>
      <c r="C45" s="2">
        <v>64.67</v>
      </c>
      <c r="D45" s="2">
        <f t="shared" si="9"/>
        <v>233.24</v>
      </c>
      <c r="E45" s="1">
        <f>(9/0.056)+0.19*53.68</f>
        <v>170.91348571428571</v>
      </c>
      <c r="F45" s="1">
        <f>(0.05+0.116+0.19+0.19*9.5+0.067+0.07-0.056)/0.056</f>
        <v>40.035714285714285</v>
      </c>
      <c r="G45" s="4">
        <f>(0.05+0.116+0.19+0.19*1818+0.067+0.07+8.46+1.58+2.66+2.66+0.365+55.836+114.21+1.027+1.396+3.95+8.208+1.326+66.88-0.056)/0.056</f>
        <v>10971.696428571429</v>
      </c>
      <c r="H45" s="5">
        <f>(0.05+0.116+0.19+0.19*13+0.067+0.07)/0.056</f>
        <v>52.910714285714285</v>
      </c>
      <c r="I45" s="6">
        <f>(0.19*83+8.46)/0.056</f>
        <v>432.67857142857144</v>
      </c>
      <c r="J45" s="7">
        <f>(0.19*1624+1.58+2.66+2.66+0.365+55.836+114.21+1.027+1.396+3.95+8.208)/0.056</f>
        <v>8936.6428571428587</v>
      </c>
      <c r="K45" s="8">
        <f>(0.19*102+1.326+66.88)/0.056</f>
        <v>1564.0357142857142</v>
      </c>
      <c r="L45" s="30"/>
      <c r="M45" s="2">
        <v>88</v>
      </c>
      <c r="N45" s="4">
        <f>100*0.37*0.88*0.89</f>
        <v>28.978400000000004</v>
      </c>
      <c r="O45" s="23">
        <f t="shared" si="10"/>
        <v>9</v>
      </c>
      <c r="P45" s="23">
        <f t="shared" si="11"/>
        <v>4</v>
      </c>
      <c r="Q45" s="23" t="s">
        <v>42</v>
      </c>
      <c r="R45" t="s">
        <v>125</v>
      </c>
    </row>
    <row r="46" spans="1:18" x14ac:dyDescent="0.25">
      <c r="A46" s="2" t="s">
        <v>126</v>
      </c>
      <c r="B46" t="s">
        <v>55</v>
      </c>
      <c r="C46" s="2">
        <v>64.67</v>
      </c>
      <c r="D46" s="2">
        <f t="shared" si="9"/>
        <v>233.24</v>
      </c>
      <c r="E46" s="1">
        <f>(9.5/0.067)+0.19*53.68</f>
        <v>151.9902447761194</v>
      </c>
      <c r="F46" s="1">
        <f>(0.057+0.116+0.19+0.19*9.5+0.067+0.081-0.067)/0.067</f>
        <v>33.567164179104481</v>
      </c>
      <c r="G46" s="4">
        <f>(0.057+0.116+0.19+0.19*1818+0.067+0.081+8.6+1.58+2.66+2.66+0.365+56.76+116.1+1.185+1.58+3.95+8.532+1.53+79.2-0.067)/0.067</f>
        <v>9411.4328358208968</v>
      </c>
      <c r="H46" s="5">
        <f>(0.057+0.116+0.19+0.19*13+0.067+0.081)/0.067</f>
        <v>44.492537313432841</v>
      </c>
      <c r="I46" s="6">
        <f>(0.19*83+8.6)/0.067</f>
        <v>363.73134328358202</v>
      </c>
      <c r="J46" s="7">
        <f>(0.19*1624+1.58+2.66+2.66+0.365+56.76+116.1+1.185+1.58+3.95+8.532)/0.067</f>
        <v>7521.373134328358</v>
      </c>
      <c r="K46" s="8">
        <f>(0.19*102+1.53+79.2)/0.067</f>
        <v>1494.1791044776119</v>
      </c>
      <c r="L46" s="30"/>
      <c r="M46" s="2">
        <v>98</v>
      </c>
      <c r="N46" s="4">
        <f>100*0.37*0.98*0.88</f>
        <v>31.908799999999999</v>
      </c>
      <c r="O46" s="23">
        <f t="shared" si="10"/>
        <v>9</v>
      </c>
      <c r="P46" s="23">
        <f t="shared" si="11"/>
        <v>4</v>
      </c>
      <c r="Q46" s="23" t="s">
        <v>42</v>
      </c>
      <c r="R46" t="s">
        <v>125</v>
      </c>
    </row>
    <row r="47" spans="1:18" x14ac:dyDescent="0.25">
      <c r="A47" s="2" t="s">
        <v>128</v>
      </c>
      <c r="B47" t="s">
        <v>61</v>
      </c>
      <c r="C47" s="2">
        <v>34</v>
      </c>
      <c r="D47" s="2">
        <f>C47+28</f>
        <v>62</v>
      </c>
      <c r="E47" s="1">
        <f>(22.25/0.165)+0.446*17.27</f>
        <v>142.55090484848483</v>
      </c>
      <c r="F47" s="1">
        <f>(0.1+0.689+0.446+0.446*4+0.027+0.005+0.205-0.165)/0.165</f>
        <v>18.733333333333334</v>
      </c>
      <c r="G47" s="4">
        <f>(0.1+0.689+0.446+0.446*1168+0.205+0.005+0.021+25.88+3.516+11.837+170.808+349.38+3.002+4.003+7.9+20.998+3.876+194.92-0.165)/0.165</f>
        <v>7989.9939393939403</v>
      </c>
      <c r="H47" s="5">
        <f>(0.1+0.689+0.446+0.446*5+0.027+0.005+0.205)/0.165</f>
        <v>22.436363636363634</v>
      </c>
      <c r="I47" s="6">
        <f>(0.446*59+25.88)/0.165</f>
        <v>316.32727272727271</v>
      </c>
      <c r="J47" s="7">
        <f>(0.446*1037+3.516+11.837+170.808+349.38+3.002+4.003+7.9+20.998)/0.165</f>
        <v>6266.3393939393927</v>
      </c>
      <c r="K47" s="8">
        <f>(0.446*68+3.876+194.92)/0.165</f>
        <v>1388.6303030303029</v>
      </c>
      <c r="L47" s="29" t="s">
        <v>133</v>
      </c>
      <c r="M47" s="2">
        <v>85</v>
      </c>
      <c r="N47" s="4">
        <f>100*0.55*0.85*0.89</f>
        <v>41.607500000000009</v>
      </c>
      <c r="O47" s="23">
        <f>3+4</f>
        <v>7</v>
      </c>
      <c r="P47" s="23">
        <f>2+1</f>
        <v>3</v>
      </c>
      <c r="Q47" s="23" t="s">
        <v>43</v>
      </c>
      <c r="R47" t="s">
        <v>129</v>
      </c>
    </row>
    <row r="48" spans="1:18" x14ac:dyDescent="0.25">
      <c r="A48" s="2" t="s">
        <v>130</v>
      </c>
      <c r="B48" t="s">
        <v>55</v>
      </c>
      <c r="C48" s="2">
        <v>34</v>
      </c>
      <c r="D48" s="2">
        <f>C48+28</f>
        <v>62</v>
      </c>
      <c r="E48" s="1">
        <f>(19.65/0.153)+0.396*17.27</f>
        <v>135.27029254901962</v>
      </c>
      <c r="F48" s="1">
        <f>(0.1+0.612+0.396+0.396*4+0.027+0.005+0.181-0.153)/0.153</f>
        <v>17.986928104575163</v>
      </c>
      <c r="G48" s="4">
        <f>(0.1+0.612+0.396+0.396*1168+0.027+0.005+0.181+22.8+3.121+10.507+150.48+307.8+2.647+3.529+7.9+20.856+3.417+193.6-0.153)/0.153</f>
        <v>7780.084967320262</v>
      </c>
      <c r="H48" s="5">
        <f>(0.1+0.612+0.396+0.396*5+0.027+0.005+0.181)/0.153</f>
        <v>21.575163398692812</v>
      </c>
      <c r="I48" s="6">
        <f>(0.396*59+22.8)/0.153</f>
        <v>301.72549019607845</v>
      </c>
      <c r="J48" s="7">
        <f>(0.396*1037+3.121+10.507+150.48+307.8+2.647+3.529+7.9+20.856)/0.153</f>
        <v>5996.6797385620912</v>
      </c>
      <c r="K48" s="8">
        <f>(0.396*68+3.417+193.6)/0.153</f>
        <v>1463.6928104575163</v>
      </c>
      <c r="L48" s="29"/>
      <c r="M48" s="2">
        <v>85</v>
      </c>
      <c r="N48" s="4">
        <f>100*0.55*0.85*0.89</f>
        <v>41.607500000000009</v>
      </c>
      <c r="O48" s="23">
        <f t="shared" ref="O48" si="12">3+4</f>
        <v>7</v>
      </c>
      <c r="P48" s="23">
        <f t="shared" ref="P48:P50" si="13">2+1</f>
        <v>3</v>
      </c>
      <c r="Q48" s="23" t="s">
        <v>43</v>
      </c>
      <c r="R48" t="s">
        <v>129</v>
      </c>
    </row>
    <row r="49" spans="1:18" x14ac:dyDescent="0.25">
      <c r="A49" s="2" t="s">
        <v>131</v>
      </c>
      <c r="B49" t="s">
        <v>61</v>
      </c>
      <c r="C49" s="2">
        <v>33.25</v>
      </c>
      <c r="D49" s="2">
        <f>C49+37.25</f>
        <v>70.5</v>
      </c>
      <c r="E49" s="1">
        <f>(27.18/0.179)+0.42*104.44</f>
        <v>195.70837541899442</v>
      </c>
      <c r="F49" s="1">
        <f>(0.1+0.689+0.42+0.42*6.8+0.027+0.005+0.224+0.02+0.033-0.179)/0.179</f>
        <v>23.435754189944131</v>
      </c>
      <c r="G49" s="4">
        <f>(0.1+0.689+0.42+0.42*2396+0.027+0.005+0.224+0.02+0.033+24.82+3.516+11.837+163.812+335.07+3.279+4.372+7.9+3.279+32.422+4.233+300.96-0.179)/0.179</f>
        <v>10632.173184357542</v>
      </c>
      <c r="H49" s="5">
        <f>(0.1+0.689+0.42+0.42*9+0.027+0.005+0.224+0.02+0.033)/0.179</f>
        <v>29.597765363128492</v>
      </c>
      <c r="I49" s="6">
        <f>(0.42*127+24.82)/0.179</f>
        <v>436.64804469273741</v>
      </c>
      <c r="J49" s="7">
        <f>(0.42*2116+3.516+11.837+163.812+335.07+3.279+4.372+7.9+3.279+32.422)/0.179</f>
        <v>8124.0614525139663</v>
      </c>
      <c r="K49" s="8">
        <f>(0.42*146+4.233+300.96)/0.179</f>
        <v>2047.558659217877</v>
      </c>
      <c r="L49" s="29"/>
      <c r="M49" s="2">
        <v>93</v>
      </c>
      <c r="N49" s="4">
        <f>100*0.45*0.93*0.89</f>
        <v>37.246500000000005</v>
      </c>
      <c r="O49" s="23">
        <v>8</v>
      </c>
      <c r="P49" s="23">
        <f t="shared" si="13"/>
        <v>3</v>
      </c>
      <c r="Q49" s="23" t="s">
        <v>46</v>
      </c>
      <c r="R49" t="s">
        <v>129</v>
      </c>
    </row>
    <row r="50" spans="1:18" x14ac:dyDescent="0.25">
      <c r="A50" s="2" t="s">
        <v>132</v>
      </c>
      <c r="B50" t="s">
        <v>55</v>
      </c>
      <c r="C50" s="2">
        <v>33.25</v>
      </c>
      <c r="D50" s="2">
        <f>C50+37.25</f>
        <v>70.5</v>
      </c>
      <c r="E50" s="1">
        <f>(25.85/0.172)+0.373*104.44</f>
        <v>189.24681767441862</v>
      </c>
      <c r="F50" s="1">
        <f>(0.1+0.612+0.373+0.373*6.8+0.027+0.005+0.202+0.02+0.03-0.172)/0.172</f>
        <v>21.70581395348837</v>
      </c>
      <c r="G50" s="4">
        <f>(0.1+0.612+0.373+0.373*2396+0.027+0.005+0.202+0.02+0.03+22.34+3.121+10.507+147.444+301.59+2.963+3.95+7.9+2.963+30.004+3.825+278.52-0.172)/0.172</f>
        <v>9942.0465116279065</v>
      </c>
      <c r="H50" s="5">
        <f>(0.1+0.612+0.373+0.373*9+0.027+0.005+0.202+0.02+0.03)/0.172</f>
        <v>27.476744186046513</v>
      </c>
      <c r="I50" s="6">
        <f>(0.373*127+22.34)/0.172</f>
        <v>405.29651162790702</v>
      </c>
      <c r="J50" s="7">
        <f>(0.373*2116+3.121+10.507+147.444+301.59+2.963+3.95+7.9+2.963+30.004)/0.172</f>
        <v>7556.4534883720926</v>
      </c>
      <c r="K50" s="8">
        <f>(0.373*146+3.825+278.52)/0.172</f>
        <v>1958.1569767441863</v>
      </c>
      <c r="L50" s="29"/>
      <c r="M50" s="2">
        <v>95</v>
      </c>
      <c r="N50" s="4">
        <f>100*0.45*0.95*0.89</f>
        <v>38.047499999999999</v>
      </c>
      <c r="O50" s="23">
        <v>8</v>
      </c>
      <c r="P50" s="23">
        <f t="shared" si="13"/>
        <v>3</v>
      </c>
      <c r="Q50" s="23" t="s">
        <v>46</v>
      </c>
      <c r="R50" t="s">
        <v>129</v>
      </c>
    </row>
    <row r="51" spans="1:18" x14ac:dyDescent="0.25">
      <c r="A51" s="2" t="s">
        <v>134</v>
      </c>
      <c r="B51" t="s">
        <v>61</v>
      </c>
      <c r="C51" s="2">
        <v>33.83</v>
      </c>
      <c r="D51" s="2">
        <f>C51+45.91</f>
        <v>79.739999999999995</v>
      </c>
      <c r="E51" s="1">
        <f>(3.85/0.012)+0.026*103.8</f>
        <v>323.53213333333332</v>
      </c>
      <c r="F51" s="1">
        <f>(0.023+0.047+0.001+0.026+0.026*10.3+0.091+0.023+0.015-0.012)/0.012</f>
        <v>40.15</v>
      </c>
      <c r="G51" s="4">
        <f>(0.023+0.047+0.001+0.026+0.026*2532+0.091+0.023+0.015+0.239+2.185+0.204+4.22+3.325+0.552+9.31+21.43+89.016+0.221+0.295+1.58+1.706+0.861+3.884+0.286+15.84-0.012)/0.012</f>
        <v>18433.333333333328</v>
      </c>
      <c r="H51" s="5">
        <f>(0.023+0.047+0.001+0.026+0.026*12+0.091+0.023+0.015)/0.012</f>
        <v>44.833333333333336</v>
      </c>
      <c r="I51" s="6">
        <f>(0.026*152+0.239+2.185+0.204+4.22)/0.012</f>
        <v>899.99999999999989</v>
      </c>
      <c r="J51" s="7">
        <f>(0.026*2209+3.325+0.552+9.31+21.43+89.016+0.221+0.295+1.58+1.706)/0.012</f>
        <v>15405.75</v>
      </c>
      <c r="K51" s="8">
        <f>(0.026*164+0.861+3.884+0.286+15.84)/0.012</f>
        <v>2094.583333333333</v>
      </c>
      <c r="L51" s="30" t="s">
        <v>167</v>
      </c>
      <c r="M51" s="2">
        <v>81</v>
      </c>
      <c r="N51" s="4">
        <f>100*0.34*0.81*0.89</f>
        <v>24.510600000000004</v>
      </c>
      <c r="O51" s="23">
        <v>7</v>
      </c>
      <c r="P51" s="23">
        <f>2+1+1</f>
        <v>4</v>
      </c>
      <c r="Q51" s="23" t="s">
        <v>49</v>
      </c>
      <c r="R51" t="s">
        <v>135</v>
      </c>
    </row>
    <row r="52" spans="1:18" x14ac:dyDescent="0.25">
      <c r="A52" s="2" t="s">
        <v>136</v>
      </c>
      <c r="B52" t="s">
        <v>55</v>
      </c>
      <c r="C52" s="2">
        <v>33.83</v>
      </c>
      <c r="D52" s="2">
        <f>C52+45.91</f>
        <v>79.739999999999995</v>
      </c>
      <c r="E52" s="1">
        <f>(3.85/0.013)+0.026*103.8</f>
        <v>298.85264615384619</v>
      </c>
      <c r="F52" s="1">
        <f>(0.026+0.047+0.001+0.026+0.026*10.3+0.091+0.023+0.015-0.013)/0.013</f>
        <v>37.215384615384615</v>
      </c>
      <c r="G52" s="4">
        <f>(0.026+0.047+0.001+0.026+0.026*2532+0.091+0.023+0.015+0.239+2.185+0.204+4.28+3.325+0.552+9.31+27.82+57.78+0.221+0.295+1.58+1.706+0.861+3.884+0.286+15.84-0.013)/0.013</f>
        <v>15108.923076923074</v>
      </c>
      <c r="H52" s="5">
        <f>(0.026+0.047+0.001+0.026+0.026*12+0.091+0.023+0.015)/0.013</f>
        <v>41.61538461538462</v>
      </c>
      <c r="I52" s="6">
        <f>(0.026*152+0.239+2.185+0.204+4.28)/0.013</f>
        <v>835.38461538461536</v>
      </c>
      <c r="J52" s="7">
        <f>(0.026*2209+3.325+0.552+9.31+27.82+57.78+0.221+0.295+1.58+1.706)/0.013</f>
        <v>12309.461538461539</v>
      </c>
      <c r="K52" s="8">
        <f>(0.026*164+0.861+3.884+0.286+15.84)/0.013</f>
        <v>1933.4615384615383</v>
      </c>
      <c r="L52" s="30"/>
      <c r="M52" s="2">
        <v>81</v>
      </c>
      <c r="N52" s="4">
        <f>100*0.34*0.81*0.89</f>
        <v>24.510600000000004</v>
      </c>
      <c r="O52" s="23">
        <v>7</v>
      </c>
      <c r="P52" s="23">
        <f t="shared" ref="P52" si="14">2+1+1</f>
        <v>4</v>
      </c>
      <c r="Q52" s="23" t="s">
        <v>49</v>
      </c>
      <c r="R52" t="s">
        <v>135</v>
      </c>
    </row>
    <row r="53" spans="1:18" x14ac:dyDescent="0.25">
      <c r="A53" s="2" t="s">
        <v>139</v>
      </c>
      <c r="B53" t="s">
        <v>61</v>
      </c>
      <c r="C53" s="2">
        <v>33.83</v>
      </c>
      <c r="D53" s="2">
        <f>C53+68.49</f>
        <v>102.32</v>
      </c>
      <c r="E53" s="1">
        <f>(3.89/0.013)+0.39*144.9</f>
        <v>355.74176923076925</v>
      </c>
      <c r="F53" s="1">
        <f>(0.026+0.047+0.001+0.039+0.039*9.4+0.046+0.023+0.013-0.013)/0.013</f>
        <v>42.20000000000001</v>
      </c>
      <c r="G53" s="4">
        <f>(0.023+0.047+0.001+0.039+0.039*3238+0.046+0.023+0.016+0.239+2.185+0.204+3.58+3.325+0.553+9.31+23.7+48.33+0.233+0.31+1.58+2.323+0.861+3.884+0.301+21.56-0.013)/0.013</f>
        <v>19149.384615384617</v>
      </c>
      <c r="H53" s="5">
        <f>(0.023+0.047+0.001+0.039+0.039*12+0.046+0.023+0.016)/0.013</f>
        <v>51.000000000000007</v>
      </c>
      <c r="I53" s="6">
        <f>(0.039*188+0.239+2.185+0.204+3.58)/0.013</f>
        <v>1041.5384615384617</v>
      </c>
      <c r="J53" s="7">
        <f>(0.039*2876+3.325+0.553+9.31+23.7+48.33+0.233+0.31+1.58+2.323)/0.013</f>
        <v>15525.230769230773</v>
      </c>
      <c r="K53" s="8">
        <f>(0.039*166+0.861+3.884+0.301+21.56)/0.013</f>
        <v>2544.6153846153848</v>
      </c>
      <c r="L53" s="30"/>
      <c r="M53" s="2">
        <v>85</v>
      </c>
      <c r="N53" s="4">
        <f>100*0.34*0.85*0.89</f>
        <v>25.721</v>
      </c>
      <c r="O53" s="23">
        <f t="shared" ref="O53" si="15">3+1+4</f>
        <v>8</v>
      </c>
      <c r="P53" s="23">
        <v>5</v>
      </c>
      <c r="Q53" s="23" t="s">
        <v>137</v>
      </c>
      <c r="R53" t="s">
        <v>135</v>
      </c>
    </row>
    <row r="54" spans="1:18" x14ac:dyDescent="0.25">
      <c r="A54" s="2" t="s">
        <v>140</v>
      </c>
      <c r="B54" t="s">
        <v>71</v>
      </c>
      <c r="C54" s="2">
        <v>55.75</v>
      </c>
      <c r="D54" s="2">
        <f>C54+68.49</f>
        <v>124.24</v>
      </c>
      <c r="E54" s="1">
        <f>(4.76/0.015)+0.39*144.9</f>
        <v>373.84433333333334</v>
      </c>
      <c r="F54" s="1">
        <f>(0.023+0.121+0.047+0.001+0.039+0.039*9.4+0.046+0.023+0.019-0.015)/0.015</f>
        <v>44.706666666666671</v>
      </c>
      <c r="G54" s="4">
        <f>(0.023+0.121+0.047+0.001+0.039+0.039*3238+0.046+0.023+0.019+0.239+2.185+0.204+4.02+0.744+0.286+3.325+0.553+9.31+26.13+54.27+0.273+0.363+1.58+3.081+2.296+0.861+3.884+0.352+28.6-0.015)/0.015</f>
        <v>17942.8</v>
      </c>
      <c r="H54" s="5">
        <f>(0.023+0.121+0.047+0.001+0.039+0.039*12+0.046+0.023+0.019)/0.015</f>
        <v>52.466666666666669</v>
      </c>
      <c r="I54" s="6">
        <f>(0.039*188+0.239+2.185+0.204+4.02)/0.015</f>
        <v>932.00000000000011</v>
      </c>
      <c r="J54" s="7">
        <f>(0.039*2876+0.744+0.286+3.325+0.553+9.31+26.13+54.27+0.273+0.363+1.58+3.081)/0.015</f>
        <v>14138.6</v>
      </c>
      <c r="K54" s="8">
        <f>(0.039*166+2.296+0.861+3.884+0.352+28.6)/0.015</f>
        <v>2831.1333333333332</v>
      </c>
      <c r="L54" s="30"/>
      <c r="M54" s="2">
        <v>99</v>
      </c>
      <c r="N54" s="4">
        <f>100*0.34*0.99*0.89</f>
        <v>29.957399999999996</v>
      </c>
      <c r="O54" s="23">
        <v>9</v>
      </c>
      <c r="P54" s="23">
        <v>5</v>
      </c>
      <c r="Q54" s="23" t="s">
        <v>137</v>
      </c>
      <c r="R54" t="s">
        <v>135</v>
      </c>
    </row>
    <row r="55" spans="1:18" x14ac:dyDescent="0.25">
      <c r="A55" s="2" t="s">
        <v>141</v>
      </c>
      <c r="B55" t="s">
        <v>63</v>
      </c>
      <c r="C55" s="2">
        <v>27.42</v>
      </c>
      <c r="D55" s="2">
        <f>C55+68.49</f>
        <v>95.91</v>
      </c>
      <c r="E55" s="1">
        <f>(4/0.02)+0.039*144.9</f>
        <v>205.65110000000001</v>
      </c>
      <c r="F55" s="1">
        <f>(0.039+0.039*9.4+0.046+0.023+0.039+0.019-0.02)/0.02</f>
        <v>25.630000000000003</v>
      </c>
      <c r="G55" s="4">
        <f>(0.039+0.039*3238+0.046+0.023+0.039+0.019+2.153+0.198+2.94+3.325+0.553+0.73+8.778+31.85+22.05+0.273+0.363+1.58+2.986+3.738+0.352+27.72-0.02)/0.02</f>
        <v>11800.849999999999</v>
      </c>
      <c r="H55" s="5">
        <f>(0.039+0.039*12+0.046+0.023+0.039+0.019)/0.02</f>
        <v>31.700000000000006</v>
      </c>
      <c r="I55" s="6">
        <f>(0.039*188+2.153+0.198+2.94)/0.02</f>
        <v>631.15</v>
      </c>
      <c r="J55" s="7">
        <f>(0.039*2876+3.325+0.553+0.73+8.778+31.85+22.05+0.273+0.363+1.58+2.986)/0.02</f>
        <v>9232.6</v>
      </c>
      <c r="K55" s="8">
        <f>(0.039*166+3.738+0.352+27.72)/0.02</f>
        <v>1914.1999999999998</v>
      </c>
      <c r="L55" s="30"/>
      <c r="M55" s="2">
        <v>99</v>
      </c>
      <c r="N55" s="4">
        <f>100*0.34*0.99*0.89</f>
        <v>29.957399999999996</v>
      </c>
      <c r="O55" s="23">
        <f>2+1+4</f>
        <v>7</v>
      </c>
      <c r="P55" s="23">
        <v>5</v>
      </c>
      <c r="Q55" s="23" t="s">
        <v>137</v>
      </c>
      <c r="R55" t="s">
        <v>135</v>
      </c>
    </row>
    <row r="56" spans="1:18" x14ac:dyDescent="0.25">
      <c r="A56" s="2" t="s">
        <v>145</v>
      </c>
      <c r="B56" t="s">
        <v>65</v>
      </c>
      <c r="C56" s="2">
        <v>83.17</v>
      </c>
      <c r="D56" s="2">
        <f>C56+1.67</f>
        <v>84.84</v>
      </c>
      <c r="E56" s="1">
        <f>(10.41/0.096)+0.288*12</f>
        <v>111.8935</v>
      </c>
      <c r="F56" s="2">
        <f>(0.068+0.141+0.963+0.288+0.288*3.9+0.111+0.109-0.096)/0.096</f>
        <v>28.2</v>
      </c>
      <c r="G56" s="4">
        <f>(0.068+0.141+0.963+0.288+0.288*16+0.111+0.109+0.08+4.177+0.35+10+0.828+0.801+0.613+1.58+2.125+0.625+13.3+1076.93+5.71+1.6+2.133+7.9+14.741+1+1.02+15.073+17.5+2.066+136.84-0.096)/0.096</f>
        <v>13783.166666666668</v>
      </c>
      <c r="H56" s="5">
        <f>(0.068+0.141+0.963+0.288+0.288*5+0.111+0.109)/0.096</f>
        <v>32.5</v>
      </c>
      <c r="I56" s="6">
        <f>(0.08+4.177+0.35+10)/0.096</f>
        <v>152.15625</v>
      </c>
      <c r="J56" s="7">
        <f>(0.288*12+0.828+0.801+0.613+1.58+2.125+0.625+13.3+1076.93+5.71+1.6+2.133+7.9+14.741)/0.096</f>
        <v>11795.229166666668</v>
      </c>
      <c r="K56" s="8">
        <f>(1+1.02+15.073+17.5+2.066+136.84)/0.096</f>
        <v>1807.2812500000002</v>
      </c>
      <c r="L56" s="27" t="s">
        <v>146</v>
      </c>
      <c r="M56" s="2">
        <v>81</v>
      </c>
      <c r="N56" s="4">
        <f>100*0.99*0.81*0.89</f>
        <v>71.369100000000017</v>
      </c>
      <c r="O56" s="23">
        <f>3+1</f>
        <v>4</v>
      </c>
      <c r="P56" s="23">
        <f>2</f>
        <v>2</v>
      </c>
      <c r="Q56" s="23" t="s">
        <v>142</v>
      </c>
      <c r="R56" t="s">
        <v>147</v>
      </c>
    </row>
    <row r="57" spans="1:18" x14ac:dyDescent="0.25">
      <c r="A57" s="2" t="s">
        <v>155</v>
      </c>
      <c r="B57" t="s">
        <v>65</v>
      </c>
      <c r="C57" s="2">
        <v>49.17</v>
      </c>
      <c r="D57" s="2">
        <f>C57+1.67</f>
        <v>50.84</v>
      </c>
      <c r="E57" s="1">
        <f>(78.62/0.09)+0.956*12</f>
        <v>885.02755555555564</v>
      </c>
      <c r="F57" s="1">
        <f>(0.292+0.605+0.956+0.956*3.9+0.72+0.383-0.09)/0.09</f>
        <v>73.271111111111111</v>
      </c>
      <c r="G57" s="4">
        <f>(0.292+0.605+0.956+0.956*16+0.72+0.383+0.32+5.017+0.257+20+3.551+3.435+19.169+1898.454+10.167+56.09+91.087+4+4.08+11.708+12.865+461.2-0.09)/0.09</f>
        <v>29106.244444444441</v>
      </c>
      <c r="H57" s="5">
        <f>(0.292+0.605+0.956+0.956*5+0.72+0.383)/0.09</f>
        <v>85.955555555555549</v>
      </c>
      <c r="I57" s="6">
        <f>(0.32+5.017+0.257+20)/0.09</f>
        <v>284.37777777777779</v>
      </c>
      <c r="J57" s="7">
        <f>(0.956*12+3.551+3.435+19.169+1898.454+10.167+56.09+91.087)/0.09</f>
        <v>23260.277777777777</v>
      </c>
      <c r="K57" s="8">
        <f>(4+4.08+11.708+12.865+461.2)/0.09</f>
        <v>5487.2555555555555</v>
      </c>
      <c r="L57" s="27"/>
      <c r="M57" s="2">
        <v>39</v>
      </c>
      <c r="N57" s="4">
        <f>100*0.99*0.39</f>
        <v>38.61</v>
      </c>
      <c r="O57" s="23">
        <f>3+1</f>
        <v>4</v>
      </c>
      <c r="P57" s="23">
        <v>1</v>
      </c>
      <c r="Q57" s="23" t="s">
        <v>142</v>
      </c>
      <c r="R57" t="s">
        <v>148</v>
      </c>
    </row>
    <row r="58" spans="1:18" x14ac:dyDescent="0.25">
      <c r="A58" s="2" t="s">
        <v>156</v>
      </c>
      <c r="B58" t="s">
        <v>157</v>
      </c>
      <c r="C58" s="2">
        <v>33.17</v>
      </c>
      <c r="D58" s="2">
        <f>C58+16.67</f>
        <v>49.84</v>
      </c>
      <c r="E58" s="1">
        <f>(97.84/0.356)+0.83*14.4</f>
        <v>286.78346067415731</v>
      </c>
      <c r="F58" s="1">
        <f>(0.201+0.83+0.83*0.9+0.51+0.658-0.356)/0.356</f>
        <v>7.2752808988764057</v>
      </c>
      <c r="G58" s="4">
        <f>(0.201+0.83+0.83*1133+0.51+0.658+21.2+8+27.75+6.908+0.084+683.753+12.561+23.7+4.17+29.105+887.072+52.389-0.356)/0.356</f>
        <v>7581.2500000000009</v>
      </c>
      <c r="H58" s="5">
        <f>(0.201+0.83+0.83*3+0.51+0.658)/0.356</f>
        <v>13.171348314606742</v>
      </c>
      <c r="I58" s="6">
        <f>(0.83*20+21.2+8)/0.356</f>
        <v>128.65168539325842</v>
      </c>
      <c r="J58" s="7">
        <f>(0.83*1108+27.75+6.908+0.084+683.753+12.561+23.7+4.17+29.105+887.072+52.389)/0.356</f>
        <v>7435.7640449438204</v>
      </c>
      <c r="K58" s="8">
        <f>(0.83*3)/0.356</f>
        <v>6.9943820224719095</v>
      </c>
      <c r="L58" s="27"/>
      <c r="M58" s="2">
        <v>91</v>
      </c>
      <c r="N58" s="4">
        <f>100*0.81*0.91*0.99</f>
        <v>72.97290000000001</v>
      </c>
      <c r="O58" s="23">
        <f>3+1+1</f>
        <v>5</v>
      </c>
      <c r="P58" s="23">
        <f>2+1</f>
        <v>3</v>
      </c>
      <c r="Q58" s="23" t="s">
        <v>152</v>
      </c>
      <c r="R58" t="s">
        <v>154</v>
      </c>
    </row>
    <row r="59" spans="1:18" x14ac:dyDescent="0.25">
      <c r="A59" s="2" t="s">
        <v>161</v>
      </c>
      <c r="B59" t="s">
        <v>61</v>
      </c>
      <c r="C59" s="2">
        <v>99.67</v>
      </c>
      <c r="D59" s="2">
        <f>C59+52.24</f>
        <v>151.91</v>
      </c>
      <c r="E59" s="1">
        <f>(23.7/0.401)+0.921*154.3</f>
        <v>201.21254438902744</v>
      </c>
      <c r="F59" s="1">
        <f>(0.269+0.921+0.921*9.8+2.515+0.148-0.401)/0.401</f>
        <v>31.116708229426433</v>
      </c>
      <c r="G59" s="4">
        <f>(0.269+0.921+0.921*2679+2.515+0.148+77.06+1.58+847.432+577.812+7.347+9.796+31.6+56.453+9.486+524.04-0.401)/0.401</f>
        <v>11504.780548628427</v>
      </c>
      <c r="H59" s="5">
        <f>(0.269+0.921+0.921*12+2.515+0.148)/0.401</f>
        <v>37.169576059850371</v>
      </c>
      <c r="I59" s="6">
        <f>(0.921*155+77.06)/0.401</f>
        <v>548.16708229426433</v>
      </c>
      <c r="J59" s="7">
        <f>(0.921*2374+1.58+847.432+577.812+7.347+9.796+31.6+56.453)/0.401</f>
        <v>9273.0024937655853</v>
      </c>
      <c r="K59" s="8">
        <f>(0.921*140+9.486+524.04)/0.401</f>
        <v>1652.0349127182042</v>
      </c>
      <c r="L59" s="26" t="s">
        <v>166</v>
      </c>
      <c r="M59" s="2">
        <v>89</v>
      </c>
      <c r="N59" s="4">
        <f>100*0.32*0.89*0.89</f>
        <v>25.347200000000001</v>
      </c>
      <c r="O59" s="23">
        <v>7</v>
      </c>
      <c r="P59" s="23">
        <f>2+1+1+1</f>
        <v>5</v>
      </c>
      <c r="Q59" s="23" t="s">
        <v>158</v>
      </c>
      <c r="R59" t="s">
        <v>160</v>
      </c>
    </row>
    <row r="60" spans="1:18" x14ac:dyDescent="0.25">
      <c r="A60" s="2" t="s">
        <v>162</v>
      </c>
      <c r="B60" t="s">
        <v>55</v>
      </c>
      <c r="C60" s="2">
        <v>99.67</v>
      </c>
      <c r="D60" s="2">
        <f>C60+52.24</f>
        <v>151.91</v>
      </c>
      <c r="E60" s="1">
        <f>(24.4/0.441)+0.921*154.3</f>
        <v>197.43909818594108</v>
      </c>
      <c r="F60" s="1">
        <f>(0.303+0.921+0.921*9.8+2.515+0.148-0.441)/0.441</f>
        <v>28.280725623582768</v>
      </c>
      <c r="G60" s="4">
        <f>(0.303+0.921+0.921*2679+2.515+0.148+77.74+1.58+855.274+583.317+7.584+10.112+31.6+59.534+9.792+552.64-0.441)/0.441</f>
        <v>10566.843537414967</v>
      </c>
      <c r="H60" s="5">
        <f>(0.303+0.921+0.921*12+2.515+0.148)/0.441</f>
        <v>33.875283446712018</v>
      </c>
      <c r="I60" s="6">
        <f>(0.921*155+77.74)/0.441</f>
        <v>499.98866213151928</v>
      </c>
      <c r="J60" s="7">
        <f>(0.921*2374+1.58+855.274+583.317+7.584+10.112+31.6+59.534)/0.441</f>
        <v>8470.419501133787</v>
      </c>
      <c r="K60" s="8">
        <f>(0.921*140+9.792+552.64)/0.441</f>
        <v>1567.736961451247</v>
      </c>
      <c r="L60" s="26"/>
      <c r="M60" s="2">
        <v>96</v>
      </c>
      <c r="N60" s="4">
        <f>100*0.32*0.96*0.89</f>
        <v>27.340799999999998</v>
      </c>
      <c r="O60" s="23">
        <v>7</v>
      </c>
      <c r="P60" s="23">
        <f>2+1+1+1</f>
        <v>5</v>
      </c>
      <c r="Q60" s="23" t="s">
        <v>158</v>
      </c>
      <c r="R60" t="s">
        <v>160</v>
      </c>
    </row>
    <row r="61" spans="1:18" x14ac:dyDescent="0.25">
      <c r="A61" s="2" t="s">
        <v>165</v>
      </c>
      <c r="B61" t="s">
        <v>65</v>
      </c>
      <c r="C61" s="2">
        <v>134.5</v>
      </c>
      <c r="D61" s="2">
        <f>C61+154.07</f>
        <v>288.57</v>
      </c>
      <c r="E61" s="1">
        <f>(8.4/0.034)+0.155*230.2</f>
        <v>282.73982352941175</v>
      </c>
      <c r="F61" s="1">
        <f>(0.027+0.218+0.155+0.155*9+0.018+0.039-0.034)/0.034</f>
        <v>53.470588235294109</v>
      </c>
      <c r="G61" s="4">
        <f>(0.027+0.218+0.155+0.155*1790+0.018+0.039+4.94+0.069+4.8+2.4+0.89+64.22+22.23+1.58+2.66+63.36+21.6+2.402+13.2+36+0.565+0.754+1.58+5.783+1.734+10+5+3.08+0.729+53.68-0.034)/0.034</f>
        <v>17680.264705882357</v>
      </c>
      <c r="H61" s="5">
        <f>(0.027+0.218+0.155+0.155*12+0.018+0.039)/0.034</f>
        <v>68.147058823529406</v>
      </c>
      <c r="I61" s="6">
        <f>(0.155*80+4.94+0.069+4.8+2.4)/0.034</f>
        <v>723.79411764705867</v>
      </c>
      <c r="J61" s="7">
        <f>(0.155*1600+0.89+64.22+22.23+1.58+2.66+63.36+21.6+2.402+13.2+36+0.565+0.754+1.58+5.783)/0.034</f>
        <v>14259.529411764706</v>
      </c>
      <c r="K61" s="8">
        <f>(0.155*101+1.734+10+5+3.08+0.729+53.68)/0.034</f>
        <v>2643.4705882352937</v>
      </c>
      <c r="L61" s="26"/>
      <c r="M61" s="2">
        <v>77</v>
      </c>
      <c r="N61" s="4">
        <f>100*0.4*0.77*0.89</f>
        <v>27.412000000000003</v>
      </c>
      <c r="O61" s="23">
        <v>11</v>
      </c>
      <c r="P61" s="23">
        <f>1+1+4</f>
        <v>6</v>
      </c>
      <c r="Q61" s="23" t="s">
        <v>163</v>
      </c>
      <c r="R61" t="s">
        <v>160</v>
      </c>
    </row>
    <row r="62" spans="1:18" x14ac:dyDescent="0.25">
      <c r="A62" s="2" t="s">
        <v>171</v>
      </c>
      <c r="B62" t="s">
        <v>67</v>
      </c>
      <c r="C62" s="2">
        <v>134.5</v>
      </c>
      <c r="D62" s="2">
        <f>C62+154.07</f>
        <v>288.57</v>
      </c>
      <c r="E62" s="1">
        <f>(8.58/0.043)+0.155*230.2</f>
        <v>235.21588372093026</v>
      </c>
      <c r="F62" s="1">
        <f>(0.034+0.218+0.155+0.155*9+0.018+0.043-0.043)/0.043</f>
        <v>42.325581395348841</v>
      </c>
      <c r="G62" s="4">
        <f>(0.034+0.218+0.155+0.155*1790+0.018+0.043+5.08+0.069+4.54+2.42+0.89+64.22+22.23+1.58+2.66+59.928+20.43+2.652+13.31+36.3+0.624+0.834+1.58+6.636+1.734+10+5+3.4+0.806+61.6-0.043)/0.043</f>
        <v>14102.279069767443</v>
      </c>
      <c r="H62" s="5">
        <f>(0.034+0.218+0.155+0.155*12+0.018+0.043)/0.043</f>
        <v>54.139534883720934</v>
      </c>
      <c r="I62" s="6">
        <f>(0.155*80+5.08+0.069+4.54+2.42)/0.043</f>
        <v>569.97674418604652</v>
      </c>
      <c r="J62" s="7">
        <f>(0.155*1600+0.89+64.22+22.23+1.58+2.66+59.928+20.43+2.652+13.31+36.3+0.624+0.834+1.58+6.636)/0.043</f>
        <v>11206.372093023259</v>
      </c>
      <c r="K62" s="8">
        <f>(0.155*101+1.734+10+5+3.4+0.806+61.6)/0.043</f>
        <v>2283.6046511627906</v>
      </c>
      <c r="L62" s="26"/>
      <c r="M62" s="2">
        <v>85</v>
      </c>
      <c r="N62" s="4">
        <f>100*0.4*0.85*0.89</f>
        <v>30.26</v>
      </c>
      <c r="O62" s="23">
        <v>11</v>
      </c>
      <c r="P62" s="23">
        <v>6</v>
      </c>
      <c r="Q62" s="23" t="s">
        <v>163</v>
      </c>
      <c r="R62" t="s">
        <v>160</v>
      </c>
    </row>
    <row r="63" spans="1:18" x14ac:dyDescent="0.25">
      <c r="A63" s="2" t="s">
        <v>172</v>
      </c>
      <c r="B63" t="s">
        <v>173</v>
      </c>
      <c r="C63" s="2">
        <v>31.58</v>
      </c>
      <c r="D63" s="2">
        <f t="shared" ref="D63:D68" si="16">C63+21.58</f>
        <v>53.16</v>
      </c>
      <c r="E63" s="1">
        <f>(40.9/0.146)+0.699*18</f>
        <v>292.71898630136985</v>
      </c>
      <c r="F63" s="1">
        <f>(0.3+0.061+0.699+0.699*1.8+0.007-0.146)/0.146</f>
        <v>14.926027397260276</v>
      </c>
      <c r="G63" s="4">
        <f>(0.3+0.061+0.699+0.699*234+0.007+21.2+14.14+11.85+229.664+159.003+8.374+20.477+0.103+318.15-0.146)/0.146</f>
        <v>6489.3698630136987</v>
      </c>
      <c r="H63" s="5">
        <f>(0.3+0.061+0.699+0.699*3+0.007)/0.146</f>
        <v>21.671232876712331</v>
      </c>
      <c r="I63" s="6">
        <f>(0.699*19+21.2+14.14)/0.146</f>
        <v>333.02054794520546</v>
      </c>
      <c r="J63" s="7">
        <f>(0.699*63+11.85+229.664+159.003+8.374+20.477+0.103+318.15)/0.146</f>
        <v>5422.3150684931506</v>
      </c>
      <c r="K63" s="8">
        <f>(0.699*150)/0.146</f>
        <v>718.15068493150682</v>
      </c>
      <c r="L63" s="28" t="s">
        <v>175</v>
      </c>
      <c r="M63" s="2">
        <v>81</v>
      </c>
      <c r="N63" s="4">
        <f>100*0.58*0.81*0.31</f>
        <v>14.563799999999999</v>
      </c>
      <c r="O63" s="23">
        <v>5</v>
      </c>
      <c r="P63" s="23">
        <v>2</v>
      </c>
      <c r="Q63" s="23" t="s">
        <v>168</v>
      </c>
      <c r="R63" t="s">
        <v>176</v>
      </c>
    </row>
    <row r="64" spans="1:18" x14ac:dyDescent="0.25">
      <c r="A64" s="2" t="s">
        <v>177</v>
      </c>
      <c r="B64" t="s">
        <v>178</v>
      </c>
      <c r="C64" s="2">
        <v>16.5</v>
      </c>
      <c r="D64" s="2">
        <f t="shared" si="16"/>
        <v>38.08</v>
      </c>
      <c r="E64" s="1">
        <f>(220/0.75)+2.84*18</f>
        <v>344.45333333333332</v>
      </c>
      <c r="F64" s="1">
        <f>(2.779+3.97+4.049+5.399+2.84+2.84*1.8+2.865-0.75)/0.75</f>
        <v>35.018666666666668</v>
      </c>
      <c r="G64" s="4">
        <f>(2.779+3.97+4.049+5.399+2.84+2.84*234+2.865+1.08+23.87+3+1.6+4+0.891+10+50+39+71.807+35.467+84.799+66.5+133+79+89+44.525+734.663+3005.438+31.6+53.2+48.591+86.13+38.4+20-0.75)/0.75</f>
        <v>7255.0306666666684</v>
      </c>
      <c r="H64" s="5">
        <f>(2.779+3.97+4.049+5.399+2.84+2.84*3+2.865)/0.75</f>
        <v>40.562666666666672</v>
      </c>
      <c r="I64" s="6">
        <f>(2.84*19+1.08+23.87+3+1.6+4+0.891+10+50)/0.75</f>
        <v>197.86800000000002</v>
      </c>
      <c r="J64" s="7">
        <f>(2.84*63+39+71.807+35.467+84.799+66.5+133+79+89+44.525+734.663+3005.438+31.6+53.2)/0.75</f>
        <v>6195.8920000000007</v>
      </c>
      <c r="K64" s="8">
        <f>(2.84*150+48.591+86.13+38.4+20)/0.75</f>
        <v>825.4946666666666</v>
      </c>
      <c r="L64" s="28"/>
      <c r="M64" s="2">
        <v>40</v>
      </c>
      <c r="N64" s="4">
        <f>100*0.58*0.4</f>
        <v>23.2</v>
      </c>
      <c r="O64" s="23">
        <v>6</v>
      </c>
      <c r="P64" s="23">
        <v>1</v>
      </c>
      <c r="Q64" s="23" t="s">
        <v>168</v>
      </c>
      <c r="R64" t="s">
        <v>179</v>
      </c>
    </row>
    <row r="65" spans="1:18" x14ac:dyDescent="0.25">
      <c r="A65" s="2" t="s">
        <v>180</v>
      </c>
      <c r="B65" t="s">
        <v>181</v>
      </c>
      <c r="C65" s="2">
        <v>33.33</v>
      </c>
      <c r="D65" s="2">
        <f t="shared" si="16"/>
        <v>54.91</v>
      </c>
      <c r="E65" s="1">
        <f>(105.67/0.474)+1.2*18</f>
        <v>244.53248945147681</v>
      </c>
      <c r="F65" s="1">
        <f>(0.429+1.372+1.2+1.2*1.8+0.6+0.594-0.474)/0.474</f>
        <v>12.407172995780591</v>
      </c>
      <c r="G65" s="4">
        <f>(0.429+1.372+0.6+1.2+1.2*234+0.594+14.322+25.704+1+119.2+31.6+23.7+8.69+11.587+39.5+80.296+51.678+45.696+11.22+745.36-0.474)/0.474</f>
        <v>3152.0548523206758</v>
      </c>
      <c r="H65" s="5">
        <f>(0.429+1.372+0.6+1.2+1.2*3+0.594)/0.474</f>
        <v>16.445147679324894</v>
      </c>
      <c r="I65" s="6">
        <f>(1.2*19+14.322+25.704+1)/0.474</f>
        <v>134.65400843881858</v>
      </c>
      <c r="J65" s="7">
        <f>(1.2*63+119.2+31.6+23.7+8.69+11.587+39.5+80.296)/0.474</f>
        <v>823.1497890295359</v>
      </c>
      <c r="K65" s="8">
        <f>(1.2*150+51.678+45.696+11.22+745.36)/0.474</f>
        <v>2181.3375527426165</v>
      </c>
      <c r="L65" s="28"/>
      <c r="M65" s="2">
        <v>71</v>
      </c>
      <c r="N65" s="4">
        <f>100*0.58*0.71*0.89</f>
        <v>36.650199999999991</v>
      </c>
      <c r="O65" s="23">
        <v>6</v>
      </c>
      <c r="P65" s="23">
        <v>1</v>
      </c>
      <c r="Q65" s="23" t="s">
        <v>168</v>
      </c>
      <c r="R65" t="s">
        <v>182</v>
      </c>
    </row>
    <row r="66" spans="1:18" x14ac:dyDescent="0.25">
      <c r="A66" s="2" t="s">
        <v>183</v>
      </c>
      <c r="B66" t="s">
        <v>86</v>
      </c>
      <c r="C66" s="2">
        <v>33.33</v>
      </c>
      <c r="D66" s="2">
        <f t="shared" si="16"/>
        <v>54.91</v>
      </c>
      <c r="E66" s="1">
        <f>(100.25/0.38)+1.2*18</f>
        <v>285.41578947368424</v>
      </c>
      <c r="F66" s="1">
        <f>(0.442+1.372+1.2+1.2*1.8+0.6+0.469-0.38)/0.38</f>
        <v>15.428947368421053</v>
      </c>
      <c r="G66" s="4">
        <f>(0.442+1.372+0.6+1.2+1.2*234+0.469+14.322+25.704+1+119.2+31.6+23.7+6.857+9.143+61.952+51.678+45.696+8.854+575.08-0.38)/0.38</f>
        <v>3313.9184210526314</v>
      </c>
      <c r="H66" s="5">
        <f>(0.442+1.372+0.6+1.2+1.2*3+0.469)/0.38</f>
        <v>20.218421052631577</v>
      </c>
      <c r="I66" s="6">
        <f>(1.2*19+14.322+25.704+1)/0.38</f>
        <v>167.96315789473684</v>
      </c>
      <c r="J66" s="7">
        <f>(1.2*63+119.2+31.6+23.7+6.857+9.143+61.952)/0.38</f>
        <v>863.29473684210529</v>
      </c>
      <c r="K66" s="8">
        <f>(1.2*150+51.678+45.696+8.854+575.08)/0.38</f>
        <v>2266.6</v>
      </c>
      <c r="L66" s="28"/>
      <c r="M66" s="2">
        <v>56</v>
      </c>
      <c r="N66" s="4">
        <f>100*0.58*0.56*0.89</f>
        <v>28.907199999999996</v>
      </c>
      <c r="O66" s="23">
        <v>6</v>
      </c>
      <c r="P66" s="23">
        <v>1</v>
      </c>
      <c r="Q66" s="23" t="s">
        <v>168</v>
      </c>
      <c r="R66" t="s">
        <v>182</v>
      </c>
    </row>
    <row r="67" spans="1:18" x14ac:dyDescent="0.25">
      <c r="A67" s="2" t="s">
        <v>184</v>
      </c>
      <c r="B67" t="s">
        <v>185</v>
      </c>
      <c r="C67" s="2">
        <v>45.42</v>
      </c>
      <c r="D67" s="2">
        <f t="shared" si="16"/>
        <v>67</v>
      </c>
      <c r="E67" s="1">
        <f>(69.42/0.801)+1.95*18</f>
        <v>121.76666666666665</v>
      </c>
      <c r="F67" s="1">
        <f>(0.95+0.25+1.95+1.95*1.8+0.797-0.801)/0.801</f>
        <v>8.3096129837702861</v>
      </c>
      <c r="G67" s="4">
        <f>(0.95+0.25+1.95+1.95*234+0.797+63+27.65+1233.225+122.85+12.64+11.653+15.538+47.4+113.618+15.045+1054.68-0.801)/0.801</f>
        <v>3965.9737827715358</v>
      </c>
      <c r="H67" s="5">
        <f>(0.95+0.25+1.95+1.95*3+0.797)/0.801</f>
        <v>12.230961298377029</v>
      </c>
      <c r="I67" s="6">
        <f>(1.95*19+63)/0.801</f>
        <v>124.90636704119849</v>
      </c>
      <c r="J67" s="7">
        <f>(1.95*63+27.65+1233.225+122.85+12.64+11.653+15.538+47.4+113.618)/0.801</f>
        <v>2131.6154806491882</v>
      </c>
      <c r="K67" s="8">
        <f>(1.95*150+15.045+1054.68)/0.801</f>
        <v>1700.6554307116105</v>
      </c>
      <c r="L67" s="28"/>
      <c r="M67" s="2">
        <v>59</v>
      </c>
      <c r="N67" s="4">
        <f>100*0.58*0.59*0.89</f>
        <v>30.455799999999993</v>
      </c>
      <c r="O67" s="23">
        <v>5</v>
      </c>
      <c r="P67" s="23">
        <v>2</v>
      </c>
      <c r="Q67" s="23" t="s">
        <v>168</v>
      </c>
      <c r="R67" t="s">
        <v>186</v>
      </c>
    </row>
    <row r="68" spans="1:18" x14ac:dyDescent="0.25">
      <c r="A68" s="2" t="s">
        <v>187</v>
      </c>
      <c r="B68" t="s">
        <v>188</v>
      </c>
      <c r="C68" s="2">
        <v>45.42</v>
      </c>
      <c r="D68" s="2">
        <f t="shared" si="16"/>
        <v>67</v>
      </c>
      <c r="E68" s="1">
        <f>(69.42/0.711)+2*18</f>
        <v>133.63713080168776</v>
      </c>
      <c r="F68" s="1">
        <f>(0.77+0.25+2+2*1.8+0.797-0.711)/0.711</f>
        <v>9.4317862165963433</v>
      </c>
      <c r="G68" s="4">
        <f>(0.77+0.25+2+2*234+0.797+60.4+39.5+1182.33+117.78+11.929+11.653+15.538+47.4+109.352+15.045+1015.68-0.711)/0.711</f>
        <v>4356.839662447258</v>
      </c>
      <c r="H68" s="5">
        <f>(0.77+0.25+2+2*3+0.797)/0.711</f>
        <v>13.807313642756682</v>
      </c>
      <c r="I68" s="6">
        <f>(2*19+60.4)/0.711</f>
        <v>138.39662447257385</v>
      </c>
      <c r="J68" s="7">
        <f>(2*63+39.5+1182.33+117.78+11.929+11.653+15.538+47.4+109.352)/0.711</f>
        <v>2336.8241912798881</v>
      </c>
      <c r="K68" s="8">
        <f>(2*150+15.045+1015.68)/0.711</f>
        <v>1871.6244725738397</v>
      </c>
      <c r="L68" s="28"/>
      <c r="M68" s="2">
        <v>59</v>
      </c>
      <c r="N68" s="4">
        <f>100*0.58*0.59*0.89</f>
        <v>30.455799999999993</v>
      </c>
      <c r="O68" s="23">
        <v>5</v>
      </c>
      <c r="P68" s="23">
        <v>2</v>
      </c>
      <c r="Q68" s="23" t="s">
        <v>168</v>
      </c>
      <c r="R68" t="s">
        <v>186</v>
      </c>
    </row>
    <row r="69" spans="1:18" x14ac:dyDescent="0.25">
      <c r="A69" s="2" t="s">
        <v>189</v>
      </c>
      <c r="B69" t="s">
        <v>75</v>
      </c>
      <c r="C69" s="2">
        <v>29.42</v>
      </c>
      <c r="D69" s="2">
        <f>C69+41.33</f>
        <v>70.75</v>
      </c>
      <c r="E69" s="1">
        <f>(256.07/3.413)+4.7*36.52</f>
        <v>246.67183474948729</v>
      </c>
      <c r="F69" s="1">
        <f>(2.5+4.7+4.7*7.2+6.712+13.071+3.612-3.413)/3.413</f>
        <v>17.879285086434226</v>
      </c>
      <c r="G69" s="4">
        <f>(2.5+4.7+4.7*967+6.712+13.071+3.612+95.48+18+539.66+79+1197+16149.326+1052.337+52.839+70.457+197.5+403.469+344.52+68.223+3745.28-3.413)/3.413</f>
        <v>8375.3803105772058</v>
      </c>
      <c r="H69" s="5">
        <f>(2.5+4.7+4.7*8+6.712+13.071+3.612)/3.413</f>
        <v>19.980955171403455</v>
      </c>
      <c r="I69" s="6">
        <f>(4.7*62+95.48+18+539.66)/3.413</f>
        <v>276.74772927043659</v>
      </c>
      <c r="J69" s="7">
        <f>(4.7*760+79+1197+16149.326+1052.337+52.839+70.457+197.5+403.469)/3.413</f>
        <v>6672.7008496923527</v>
      </c>
      <c r="K69" s="8">
        <f>(4.7*138+344.52+68.223+3745.28)/3.413</f>
        <v>1408.3278640492238</v>
      </c>
      <c r="L69" s="27" t="s">
        <v>190</v>
      </c>
      <c r="M69" s="2">
        <v>91</v>
      </c>
      <c r="N69" s="4">
        <f>100*0.43*0.91*0.89</f>
        <v>34.825700000000005</v>
      </c>
      <c r="O69" s="23">
        <f>2+3</f>
        <v>5</v>
      </c>
      <c r="P69" s="23">
        <f>2+1</f>
        <v>3</v>
      </c>
      <c r="Q69" s="23" t="s">
        <v>3</v>
      </c>
      <c r="R69" t="s">
        <v>191</v>
      </c>
    </row>
    <row r="70" spans="1:18" x14ac:dyDescent="0.25">
      <c r="A70" s="2" t="s">
        <v>192</v>
      </c>
      <c r="B70" t="s">
        <v>67</v>
      </c>
      <c r="C70" s="2">
        <v>119.67</v>
      </c>
      <c r="D70" s="2">
        <f>C70+142.16</f>
        <v>261.83</v>
      </c>
      <c r="E70" s="1">
        <f>(207.57/3.397)+7.03*32.52</f>
        <v>289.71951521931118</v>
      </c>
      <c r="F70" s="1">
        <f>(2.362+0.037+69.3+7.03+7.03*5.9+3.312+3.415-3.397)/3.397</f>
        <v>36.366205475419491</v>
      </c>
      <c r="G70" s="4">
        <f>(2.362+0.037+69.3+7.03+7.03*174+3.312+3.415+23.87+32.13+3+254.82+75+199.5+2102.265+2866.725+49.964+66.623+173.8+529.221+86.13+57.12+64.51+4912.6-3.397)/3.397</f>
        <v>3768.7833382396229</v>
      </c>
      <c r="H70" s="5">
        <f>(2.362+0.037+69.3+7.03+7.03*7+3.312+3.415)/3.397</f>
        <v>39.642625846335001</v>
      </c>
      <c r="I70" s="6">
        <f>(7.03*1+23.87+32.13+3+254.82)/3.397</f>
        <v>94.450986164262602</v>
      </c>
      <c r="J70" s="7">
        <f>(7.03*84+75+199.5+2102.265+2866.725+49.964+66.623+173.8+529.221)/3.397</f>
        <v>1958.6747129820433</v>
      </c>
      <c r="K70" s="8">
        <f>(7.03*83+86.13+57.12+64.51+4912.6)/3.397</f>
        <v>1679.0844863114514</v>
      </c>
      <c r="L70" s="27"/>
      <c r="M70" s="2">
        <v>91</v>
      </c>
      <c r="N70" s="4">
        <f>100*0.57*0.91*0.89</f>
        <v>46.164299999999997</v>
      </c>
      <c r="O70" s="23">
        <f>4+2</f>
        <v>6</v>
      </c>
      <c r="P70" s="23">
        <f>0+2</f>
        <v>2</v>
      </c>
      <c r="Q70" s="23" t="s">
        <v>15</v>
      </c>
      <c r="R70" t="s">
        <v>196</v>
      </c>
    </row>
    <row r="71" spans="1:18" x14ac:dyDescent="0.25">
      <c r="A71" s="2" t="s">
        <v>194</v>
      </c>
      <c r="B71" t="s">
        <v>61</v>
      </c>
      <c r="C71" s="2">
        <v>27.55</v>
      </c>
      <c r="D71" s="2">
        <f>C71+41.33</f>
        <v>68.88</v>
      </c>
      <c r="E71" s="1">
        <f>(88.68/1.078)+1.999*36.52</f>
        <v>155.26693083487942</v>
      </c>
      <c r="F71" s="1">
        <f>(0.986+1.759+1.999+1.999*7.2+0.073+1.956+1.339-1.078)/1.078</f>
        <v>19.876437847866416</v>
      </c>
      <c r="G71" s="4">
        <f>(0.986+1.759+1.999+1.999*967+0.073+1.956+1.339+0.814+0.684+135.46+24.332+45.486+670.527+2133.495+19.596+26.13+71.1+150.542+2.936+25.301+1367.44-1.078)/1.078</f>
        <v>6135.3525046382174</v>
      </c>
      <c r="H71" s="5">
        <f>(0.986+1.759+1.999+1.999*8+0.073+1.956+1.339)/1.078</f>
        <v>22.359925788497215</v>
      </c>
      <c r="I71" s="6">
        <f>(1.999*62+0.814+0.684+135.46)/1.078</f>
        <v>242.01855287569572</v>
      </c>
      <c r="J71" s="7">
        <f>(1.999*760+24.332+45.486+670.527+2133.495+19.596+26.13+71.1+150.542)/1.078</f>
        <v>4323.2356215213358</v>
      </c>
      <c r="K71" s="8">
        <f>(1.999*138+2.936+25.301+1367.44)/1.078</f>
        <v>1550.5927643784785</v>
      </c>
      <c r="L71" s="27"/>
      <c r="M71" s="2">
        <v>79</v>
      </c>
      <c r="N71" s="4">
        <f>100*0.43*0.79*0.89</f>
        <v>30.2333</v>
      </c>
      <c r="O71" s="23">
        <f>3+2</f>
        <v>5</v>
      </c>
      <c r="P71" s="23">
        <f>2+1</f>
        <v>3</v>
      </c>
      <c r="Q71" s="23" t="s">
        <v>3</v>
      </c>
      <c r="R71" t="s">
        <v>195</v>
      </c>
    </row>
    <row r="72" spans="1:18" x14ac:dyDescent="0.25">
      <c r="A72" s="2" t="s">
        <v>197</v>
      </c>
      <c r="B72" t="s">
        <v>73</v>
      </c>
      <c r="C72" s="2">
        <v>29.5</v>
      </c>
      <c r="D72" s="2">
        <f>C72+142.16</f>
        <v>171.66</v>
      </c>
      <c r="E72" s="1">
        <f>(42.23/0.425)+1.02*32.52</f>
        <v>132.53510588235292</v>
      </c>
      <c r="F72" s="1">
        <f>(0.339+3.08+1.02+1.02*5.9+0.031+0.491-0.425)/0.425</f>
        <v>24.832941176470591</v>
      </c>
      <c r="G72" s="4">
        <f>(0.339+3.08+1.02+1.02*174+0.031+0.491+23.87+47.74+42.84+6+1.96+270+27.9+19.8+7.189+9.586+23.7+73.043+86.13+172.26+76.16+9.282+678.04-0.425)/0.425</f>
        <v>4135.3317647058821</v>
      </c>
      <c r="H72" s="5">
        <f>(0.339+3.08+1.02+1.02*7+0.031+0.491)/0.425</f>
        <v>28.472941176470592</v>
      </c>
      <c r="I72" s="6">
        <f>(1.02*1+23.87+47.74+42.84+6)/0.425</f>
        <v>285.81176470588235</v>
      </c>
      <c r="J72" s="7">
        <f>(1.02*84+1.96+270+27.9+19.8+7.189+9.586+23.7+73.043)/0.425</f>
        <v>1220.8423529411764</v>
      </c>
      <c r="K72" s="8">
        <f>(1.02*83+86.13+172.26+76.16+9.282+678.04)/0.425</f>
        <v>2603.6047058823528</v>
      </c>
      <c r="L72" s="27"/>
      <c r="M72" s="2">
        <v>91</v>
      </c>
      <c r="N72" s="4">
        <f>100*0.57*0.91*0.89</f>
        <v>46.164299999999997</v>
      </c>
      <c r="O72" s="23">
        <v>6</v>
      </c>
      <c r="P72" s="23">
        <f>0+1</f>
        <v>1</v>
      </c>
      <c r="Q72" s="23" t="s">
        <v>15</v>
      </c>
      <c r="R72" t="s">
        <v>198</v>
      </c>
    </row>
    <row r="73" spans="1:18" x14ac:dyDescent="0.25">
      <c r="A73" s="2" t="s">
        <v>199</v>
      </c>
      <c r="B73" t="s">
        <v>200</v>
      </c>
      <c r="C73" s="2">
        <v>29.5</v>
      </c>
      <c r="D73" s="2">
        <f>C73+142.16</f>
        <v>171.66</v>
      </c>
      <c r="E73" s="1">
        <f>(42.23/0.425)+1.02*32.52</f>
        <v>132.53510588235292</v>
      </c>
      <c r="F73" s="1">
        <f>(0.619+3.08+1.02+1.02*5.9+0.031+0.508-0.618)/0.618</f>
        <v>17.245954692556634</v>
      </c>
      <c r="G73" s="4">
        <f>(0.619+3.08+1.02+1.02*174+0.031+0.508+23.87+47.74+42.84+6+1.96+270+22.29+10.56+7.426+9.902+23.7+84.893+86.13+172.26+76.16+9.588+788.04-0.618)/0.618</f>
        <v>3018.5744336569578</v>
      </c>
      <c r="H73" s="5">
        <f>(0.619+3.08+1.02+1.02*7+0.031+0.508)/0.618</f>
        <v>20.061488673139159</v>
      </c>
      <c r="I73" s="6">
        <f>(1.02*1+23.87+47.74+42.84+6)/0.618</f>
        <v>196.55339805825244</v>
      </c>
      <c r="J73" s="7">
        <f>(1.02*84+1.96+270+22.29+10.56+7.426+9.902+23.7+84.893)/0.618</f>
        <v>835.61650485436883</v>
      </c>
      <c r="K73" s="8">
        <f>(1.02*83+86.13+172.26+76.16+9.588+788.04)/0.618</f>
        <v>1968.9935275080907</v>
      </c>
      <c r="L73" s="27"/>
      <c r="M73" s="2">
        <v>94</v>
      </c>
      <c r="N73" s="4">
        <f>100*0.57*0.94*0.89</f>
        <v>47.686199999999992</v>
      </c>
      <c r="O73" s="23">
        <v>6</v>
      </c>
      <c r="P73" s="23">
        <f>0+1</f>
        <v>1</v>
      </c>
      <c r="Q73" s="23" t="s">
        <v>15</v>
      </c>
      <c r="R73" t="s">
        <v>198</v>
      </c>
    </row>
    <row r="74" spans="1:18" x14ac:dyDescent="0.25">
      <c r="A74" s="2" t="s">
        <v>206</v>
      </c>
      <c r="B74" t="s">
        <v>59</v>
      </c>
      <c r="C74" s="2">
        <v>28.75</v>
      </c>
      <c r="D74" s="2">
        <f>C74+41.33</f>
        <v>70.08</v>
      </c>
      <c r="E74" s="1">
        <f>(6.96/0.08)+0.096*36.52</f>
        <v>90.505920000000003</v>
      </c>
      <c r="F74" s="1">
        <f>(0.064+0.924+0.096+0.096*7.2+0.005+0.078-0.08)/0.08</f>
        <v>22.227499999999999</v>
      </c>
      <c r="G74" s="4">
        <f>(0.064+0.924+0.096+0.096*967+0.005+0.078+21.78+0.558+2.37+713.322+6.452+1.138+1.52+3.16+9.67+1.469+89.76-0.08)/0.08</f>
        <v>11813.974999999999</v>
      </c>
      <c r="H74" s="5">
        <f>(0.064+0.924+0.096+0.096*8+0.005+0.078)/0.08</f>
        <v>24.1875</v>
      </c>
      <c r="I74" s="6">
        <f>(0.096*62+21.78)/0.08</f>
        <v>346.65</v>
      </c>
      <c r="J74" s="7">
        <f>(0.096*760+0.558+2.37+713.322+6.452+1.138+1.52+3.16+9.67)/0.08</f>
        <v>10139.375</v>
      </c>
      <c r="K74" s="8">
        <f>(0.096*138+1.469+89.76)/0.08</f>
        <v>1305.9625000000001</v>
      </c>
      <c r="L74" s="27"/>
      <c r="M74" s="2">
        <v>96</v>
      </c>
      <c r="N74" s="4">
        <f>100*0.43*0.96*0.89</f>
        <v>36.739200000000004</v>
      </c>
      <c r="O74" s="23">
        <v>5</v>
      </c>
      <c r="P74" s="23">
        <v>3</v>
      </c>
      <c r="Q74" s="23" t="s">
        <v>3</v>
      </c>
      <c r="R74" t="s">
        <v>198</v>
      </c>
    </row>
    <row r="75" spans="1:18" x14ac:dyDescent="0.25">
      <c r="A75" s="2" t="s">
        <v>207</v>
      </c>
      <c r="B75" t="s">
        <v>208</v>
      </c>
      <c r="C75" s="2">
        <v>81.08</v>
      </c>
      <c r="D75" s="2">
        <f>C75+142.16</f>
        <v>223.24</v>
      </c>
      <c r="E75" s="1">
        <f>(155.42/1.151)+2.5*32.52</f>
        <v>216.3304083405734</v>
      </c>
      <c r="F75" s="1">
        <f>(0.775+2.231+2.5+2.5*5.9+0.938+1.283-1.151)/1.151</f>
        <v>18.528236316246741</v>
      </c>
      <c r="G75" s="4">
        <f>(0.775+2.231+2.5+2.5*174+0.938+1.283+11.935+1+149+33.283+18.763+25.018+56.25+192.444+43.065+24.225+1786.4-1.151)/1.151</f>
        <v>2417.8618592528237</v>
      </c>
      <c r="H75" s="5">
        <f>(0.775+2.231+2.5+2.5*7+0.938+1.283)/1.151</f>
        <v>21.917463075586447</v>
      </c>
      <c r="I75" s="6">
        <f>(2.5*1+11.935+1)/1.151</f>
        <v>13.41007819287576</v>
      </c>
      <c r="J75" s="7">
        <f>(2.5*84+149+33.283+18.763+25.018+56.25+192.444)/1.151</f>
        <v>594.92441355343169</v>
      </c>
      <c r="K75" s="8">
        <f>(2.5*83+43.065+24.225+1786.4)/1.151</f>
        <v>1790.7819287576021</v>
      </c>
      <c r="L75" s="27"/>
      <c r="M75" s="2">
        <v>95</v>
      </c>
      <c r="N75" s="4">
        <f>100*0.57*0.95*0.89</f>
        <v>48.193499999999993</v>
      </c>
      <c r="O75" s="23">
        <v>7</v>
      </c>
      <c r="P75" s="23">
        <f>0+1</f>
        <v>1</v>
      </c>
      <c r="Q75" s="23" t="s">
        <v>15</v>
      </c>
      <c r="R75" t="s">
        <v>209</v>
      </c>
    </row>
    <row r="76" spans="1:18" x14ac:dyDescent="0.25">
      <c r="A76" s="2" t="s">
        <v>221</v>
      </c>
      <c r="B76" t="s">
        <v>61</v>
      </c>
      <c r="C76" s="2">
        <v>38.5</v>
      </c>
      <c r="D76" s="15">
        <f>C76+91.25</f>
        <v>129.75</v>
      </c>
      <c r="E76" s="1">
        <f>(2.46/0.01)+0.037*68.3</f>
        <v>248.52709999999999</v>
      </c>
      <c r="F76" s="2">
        <f>(0.011+0.093+0.037+0.037*11+0.034+0.011+0.012-0.01)/0.01</f>
        <v>59.499999999999993</v>
      </c>
      <c r="G76" s="4">
        <f>(0.011+0.093+0.037+0.037*3926+0.034+0.011+0.012+3.72+0.79+0.79+0.365+24.552+50.22+0.178+0.184+1.58+1.754+0.3+16.28-0.01)/0.01</f>
        <v>24616.3</v>
      </c>
      <c r="H76" s="5">
        <f>(0.011+0.093+0.037+0.037*14+0.034+0.011+0.012)/0.01</f>
        <v>71.600000000000009</v>
      </c>
      <c r="I76" s="6">
        <f>(0.037*245+3.72)/0.01</f>
        <v>1278.5</v>
      </c>
      <c r="J76" s="7">
        <f>(0.037*3472+0.79+0.79+0.365+24.552+50.22+0.178+0.184+1.58+1.754)/0.01</f>
        <v>20887.699999999997</v>
      </c>
      <c r="K76" s="8">
        <f>(0.037*202+0.3+16.28)/0.01</f>
        <v>2405.4</v>
      </c>
      <c r="L76" s="27" t="s">
        <v>224</v>
      </c>
      <c r="M76" s="2">
        <v>90</v>
      </c>
      <c r="N76" s="4">
        <f>100*0.3*0.9*0.89</f>
        <v>24.03</v>
      </c>
      <c r="O76" s="23">
        <f>7+2</f>
        <v>9</v>
      </c>
      <c r="P76" s="23">
        <f>4+2</f>
        <v>6</v>
      </c>
      <c r="Q76" s="23" t="s">
        <v>219</v>
      </c>
      <c r="R76" t="s">
        <v>216</v>
      </c>
    </row>
    <row r="77" spans="1:18" x14ac:dyDescent="0.25">
      <c r="A77" s="2" t="s">
        <v>222</v>
      </c>
      <c r="B77" t="s">
        <v>71</v>
      </c>
      <c r="C77" s="2">
        <v>60.42</v>
      </c>
      <c r="D77" s="15">
        <f>91.25+C77</f>
        <v>151.67000000000002</v>
      </c>
      <c r="E77" s="1">
        <f>(2.82/0.01)+0.037*68.3</f>
        <v>284.52710000000002</v>
      </c>
      <c r="F77" s="2">
        <f>(0.011+0.059+0.093+0.037+0.037*11+0.034+0.011+0.012-0.01)/0.01</f>
        <v>65.400000000000006</v>
      </c>
      <c r="G77" s="4">
        <f>(0.011+0.059+0.093+0.037+0.037*3926+0.034+0.011+0.012+3.72+0.79+0.79+0.365+24.552+50.22+0.178+0.184+1.58+1.754+1.102+0.3+16.28-0.01)/0.01</f>
        <v>24732.399999999998</v>
      </c>
      <c r="H77" s="5">
        <f>(0.011+0.059+0.093+0.037+0.037*14+0.034+0.011+0.012)/0.01</f>
        <v>77.5</v>
      </c>
      <c r="I77" s="6">
        <f>(0.037*245+3.72)/0.01</f>
        <v>1278.5</v>
      </c>
      <c r="J77" s="7">
        <f>(0.037*3472+0.36+0.137+0.79+0.79+0.365+24.552+50.22+0.178+0.184+1.58+1.754)/0.01</f>
        <v>20937.399999999998</v>
      </c>
      <c r="K77" s="8">
        <f>(0.037*202+1.102+0.3+16.28)/0.01</f>
        <v>2515.6</v>
      </c>
      <c r="L77" s="27"/>
      <c r="M77" s="2">
        <v>91</v>
      </c>
      <c r="N77" s="4">
        <f>100*0.3*0.91*0.89</f>
        <v>24.297000000000001</v>
      </c>
      <c r="O77" s="23">
        <f>7+3</f>
        <v>10</v>
      </c>
      <c r="P77" s="23">
        <f>4+2</f>
        <v>6</v>
      </c>
      <c r="Q77" s="23" t="s">
        <v>219</v>
      </c>
      <c r="R77" t="s">
        <v>216</v>
      </c>
    </row>
    <row r="78" spans="1:18" x14ac:dyDescent="0.25">
      <c r="A78" s="2" t="s">
        <v>223</v>
      </c>
      <c r="B78" t="s">
        <v>65</v>
      </c>
      <c r="C78" s="2">
        <v>131.08000000000001</v>
      </c>
      <c r="D78" s="15">
        <f>91.25+C78</f>
        <v>222.33</v>
      </c>
      <c r="E78" s="1">
        <f>(3.91/0.009)+0.045*68.3</f>
        <v>437.51794444444454</v>
      </c>
      <c r="F78" s="1">
        <f>(0.007+0.055+0.001+0.045+0.045*11+0.034+0.003+0.01-0.009)/0.009</f>
        <v>71.222222222222229</v>
      </c>
      <c r="G78" s="4">
        <f>(0.007+0.055+0.001+0.045+0.045*3926+0.034+0.003+0.01+1.26+0.017+1.98+0.222+16.38+5.67+0.395+0.026+1.423+0.365+26.136+8.91+0.577+0.146+1.151+0.79+1.849+0.433+2.5+1.25+0.74+0.189+17.16-0.009)/0.009</f>
        <v>29598.333333333328</v>
      </c>
      <c r="H78" s="5">
        <f>(0.007+0.055+0.001+0.045+0.045*14+0.034+0.003+0.01)/0.009</f>
        <v>87.222222222222229</v>
      </c>
      <c r="I78" s="6">
        <f>(0.045*245+1.26+0.017+1.98)/0.009</f>
        <v>1586.8888888888889</v>
      </c>
      <c r="J78" s="7">
        <f>(0.045*3472+0.222+16.38+5.67+0.395+0.026+1.423+0.365+26.136+8.91+0.577+0.146+1.151+0.79+1.849)/0.009</f>
        <v>24475.555555555555</v>
      </c>
      <c r="K78" s="8">
        <f>(0.045*202+0.433+2.5+1.25+0.74+0.189+17.16)/0.009</f>
        <v>3484.666666666667</v>
      </c>
      <c r="L78" s="27"/>
      <c r="M78" s="2">
        <v>74</v>
      </c>
      <c r="N78" s="4">
        <f>30*0.74</f>
        <v>22.2</v>
      </c>
      <c r="O78" s="25">
        <f>7+3</f>
        <v>10</v>
      </c>
      <c r="P78" s="23">
        <f>4+3</f>
        <v>7</v>
      </c>
      <c r="Q78" s="23" t="s">
        <v>219</v>
      </c>
      <c r="R78" t="s">
        <v>216</v>
      </c>
    </row>
    <row r="79" spans="1:18" x14ac:dyDescent="0.25">
      <c r="A79" s="2" t="s">
        <v>228</v>
      </c>
      <c r="B79" t="s">
        <v>61</v>
      </c>
      <c r="C79" s="2">
        <v>31.08</v>
      </c>
      <c r="D79" s="2">
        <f>154.07+C79</f>
        <v>185.14999999999998</v>
      </c>
      <c r="E79" s="1">
        <f>(2.97/0.012)+0.04*27.93</f>
        <v>248.6172</v>
      </c>
      <c r="F79" s="1">
        <f>(0.014+0.077+0.04+0.04*8.6+0.02+0.007+0.015-0.012)/0.012</f>
        <v>42.083333333333336</v>
      </c>
      <c r="G79" s="4">
        <f>(0.014+0.077+0.04+0.04*1866+0.02+0.007+0.015+3.16+0.948+0.948+0.365+20.856+43.2+0.222+0.227+1.58+1.706+0.286+15.84-0.012)/0.012</f>
        <v>13678.249999999998</v>
      </c>
      <c r="H79" s="5">
        <f>(0.014+0.077+0.04+0.04*12+0.02+0.007+0.015)/0.012</f>
        <v>54.416666666666664</v>
      </c>
      <c r="I79" s="6">
        <f>(0.04*95+3.16)/0.012</f>
        <v>580.00000000000011</v>
      </c>
      <c r="J79" s="7">
        <f>(0.04*1611+0.948+0.948+0.365+20.856+43.2+0.222+0.227+1.58+1.706)/0.012</f>
        <v>11207.666666666668</v>
      </c>
      <c r="K79" s="8">
        <f>(0.04*151+0.286+15.84)/0.012</f>
        <v>1847.1666666666667</v>
      </c>
      <c r="L79" s="26" t="s">
        <v>229</v>
      </c>
      <c r="M79" s="2">
        <v>93</v>
      </c>
      <c r="N79" s="4">
        <f>41*0.93</f>
        <v>38.130000000000003</v>
      </c>
      <c r="O79" s="23">
        <f>6+2</f>
        <v>8</v>
      </c>
      <c r="P79" s="23">
        <f>4+2</f>
        <v>6</v>
      </c>
      <c r="Q79" s="23" t="s">
        <v>225</v>
      </c>
      <c r="R79" t="s">
        <v>227</v>
      </c>
    </row>
    <row r="80" spans="1:18" x14ac:dyDescent="0.25">
      <c r="A80" s="2" t="s">
        <v>230</v>
      </c>
      <c r="B80" t="s">
        <v>55</v>
      </c>
      <c r="C80" s="2">
        <v>31.08</v>
      </c>
      <c r="D80" s="2">
        <f>154.07+C80</f>
        <v>185.14999999999998</v>
      </c>
      <c r="E80" s="1">
        <f>(2.92/0.012)+0.04*27.93</f>
        <v>244.45053333333331</v>
      </c>
      <c r="F80" s="1">
        <f>(0.015+0.077+0.04+0.04*8.6+0.02+0.007+0.014-0.012)/0.012</f>
        <v>42.083333333333336</v>
      </c>
      <c r="G80" s="4">
        <f>(0.015+0.077+0.04+0.04*1866+0.02+0.007+0.014+3.16+0.948+0.948+0.365+20.856+43.2+0.202+0.207+1.58+1.517+0.26+14.08-0.012)/0.012</f>
        <v>13510.33333333333</v>
      </c>
      <c r="H80" s="5">
        <f>(0.015+0.077+0.04+0.04*12+0.02+0.007+0.014)/0.012</f>
        <v>54.416666666666664</v>
      </c>
      <c r="I80" s="6">
        <f>(0.04*95+3.16)/0.012</f>
        <v>580.00000000000011</v>
      </c>
      <c r="J80" s="7">
        <f>(0.04*1611+0.948+0.948+0.365+20.856+43.2+0.202+0.207+1.58+1.517)/0.012</f>
        <v>11188.583333333334</v>
      </c>
      <c r="K80" s="8">
        <f>(0.04*151+0.26+14.08)/0.012</f>
        <v>1698.3333333333333</v>
      </c>
      <c r="L80" s="26"/>
      <c r="M80" s="2">
        <v>85</v>
      </c>
      <c r="N80" s="4">
        <f>41*0.85</f>
        <v>34.85</v>
      </c>
      <c r="O80" s="23">
        <f>6+2</f>
        <v>8</v>
      </c>
      <c r="P80" s="23">
        <f>4+2</f>
        <v>6</v>
      </c>
      <c r="Q80" s="23" t="s">
        <v>225</v>
      </c>
      <c r="R80" t="s">
        <v>227</v>
      </c>
    </row>
    <row r="81" spans="1:18" x14ac:dyDescent="0.25">
      <c r="A81" s="2" t="s">
        <v>231</v>
      </c>
      <c r="B81" t="s">
        <v>73</v>
      </c>
      <c r="C81" s="2">
        <v>31.08</v>
      </c>
      <c r="D81" s="2">
        <f>154.07+C81</f>
        <v>185.14999999999998</v>
      </c>
      <c r="E81" s="1">
        <f>(2.99/0.014)+0.04*27.93</f>
        <v>214.68862857142858</v>
      </c>
      <c r="F81" s="1">
        <f>(0.016+0.077+0.04+0.04*8.6+0.02+0.007+0.016-0.014)/0.014</f>
        <v>36.142857142857146</v>
      </c>
      <c r="G81" s="4">
        <f>(0.016+0.077+0.04+0.04*1866+0.02+0.007+0.016+3.16+0.948+0.948+0.365+20.856+43.2+0.23+0.235+1.58+2.323+0.296+21.56-0.014)/0.014</f>
        <v>12178.785714285716</v>
      </c>
      <c r="H81" s="5">
        <f>(0.016+0.077+0.04+0.04*12+0.02+0.007+0.016)/0.014</f>
        <v>46.857142857142861</v>
      </c>
      <c r="I81" s="6">
        <f>(0.04*95+3.16)/0.014</f>
        <v>497.14285714285717</v>
      </c>
      <c r="J81" s="7">
        <f>(0.04*1611+0.948+0.948+0.365+20.856+43.2+0.23+0.235+1.58+2.323)/0.014</f>
        <v>9651.7857142857156</v>
      </c>
      <c r="K81" s="8">
        <f>(0.04*151+0.296+21.56)/0.014</f>
        <v>1992.5714285714287</v>
      </c>
      <c r="L81" s="26"/>
      <c r="M81" s="2">
        <v>96</v>
      </c>
      <c r="N81" s="4">
        <f>41*0.96</f>
        <v>39.36</v>
      </c>
      <c r="O81" s="23">
        <f>6+2</f>
        <v>8</v>
      </c>
      <c r="P81" s="23">
        <f>4+2</f>
        <v>6</v>
      </c>
      <c r="Q81" s="23" t="s">
        <v>225</v>
      </c>
      <c r="R81" t="s">
        <v>227</v>
      </c>
    </row>
    <row r="82" spans="1:18" x14ac:dyDescent="0.25">
      <c r="A82" s="2" t="s">
        <v>232</v>
      </c>
      <c r="B82" t="s">
        <v>71</v>
      </c>
      <c r="C82" s="2">
        <v>53</v>
      </c>
      <c r="D82" s="2">
        <f>154.07+C82</f>
        <v>207.07</v>
      </c>
      <c r="E82" s="1">
        <f>(3.43/0.013)+0.04*27.93</f>
        <v>264.96335384615389</v>
      </c>
      <c r="F82" s="1">
        <f>(0.013+0.07+0.077+0.04+0.04*8.6+0.02+0.007+0.016-0.013)/0.013</f>
        <v>44.15384615384616</v>
      </c>
      <c r="G82" s="4">
        <f>(0.013+0.07+0.077+0.04+0.04*1866+0.02+0.007+0.016+3.4+0.432+0.165+0.948+0.948+0.365+39.27+22.95+0.23+0.235+1.58+2.56+1.322+0.296+23.76-0.013)/0.013</f>
        <v>13333.153846153846</v>
      </c>
      <c r="H82" s="5">
        <f>(0.013+0.07+0.077+0.04+0.04*12+0.02+0.007+0.016)/0.013</f>
        <v>55.615384615384613</v>
      </c>
      <c r="I82" s="6">
        <f>(0.04*95+3.4)/0.013</f>
        <v>553.84615384615392</v>
      </c>
      <c r="J82" s="7">
        <f>(0.04*1611+0.165+0.432+0.948+0.948+0.365+39.27+22.95+0.23+0.235+1.58+2.56)/0.013</f>
        <v>10317.153846153846</v>
      </c>
      <c r="K82" s="8">
        <f>(0.04*151+1.322+0.296+23.76)/0.013</f>
        <v>2416.7692307692309</v>
      </c>
      <c r="L82" s="26"/>
      <c r="M82" s="2">
        <v>96</v>
      </c>
      <c r="N82" s="4">
        <f>41*0.96</f>
        <v>39.36</v>
      </c>
      <c r="O82" s="23">
        <f>6+3</f>
        <v>9</v>
      </c>
      <c r="P82" s="23">
        <f>4+2</f>
        <v>6</v>
      </c>
      <c r="Q82" s="23" t="s">
        <v>225</v>
      </c>
      <c r="R82" t="s">
        <v>227</v>
      </c>
    </row>
    <row r="83" spans="1:18" x14ac:dyDescent="0.25">
      <c r="A83" s="2" t="s">
        <v>233</v>
      </c>
      <c r="B83" t="s">
        <v>65</v>
      </c>
      <c r="C83" s="2">
        <v>131.08000000000001</v>
      </c>
      <c r="D83" s="2">
        <f>154.07+C83</f>
        <v>285.14999999999998</v>
      </c>
      <c r="E83" s="1">
        <f>(3.95/0.01)+0.04*27.93</f>
        <v>396.11720000000003</v>
      </c>
      <c r="F83" s="2">
        <f>(0.007+0.055+0.001+0.04+0.04*8.6+0.017+0.003+0.011-0.01)/0.01</f>
        <v>46.8</v>
      </c>
      <c r="G83" s="4">
        <f>(0.007+0.055+0.001+0.04+0.04*1866+0.017+0.003+0.011+1.26+0.017+1.54+0.222+16.38+5.67+0.395+0.026+2.015+0.365+20.365+6.93+0.677+0.165+0.171+0.79+2.133+0.433+2.5+1.25+0.877+0.214+19.8-0.01)/0.01</f>
        <v>15895.899999999998</v>
      </c>
      <c r="H83" s="5">
        <f>(0.007+0.055+0.001+0.04+0.04*12+0.017+0.003+0.011)/0.01</f>
        <v>61.4</v>
      </c>
      <c r="I83" s="6">
        <f>(0.04*95+1.26+0.017+1.54)/0.01</f>
        <v>661.7</v>
      </c>
      <c r="J83" s="7">
        <f>(0.04*1611+0.222+16.38+5.67+0.395+0.026+2.015+0.365+20.365+6.93+0.677+0.165+0.171+0.79+2.133)/0.01</f>
        <v>12074.399999999998</v>
      </c>
      <c r="K83" s="8">
        <f>(0.04*151+0.433+2.5+1.25+0.877+0.214+19.8)/0.01</f>
        <v>3111.4</v>
      </c>
      <c r="L83" s="26"/>
      <c r="M83" s="2">
        <v>84</v>
      </c>
      <c r="N83" s="4">
        <f>41*0.84</f>
        <v>34.44</v>
      </c>
      <c r="O83" s="23">
        <f>6+3</f>
        <v>9</v>
      </c>
      <c r="P83" s="23">
        <f>4+3</f>
        <v>7</v>
      </c>
      <c r="Q83" s="23" t="s">
        <v>225</v>
      </c>
      <c r="R83" t="s">
        <v>227</v>
      </c>
    </row>
    <row r="84" spans="1:18" x14ac:dyDescent="0.25">
      <c r="E84" s="2"/>
      <c r="F84" s="2"/>
      <c r="G84" s="2"/>
      <c r="H84" s="5"/>
      <c r="I84" s="6"/>
      <c r="J84" s="7"/>
      <c r="K84" s="8"/>
      <c r="M84" s="2"/>
      <c r="N84" s="2"/>
      <c r="O84" s="23"/>
      <c r="P84" s="23"/>
      <c r="Q84" s="23"/>
    </row>
    <row r="85" spans="1:18" x14ac:dyDescent="0.25">
      <c r="E85" s="2"/>
      <c r="F85" s="2"/>
      <c r="G85" s="2"/>
      <c r="H85" s="5"/>
      <c r="I85" s="6"/>
      <c r="J85" s="7"/>
      <c r="K85" s="8"/>
      <c r="M85" s="2"/>
      <c r="N85" s="2"/>
      <c r="O85" s="23"/>
      <c r="P85" s="23"/>
      <c r="Q85" s="23"/>
    </row>
    <row r="86" spans="1:18" x14ac:dyDescent="0.25">
      <c r="E86" s="2"/>
      <c r="F86" s="2"/>
      <c r="G86" s="2"/>
      <c r="H86" s="5"/>
      <c r="I86" s="6"/>
      <c r="J86" s="7"/>
      <c r="K86" s="8"/>
      <c r="M86" s="2"/>
      <c r="N86" s="2"/>
      <c r="O86" s="23"/>
      <c r="P86" s="23"/>
      <c r="Q86" s="23"/>
    </row>
    <row r="87" spans="1:18" x14ac:dyDescent="0.25">
      <c r="E87" s="2"/>
      <c r="F87" s="2"/>
      <c r="G87" s="2"/>
      <c r="H87" s="5"/>
      <c r="I87" s="6"/>
      <c r="J87" s="7"/>
      <c r="K87" s="8"/>
      <c r="M87" s="2"/>
      <c r="N87" s="2"/>
      <c r="O87" s="23"/>
      <c r="P87" s="23"/>
      <c r="Q87" s="23"/>
    </row>
    <row r="88" spans="1:18" x14ac:dyDescent="0.25">
      <c r="E88" s="2"/>
      <c r="F88" s="2"/>
      <c r="G88" s="2"/>
      <c r="H88" s="17"/>
      <c r="I88" s="18"/>
      <c r="J88" s="19"/>
      <c r="K88" s="20"/>
      <c r="M88" s="2"/>
      <c r="N88" s="2"/>
      <c r="O88" s="23"/>
      <c r="P88" s="23"/>
      <c r="Q88" s="23"/>
    </row>
    <row r="89" spans="1:18" x14ac:dyDescent="0.25">
      <c r="E89" s="2"/>
      <c r="F89" s="2"/>
      <c r="G89" s="2"/>
      <c r="H89" s="17"/>
      <c r="I89" s="18"/>
      <c r="J89" s="19"/>
      <c r="K89" s="20"/>
      <c r="M89" s="2"/>
      <c r="N89" s="2"/>
      <c r="O89" s="23"/>
      <c r="P89" s="23"/>
      <c r="Q89" s="23"/>
    </row>
    <row r="90" spans="1:18" x14ac:dyDescent="0.25">
      <c r="E90" s="2"/>
      <c r="F90" s="2"/>
      <c r="G90" s="2"/>
      <c r="H90" s="17"/>
      <c r="I90" s="18"/>
      <c r="J90" s="19"/>
      <c r="K90" s="20"/>
      <c r="M90" s="2"/>
      <c r="N90" s="2"/>
      <c r="O90" s="23"/>
      <c r="P90" s="23"/>
      <c r="Q90" s="23"/>
    </row>
    <row r="91" spans="1:18" x14ac:dyDescent="0.25">
      <c r="E91" s="2"/>
      <c r="F91" s="2"/>
      <c r="G91" s="2"/>
      <c r="H91" s="17"/>
      <c r="I91" s="18"/>
      <c r="J91" s="19"/>
      <c r="K91" s="20"/>
      <c r="M91" s="2"/>
      <c r="N91" s="2"/>
      <c r="O91" s="23"/>
      <c r="P91" s="23"/>
      <c r="Q91" s="23"/>
    </row>
    <row r="92" spans="1:18" x14ac:dyDescent="0.25">
      <c r="E92" s="2"/>
      <c r="F92" s="2"/>
      <c r="G92" s="2"/>
      <c r="H92" s="17"/>
      <c r="I92" s="18"/>
      <c r="J92" s="19"/>
      <c r="K92" s="20"/>
      <c r="M92" s="2"/>
      <c r="N92" s="2"/>
      <c r="O92" s="23"/>
      <c r="P92" s="23"/>
      <c r="Q92" s="23"/>
    </row>
    <row r="93" spans="1:18" x14ac:dyDescent="0.25">
      <c r="E93" s="2"/>
      <c r="F93" s="2"/>
      <c r="G93" s="2"/>
      <c r="H93" s="17"/>
      <c r="I93" s="18"/>
      <c r="J93" s="19"/>
      <c r="K93" s="20"/>
      <c r="M93" s="2"/>
      <c r="N93" s="2"/>
      <c r="O93" s="23"/>
      <c r="P93" s="23"/>
      <c r="Q93" s="23"/>
    </row>
    <row r="94" spans="1:18" x14ac:dyDescent="0.25">
      <c r="E94" s="2"/>
      <c r="F94" s="2"/>
      <c r="G94" s="2"/>
      <c r="H94" s="17"/>
      <c r="I94" s="18"/>
      <c r="J94" s="19"/>
      <c r="K94" s="20"/>
      <c r="M94" s="2"/>
      <c r="N94" s="2"/>
      <c r="O94" s="23"/>
      <c r="P94" s="23"/>
      <c r="Q94" s="23"/>
    </row>
    <row r="95" spans="1:18" x14ac:dyDescent="0.25">
      <c r="E95" s="2"/>
      <c r="F95" s="2"/>
      <c r="G95" s="2"/>
      <c r="H95" s="17"/>
      <c r="I95" s="18"/>
      <c r="J95" s="19"/>
      <c r="K95" s="20"/>
      <c r="M95" s="2"/>
      <c r="N95" s="2"/>
      <c r="O95" s="23"/>
      <c r="P95" s="23"/>
      <c r="Q95" s="23"/>
    </row>
    <row r="96" spans="1:18" x14ac:dyDescent="0.25">
      <c r="E96" s="2"/>
      <c r="F96" s="2"/>
      <c r="G96" s="2"/>
      <c r="H96" s="17"/>
      <c r="I96" s="18"/>
      <c r="J96" s="19"/>
      <c r="K96" s="20"/>
      <c r="M96" s="2"/>
      <c r="N96" s="2"/>
      <c r="O96" s="23"/>
      <c r="P96" s="23"/>
      <c r="Q96" s="23"/>
    </row>
    <row r="97" spans="5:17" x14ac:dyDescent="0.25">
      <c r="E97" s="2"/>
      <c r="F97" s="2"/>
      <c r="G97" s="2"/>
      <c r="H97" s="17"/>
      <c r="I97" s="18"/>
      <c r="J97" s="19"/>
      <c r="K97" s="20"/>
      <c r="M97" s="2"/>
      <c r="N97" s="2"/>
      <c r="O97" s="23"/>
      <c r="P97" s="23"/>
      <c r="Q97" s="23"/>
    </row>
    <row r="98" spans="5:17" x14ac:dyDescent="0.25">
      <c r="E98" s="2"/>
      <c r="F98" s="2"/>
      <c r="G98" s="2"/>
      <c r="H98" s="17"/>
      <c r="I98" s="18"/>
      <c r="J98" s="2"/>
      <c r="K98" s="20"/>
      <c r="M98" s="2"/>
      <c r="N98" s="2"/>
      <c r="O98" s="23"/>
      <c r="P98" s="23"/>
      <c r="Q98" s="23"/>
    </row>
    <row r="99" spans="5:17" x14ac:dyDescent="0.25">
      <c r="E99" s="2"/>
      <c r="F99" s="2"/>
      <c r="G99" s="2"/>
      <c r="H99" s="17"/>
      <c r="I99" s="18"/>
      <c r="J99" s="2"/>
      <c r="K99" s="20"/>
      <c r="M99" s="2"/>
      <c r="N99" s="2"/>
      <c r="O99" s="23"/>
      <c r="P99" s="23"/>
      <c r="Q99" s="23"/>
    </row>
    <row r="100" spans="5:17" x14ac:dyDescent="0.25">
      <c r="E100" s="2"/>
      <c r="F100" s="2"/>
      <c r="G100" s="2"/>
      <c r="H100" s="17"/>
      <c r="I100" s="18"/>
      <c r="J100" s="2"/>
      <c r="K100" s="20"/>
      <c r="M100" s="2"/>
      <c r="N100" s="2"/>
      <c r="O100" s="23"/>
      <c r="P100" s="23"/>
      <c r="Q100" s="23"/>
    </row>
    <row r="101" spans="5:17" x14ac:dyDescent="0.25">
      <c r="E101" s="2"/>
      <c r="F101" s="2"/>
      <c r="G101" s="2"/>
      <c r="H101" s="17"/>
      <c r="I101" s="18"/>
      <c r="J101" s="2"/>
      <c r="K101" s="20"/>
      <c r="M101" s="2"/>
      <c r="N101" s="2"/>
      <c r="O101" s="23"/>
      <c r="P101" s="23"/>
      <c r="Q101" s="23"/>
    </row>
    <row r="102" spans="5:17" x14ac:dyDescent="0.25">
      <c r="E102" s="2"/>
      <c r="F102" s="2"/>
      <c r="G102" s="2"/>
      <c r="H102" s="17"/>
      <c r="I102" s="18"/>
      <c r="J102" s="2"/>
      <c r="K102" s="20"/>
      <c r="M102" s="2"/>
      <c r="N102" s="2"/>
      <c r="O102" s="23"/>
      <c r="P102" s="23"/>
      <c r="Q102" s="23"/>
    </row>
    <row r="103" spans="5:17" x14ac:dyDescent="0.25">
      <c r="E103" s="2"/>
      <c r="F103" s="2"/>
      <c r="G103" s="2"/>
      <c r="H103" s="17"/>
      <c r="I103" s="18"/>
      <c r="J103" s="2"/>
      <c r="K103" s="20"/>
      <c r="M103" s="2"/>
      <c r="N103" s="2"/>
      <c r="O103" s="23"/>
      <c r="P103" s="23"/>
      <c r="Q103" s="23"/>
    </row>
    <row r="104" spans="5:17" x14ac:dyDescent="0.25">
      <c r="E104" s="2"/>
      <c r="F104" s="2"/>
      <c r="G104" s="2"/>
      <c r="H104" s="17"/>
      <c r="I104" s="2"/>
      <c r="J104" s="2"/>
      <c r="K104" s="20"/>
      <c r="M104" s="2"/>
      <c r="N104" s="2"/>
      <c r="O104" s="23"/>
      <c r="P104" s="23"/>
      <c r="Q104" s="23"/>
    </row>
    <row r="105" spans="5:17" x14ac:dyDescent="0.25">
      <c r="E105" s="2"/>
      <c r="F105" s="2"/>
      <c r="G105" s="2"/>
      <c r="H105" s="17"/>
      <c r="I105" s="2"/>
      <c r="J105" s="2"/>
      <c r="K105" s="20"/>
      <c r="M105" s="2"/>
      <c r="N105" s="2"/>
      <c r="O105" s="23"/>
      <c r="P105" s="23"/>
      <c r="Q105" s="23"/>
    </row>
    <row r="106" spans="5:17" x14ac:dyDescent="0.25">
      <c r="E106" s="2"/>
      <c r="F106" s="2"/>
      <c r="G106" s="2"/>
      <c r="H106" s="17"/>
      <c r="I106" s="2"/>
      <c r="J106" s="2"/>
      <c r="K106" s="20"/>
      <c r="M106" s="2"/>
      <c r="N106" s="2"/>
      <c r="O106" s="23"/>
      <c r="P106" s="23"/>
      <c r="Q106" s="23"/>
    </row>
    <row r="107" spans="5:17" x14ac:dyDescent="0.25">
      <c r="E107" s="2"/>
      <c r="F107" s="2"/>
      <c r="G107" s="2"/>
      <c r="H107" s="17"/>
      <c r="I107" s="2"/>
      <c r="J107" s="2"/>
      <c r="K107" s="20"/>
      <c r="M107" s="2"/>
      <c r="N107" s="2"/>
      <c r="O107" s="23"/>
      <c r="P107" s="23"/>
      <c r="Q107" s="23"/>
    </row>
    <row r="108" spans="5:17" x14ac:dyDescent="0.25">
      <c r="E108" s="2"/>
      <c r="F108" s="2"/>
      <c r="G108" s="2"/>
      <c r="H108" s="17"/>
      <c r="I108" s="2"/>
      <c r="J108" s="2"/>
      <c r="K108" s="20"/>
      <c r="M108" s="2"/>
      <c r="N108" s="2"/>
      <c r="O108" s="23"/>
      <c r="P108" s="23"/>
      <c r="Q108" s="23"/>
    </row>
    <row r="109" spans="5:17" x14ac:dyDescent="0.25">
      <c r="E109" s="2"/>
      <c r="F109" s="2"/>
      <c r="G109" s="2"/>
      <c r="H109" s="17"/>
      <c r="I109" s="2"/>
      <c r="J109" s="2"/>
      <c r="K109" s="20"/>
      <c r="M109" s="2"/>
      <c r="N109" s="2"/>
      <c r="O109" s="23"/>
      <c r="P109" s="23"/>
      <c r="Q109" s="23"/>
    </row>
    <row r="110" spans="5:17" x14ac:dyDescent="0.25">
      <c r="E110" s="2"/>
      <c r="F110" s="2"/>
      <c r="G110" s="2"/>
      <c r="H110" s="17"/>
      <c r="I110" s="2"/>
      <c r="J110" s="2"/>
      <c r="K110" s="2"/>
      <c r="M110" s="2"/>
      <c r="N110" s="2"/>
      <c r="O110" s="23"/>
      <c r="P110" s="23"/>
      <c r="Q110" s="23"/>
    </row>
    <row r="111" spans="5:17" x14ac:dyDescent="0.25">
      <c r="E111" s="2"/>
      <c r="F111" s="2"/>
      <c r="G111" s="2"/>
      <c r="H111" s="17"/>
      <c r="I111" s="2"/>
      <c r="J111" s="2"/>
      <c r="K111" s="2"/>
      <c r="M111" s="2"/>
      <c r="N111" s="2"/>
      <c r="O111" s="23"/>
      <c r="P111" s="23"/>
      <c r="Q111" s="23"/>
    </row>
    <row r="112" spans="5:17" x14ac:dyDescent="0.25">
      <c r="E112" s="2"/>
      <c r="F112" s="2"/>
      <c r="G112" s="2"/>
      <c r="H112" s="17"/>
      <c r="I112" s="2"/>
      <c r="J112" s="2"/>
      <c r="K112" s="2"/>
      <c r="M112" s="2"/>
      <c r="N112" s="2"/>
      <c r="O112" s="23"/>
      <c r="P112" s="23"/>
      <c r="Q112" s="23"/>
    </row>
    <row r="113" spans="5:17" x14ac:dyDescent="0.25">
      <c r="E113" s="2"/>
      <c r="F113" s="2"/>
      <c r="G113" s="2"/>
      <c r="H113" s="17"/>
      <c r="I113" s="2"/>
      <c r="J113" s="2"/>
      <c r="K113" s="2"/>
      <c r="M113" s="2"/>
      <c r="N113" s="2"/>
      <c r="O113" s="23"/>
      <c r="P113" s="23"/>
      <c r="Q113" s="23"/>
    </row>
    <row r="114" spans="5:17" x14ac:dyDescent="0.25">
      <c r="E114" s="2"/>
      <c r="F114" s="2"/>
      <c r="G114" s="2"/>
      <c r="H114" s="17"/>
      <c r="I114" s="2"/>
      <c r="J114" s="2"/>
      <c r="K114" s="2"/>
      <c r="M114" s="2"/>
      <c r="N114" s="2"/>
      <c r="O114" s="23"/>
      <c r="P114" s="23"/>
      <c r="Q114" s="23"/>
    </row>
    <row r="115" spans="5:17" x14ac:dyDescent="0.25">
      <c r="E115" s="2"/>
      <c r="F115" s="2"/>
      <c r="G115" s="2"/>
      <c r="H115" s="17"/>
      <c r="I115" s="2"/>
      <c r="J115" s="2"/>
      <c r="K115" s="2"/>
      <c r="M115" s="2"/>
      <c r="N115" s="2"/>
      <c r="O115" s="23"/>
      <c r="P115" s="23"/>
      <c r="Q115" s="23"/>
    </row>
    <row r="116" spans="5:17" x14ac:dyDescent="0.25">
      <c r="E116" s="2"/>
      <c r="F116" s="2"/>
      <c r="G116" s="2"/>
      <c r="H116" s="17"/>
      <c r="I116" s="2"/>
      <c r="J116" s="2"/>
      <c r="K116" s="2"/>
      <c r="M116" s="2"/>
      <c r="N116" s="2"/>
      <c r="O116" s="23"/>
      <c r="P116" s="23"/>
      <c r="Q116" s="23"/>
    </row>
    <row r="117" spans="5:17" x14ac:dyDescent="0.25">
      <c r="E117" s="2"/>
      <c r="F117" s="2"/>
      <c r="G117" s="2"/>
      <c r="H117" s="17"/>
      <c r="I117" s="2"/>
      <c r="J117" s="2"/>
      <c r="K117" s="2"/>
      <c r="M117" s="2"/>
      <c r="N117" s="2"/>
      <c r="O117" s="23"/>
      <c r="P117" s="23"/>
      <c r="Q117" s="23"/>
    </row>
    <row r="118" spans="5:17" x14ac:dyDescent="0.25">
      <c r="E118" s="2"/>
      <c r="F118" s="2"/>
      <c r="G118" s="2"/>
      <c r="H118" s="17"/>
      <c r="I118" s="2"/>
      <c r="J118" s="2"/>
      <c r="K118" s="2"/>
      <c r="M118" s="2"/>
      <c r="N118" s="2"/>
      <c r="O118" s="23"/>
      <c r="P118" s="23"/>
      <c r="Q118" s="23"/>
    </row>
    <row r="119" spans="5:17" x14ac:dyDescent="0.25">
      <c r="E119" s="2"/>
      <c r="F119" s="2"/>
      <c r="G119" s="2"/>
      <c r="H119" s="17"/>
      <c r="I119" s="2"/>
      <c r="J119" s="2"/>
      <c r="K119" s="2"/>
      <c r="M119" s="2"/>
      <c r="N119" s="2"/>
      <c r="O119" s="23"/>
      <c r="P119" s="23"/>
      <c r="Q119" s="23"/>
    </row>
    <row r="120" spans="5:17" x14ac:dyDescent="0.25">
      <c r="E120" s="2"/>
      <c r="F120" s="2"/>
      <c r="G120" s="2"/>
      <c r="H120" s="17"/>
      <c r="I120" s="2"/>
      <c r="J120" s="2"/>
      <c r="K120" s="2"/>
      <c r="M120" s="2"/>
      <c r="N120" s="2"/>
      <c r="O120" s="23"/>
      <c r="P120" s="23"/>
      <c r="Q120" s="23"/>
    </row>
    <row r="121" spans="5:17" x14ac:dyDescent="0.25">
      <c r="E121" s="2"/>
      <c r="F121" s="2"/>
      <c r="G121" s="2"/>
      <c r="H121" s="17"/>
      <c r="I121" s="2"/>
      <c r="J121" s="2"/>
      <c r="K121" s="2"/>
      <c r="M121" s="2"/>
      <c r="N121" s="2"/>
      <c r="O121" s="23"/>
      <c r="P121" s="23"/>
      <c r="Q121" s="23"/>
    </row>
    <row r="122" spans="5:17" x14ac:dyDescent="0.25">
      <c r="E122" s="2"/>
      <c r="F122" s="2"/>
      <c r="G122" s="2"/>
      <c r="H122" s="17"/>
      <c r="I122" s="2"/>
      <c r="J122" s="2"/>
      <c r="K122" s="2"/>
      <c r="M122" s="2"/>
      <c r="N122" s="2"/>
    </row>
    <row r="123" spans="5:17" x14ac:dyDescent="0.25">
      <c r="E123" s="2"/>
      <c r="F123" s="2"/>
      <c r="G123" s="2"/>
      <c r="H123" s="17"/>
      <c r="I123" s="2"/>
      <c r="J123" s="2"/>
      <c r="K123" s="2"/>
      <c r="M123" s="2"/>
      <c r="N123" s="2"/>
    </row>
    <row r="124" spans="5:17" x14ac:dyDescent="0.25">
      <c r="E124" s="2"/>
      <c r="F124" s="2"/>
      <c r="G124" s="2"/>
      <c r="H124" s="17"/>
      <c r="I124" s="2"/>
      <c r="J124" s="2"/>
      <c r="K124" s="2"/>
      <c r="M124" s="2"/>
      <c r="N124" s="2"/>
    </row>
    <row r="125" spans="5:17" x14ac:dyDescent="0.25">
      <c r="E125" s="2"/>
      <c r="F125" s="2"/>
      <c r="G125" s="2"/>
      <c r="H125" s="17"/>
      <c r="I125" s="2"/>
      <c r="J125" s="2"/>
      <c r="K125" s="2"/>
      <c r="M125" s="2"/>
      <c r="N125" s="2"/>
    </row>
    <row r="126" spans="5:17" x14ac:dyDescent="0.25">
      <c r="E126" s="2"/>
      <c r="F126" s="2"/>
      <c r="G126" s="2"/>
      <c r="H126" s="17"/>
      <c r="I126" s="2"/>
      <c r="J126" s="2"/>
      <c r="K126" s="2"/>
      <c r="M126" s="2"/>
      <c r="N126" s="2"/>
    </row>
    <row r="127" spans="5:17" x14ac:dyDescent="0.25">
      <c r="E127" s="2"/>
      <c r="F127" s="2"/>
      <c r="G127" s="2"/>
      <c r="H127" s="17"/>
      <c r="I127" s="2"/>
      <c r="J127" s="2"/>
      <c r="K127" s="2"/>
      <c r="M127" s="2"/>
      <c r="N127" s="2"/>
    </row>
    <row r="128" spans="5:17" x14ac:dyDescent="0.25">
      <c r="E128" s="2"/>
      <c r="F128" s="2"/>
      <c r="G128" s="2"/>
      <c r="H128" s="2"/>
      <c r="I128" s="2"/>
      <c r="J128" s="2"/>
      <c r="K128" s="2"/>
      <c r="M128" s="2"/>
      <c r="N128" s="2"/>
    </row>
    <row r="129" spans="5:14" x14ac:dyDescent="0.25">
      <c r="E129" s="2"/>
      <c r="F129" s="2"/>
      <c r="G129" s="2"/>
      <c r="H129" s="2"/>
      <c r="I129" s="2"/>
      <c r="J129" s="2"/>
      <c r="K129" s="2"/>
      <c r="M129" s="2"/>
      <c r="N129" s="2"/>
    </row>
    <row r="130" spans="5:14" x14ac:dyDescent="0.25">
      <c r="E130" s="2"/>
      <c r="F130" s="2"/>
      <c r="G130" s="2"/>
      <c r="H130" s="2"/>
      <c r="I130" s="2"/>
      <c r="J130" s="2"/>
      <c r="K130" s="2"/>
      <c r="M130" s="2"/>
      <c r="N130" s="2"/>
    </row>
    <row r="131" spans="5:14" x14ac:dyDescent="0.25">
      <c r="E131" s="2"/>
      <c r="F131" s="2"/>
      <c r="G131" s="2"/>
      <c r="H131" s="2"/>
      <c r="I131" s="2"/>
      <c r="J131" s="2"/>
      <c r="K131" s="2"/>
      <c r="M131" s="2"/>
      <c r="N131" s="2"/>
    </row>
    <row r="132" spans="5:14" x14ac:dyDescent="0.25">
      <c r="E132" s="2"/>
      <c r="F132" s="2"/>
      <c r="G132" s="2"/>
      <c r="H132" s="2"/>
      <c r="I132" s="2"/>
      <c r="J132" s="2"/>
      <c r="K132" s="2"/>
      <c r="M132" s="2"/>
      <c r="N132" s="2"/>
    </row>
    <row r="133" spans="5:14" x14ac:dyDescent="0.25">
      <c r="E133" s="2"/>
      <c r="F133" s="2"/>
      <c r="G133" s="2"/>
      <c r="H133" s="2"/>
      <c r="I133" s="2"/>
      <c r="J133" s="2"/>
      <c r="K133" s="2"/>
      <c r="M133" s="2"/>
      <c r="N133" s="2"/>
    </row>
  </sheetData>
  <mergeCells count="27">
    <mergeCell ref="D2:D3"/>
    <mergeCell ref="A2:A3"/>
    <mergeCell ref="B2:B3"/>
    <mergeCell ref="C2:C3"/>
    <mergeCell ref="E2:E3"/>
    <mergeCell ref="F2:F3"/>
    <mergeCell ref="H2:K2"/>
    <mergeCell ref="M2:M3"/>
    <mergeCell ref="R2:R3"/>
    <mergeCell ref="L2:L3"/>
    <mergeCell ref="P2:P3"/>
    <mergeCell ref="O2:O3"/>
    <mergeCell ref="L35:L40"/>
    <mergeCell ref="G2:G3"/>
    <mergeCell ref="L59:L62"/>
    <mergeCell ref="L56:L58"/>
    <mergeCell ref="L51:L55"/>
    <mergeCell ref="Q2:Q3"/>
    <mergeCell ref="N2:N3"/>
    <mergeCell ref="L17:L34"/>
    <mergeCell ref="L4:L16"/>
    <mergeCell ref="L79:L83"/>
    <mergeCell ref="L69:L75"/>
    <mergeCell ref="L63:L68"/>
    <mergeCell ref="L47:L50"/>
    <mergeCell ref="L41:L46"/>
    <mergeCell ref="L76:L78"/>
  </mergeCells>
  <pageMargins left="0.7" right="0.7" top="0.78740157499999996" bottom="0.78740157499999996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6CD5-29EF-456A-ACDB-24532A52D2C8}">
  <dimension ref="A1:O41"/>
  <sheetViews>
    <sheetView tabSelected="1" workbookViewId="0">
      <selection activeCell="L29" sqref="L29"/>
    </sheetView>
  </sheetViews>
  <sheetFormatPr baseColWidth="10" defaultRowHeight="15" x14ac:dyDescent="0.25"/>
  <cols>
    <col min="2" max="2" width="69.5703125" bestFit="1" customWidth="1"/>
    <col min="4" max="4" width="9.85546875" customWidth="1"/>
    <col min="5" max="5" width="20.85546875" bestFit="1" customWidth="1"/>
    <col min="13" max="13" width="13" customWidth="1"/>
    <col min="14" max="14" width="10.85546875" style="16"/>
    <col min="15" max="15" width="15.7109375" customWidth="1"/>
  </cols>
  <sheetData>
    <row r="1" spans="1:15" ht="23.25" x14ac:dyDescent="0.35">
      <c r="A1" s="13" t="s">
        <v>0</v>
      </c>
    </row>
    <row r="2" spans="1:15" x14ac:dyDescent="0.25">
      <c r="A2" s="31" t="s">
        <v>1</v>
      </c>
      <c r="B2" s="31" t="s">
        <v>2</v>
      </c>
      <c r="C2" s="31" t="s">
        <v>204</v>
      </c>
      <c r="D2" s="34" t="s">
        <v>213</v>
      </c>
      <c r="E2" s="34" t="s">
        <v>205</v>
      </c>
      <c r="F2" s="31" t="s">
        <v>4</v>
      </c>
      <c r="G2" s="31" t="s">
        <v>5</v>
      </c>
      <c r="H2" s="31" t="s">
        <v>12</v>
      </c>
      <c r="I2" s="31"/>
      <c r="J2" s="31"/>
      <c r="K2" s="31"/>
      <c r="L2" s="32" t="s">
        <v>202</v>
      </c>
      <c r="M2" s="32" t="s">
        <v>203</v>
      </c>
      <c r="N2" s="32" t="s">
        <v>212</v>
      </c>
      <c r="O2" s="35" t="s">
        <v>6</v>
      </c>
    </row>
    <row r="3" spans="1:15" x14ac:dyDescent="0.25">
      <c r="A3" s="31"/>
      <c r="B3" s="31"/>
      <c r="C3" s="31"/>
      <c r="D3" s="34"/>
      <c r="E3" s="34"/>
      <c r="F3" s="31"/>
      <c r="G3" s="31"/>
      <c r="H3" s="9" t="s">
        <v>8</v>
      </c>
      <c r="I3" s="10" t="s">
        <v>10</v>
      </c>
      <c r="J3" s="11" t="s">
        <v>11</v>
      </c>
      <c r="K3" s="12" t="s">
        <v>9</v>
      </c>
      <c r="L3" s="32"/>
      <c r="M3" s="32"/>
      <c r="N3" s="32"/>
      <c r="O3" s="35"/>
    </row>
    <row r="4" spans="1:15" x14ac:dyDescent="0.25">
      <c r="A4" s="2" t="s">
        <v>3</v>
      </c>
      <c r="B4" t="s">
        <v>48</v>
      </c>
      <c r="C4" s="2">
        <v>41.33</v>
      </c>
      <c r="D4" s="2">
        <f>C4</f>
        <v>41.33</v>
      </c>
      <c r="E4" s="2">
        <v>36.520000000000003</v>
      </c>
      <c r="F4" s="1">
        <f>(5+0.915+5.4+15.12+0.732-3.3)/3.3</f>
        <v>7.2324242424242433</v>
      </c>
      <c r="G4" s="4">
        <f>(5+0.915+5.4+15.12+0.732+8+54.855+3+118+20.246+1+79+9.8+199.5+1438.5+663.75+11.025+74.5+31.6+15+290.145+150-3.3)/3.3</f>
        <v>967.20848484848489</v>
      </c>
      <c r="H4" s="5">
        <f>(5+0.915+5.4+15.12+0.732)/3.3</f>
        <v>8.2324242424242442</v>
      </c>
      <c r="I4" s="6">
        <f>(8+54.855+3+118+20.246+1)/3.3</f>
        <v>62.151818181818186</v>
      </c>
      <c r="J4" s="7">
        <f>(79+9.8+199.5+1438.5+663.75+11.025+74.5+31.63)/3.3</f>
        <v>759.91060606060626</v>
      </c>
      <c r="K4" s="8">
        <f>(15+290.145+150)/3.3</f>
        <v>137.92272727272729</v>
      </c>
      <c r="L4" s="14">
        <v>3</v>
      </c>
      <c r="M4" s="14">
        <v>1</v>
      </c>
      <c r="N4" s="14">
        <v>43</v>
      </c>
      <c r="O4" t="s">
        <v>7</v>
      </c>
    </row>
    <row r="5" spans="1:15" x14ac:dyDescent="0.25">
      <c r="A5" s="2" t="s">
        <v>14</v>
      </c>
      <c r="B5" t="s">
        <v>22</v>
      </c>
      <c r="C5" s="2">
        <v>4.16</v>
      </c>
      <c r="D5" s="2">
        <f>D4+C5</f>
        <v>45.489999999999995</v>
      </c>
      <c r="E5" s="15">
        <f>(5/0.221)+0.318*36.52</f>
        <v>34.237794389140277</v>
      </c>
      <c r="F5" s="1">
        <f>(0.318+0.318*7.2+0.321-0.221)/0.221</f>
        <v>12.251583710407241</v>
      </c>
      <c r="G5" s="4">
        <f>(0.318+0.318*967+0.321+12.78+6.25+155.756+53.888-0.221)/0.221</f>
        <v>2428.0452488687788</v>
      </c>
      <c r="H5" s="5">
        <f>(0.318+0.318*8+0.321)/0.221</f>
        <v>14.402714932126697</v>
      </c>
      <c r="I5" s="6">
        <f>(0.318*62+12.78)/0.221</f>
        <v>147.04072398190047</v>
      </c>
      <c r="J5" s="7">
        <f>(0.318*760+6.25+155.756+53.888)/0.221</f>
        <v>2070.4705882352941</v>
      </c>
      <c r="K5" s="8">
        <f>(0.318*138)/0.221</f>
        <v>198.57013574660633</v>
      </c>
      <c r="L5" s="14">
        <v>4</v>
      </c>
      <c r="M5" s="14">
        <v>2</v>
      </c>
      <c r="N5" s="14">
        <f>43*0.8</f>
        <v>34.4</v>
      </c>
      <c r="O5" t="s">
        <v>13</v>
      </c>
    </row>
    <row r="6" spans="1:15" x14ac:dyDescent="0.25">
      <c r="A6" s="2" t="s">
        <v>15</v>
      </c>
      <c r="B6" t="s">
        <v>193</v>
      </c>
      <c r="C6" s="2">
        <v>142.16</v>
      </c>
      <c r="D6" s="2">
        <f t="shared" ref="D6:D11" si="0">C6</f>
        <v>142.16</v>
      </c>
      <c r="E6" s="2">
        <v>32.520000000000003</v>
      </c>
      <c r="F6" s="1">
        <f>(37.5+3.3+175.75+202.5+75.6-71.8)/71.8</f>
        <v>5.8892757660167128</v>
      </c>
      <c r="G6" s="4">
        <f>(37.5+3.3+175.75+202.5+75.6+4.4+6+22+24+3.3+9+651.75+5.95+73.5+73.5+266+431.2+447+87+472.5+1788+68.6+670.5+87+237+455.943+207.771+1000+216+100+4000+500+161.7-71.8)/71.8</f>
        <v>173.98974930362121</v>
      </c>
      <c r="H6" s="5">
        <f>(37.5+3.3+175.75+202.5+75.6)/71.8</f>
        <v>6.8892757660167128</v>
      </c>
      <c r="I6" s="6">
        <f>(4.4+6+22+24+3.3+9)/71.8</f>
        <v>0.95682451253481882</v>
      </c>
      <c r="J6" s="7">
        <f>(651.75+5.95+73.5+73.5+266+431.2+447+87+472.5+1788+68.6+670.5+87+237+455.943+207.771)/71.8</f>
        <v>83.888774373259054</v>
      </c>
      <c r="K6" s="8">
        <f>(1000+216+100+4000+500+161.7)/71.8</f>
        <v>83.254874651810582</v>
      </c>
      <c r="L6" s="14">
        <v>4</v>
      </c>
      <c r="M6" s="14">
        <v>0</v>
      </c>
      <c r="N6" s="14">
        <v>57</v>
      </c>
      <c r="O6" t="s">
        <v>16</v>
      </c>
    </row>
    <row r="7" spans="1:15" x14ac:dyDescent="0.25">
      <c r="A7" s="2" t="s">
        <v>17</v>
      </c>
      <c r="B7" t="s">
        <v>18</v>
      </c>
      <c r="C7" s="2">
        <v>30.25</v>
      </c>
      <c r="D7" s="2">
        <f t="shared" si="0"/>
        <v>30.25</v>
      </c>
      <c r="E7" s="2">
        <v>8.6199999999999992</v>
      </c>
      <c r="F7" s="1">
        <f>(2+0.045+2.19+2.05-1.74)/1.74</f>
        <v>2.6120689655172407</v>
      </c>
      <c r="G7" s="4">
        <f>(2+0.045+2.19+2.05+26.75+2+125.8+14.25+133+511.063+707.625+1986.854+62+100+80.25-1.74)/1.74</f>
        <v>2157.5500000000002</v>
      </c>
      <c r="H7" s="5">
        <f>(2+0.045+2.19+2.05)/1.74</f>
        <v>3.6120689655172411</v>
      </c>
      <c r="I7" s="6">
        <f>(26.75+2+125.8)/1.74</f>
        <v>88.821839080459782</v>
      </c>
      <c r="J7" s="7">
        <f>(14.25+133+511.063+707.625+1986.854+62)/1.74</f>
        <v>1962.5241379310346</v>
      </c>
      <c r="K7" s="8">
        <f>(100+80.25)/1.74</f>
        <v>103.5919540229885</v>
      </c>
      <c r="L7" s="14">
        <v>1</v>
      </c>
      <c r="M7" s="14">
        <v>1</v>
      </c>
      <c r="N7" s="14">
        <v>62</v>
      </c>
      <c r="O7" t="s">
        <v>19</v>
      </c>
    </row>
    <row r="8" spans="1:15" x14ac:dyDescent="0.25">
      <c r="A8" s="2" t="s">
        <v>20</v>
      </c>
      <c r="B8" t="s">
        <v>21</v>
      </c>
      <c r="C8" s="2">
        <v>8.92</v>
      </c>
      <c r="D8" s="2">
        <f t="shared" si="0"/>
        <v>8.92</v>
      </c>
      <c r="E8" s="2">
        <v>2.4500000000000002</v>
      </c>
      <c r="F8" s="1">
        <f>(155+278-203.9)/203.9</f>
        <v>1.123589995095635</v>
      </c>
      <c r="G8" s="4">
        <f>(155+278+54+490+1995+1596+399+780+133+330+600+500-203.9)/203.9</f>
        <v>34.850907307503682</v>
      </c>
      <c r="H8" s="5">
        <f>(155+278)/203.9</f>
        <v>2.1235899950956352</v>
      </c>
      <c r="I8" s="6">
        <f>(54)/203.9</f>
        <v>0.26483570377636095</v>
      </c>
      <c r="J8" s="7">
        <f>(490+1995+1596+399+780+133+330)/203.9</f>
        <v>28.067680235409515</v>
      </c>
      <c r="K8" s="8">
        <f>(600+500)/203.9</f>
        <v>5.394801373222168</v>
      </c>
      <c r="L8" s="14">
        <v>1</v>
      </c>
      <c r="M8" s="14">
        <v>0</v>
      </c>
      <c r="N8" s="14">
        <v>52</v>
      </c>
      <c r="O8" t="s">
        <v>23</v>
      </c>
    </row>
    <row r="9" spans="1:15" x14ac:dyDescent="0.25">
      <c r="A9" s="2" t="s">
        <v>24</v>
      </c>
      <c r="B9" t="s">
        <v>25</v>
      </c>
      <c r="C9" s="2">
        <v>42.33</v>
      </c>
      <c r="D9" s="2">
        <f t="shared" si="0"/>
        <v>42.33</v>
      </c>
      <c r="E9" s="2">
        <v>17.86</v>
      </c>
      <c r="F9" s="1">
        <f>(5+10.03-5.6)/5.6</f>
        <v>1.6839285714285714</v>
      </c>
      <c r="G9" s="4">
        <f>(5+10.03+95+1330+71+133-5.6)/5.6</f>
        <v>292.57678571428573</v>
      </c>
      <c r="H9" s="5">
        <f>(5+10.03)/5.6</f>
        <v>2.6839285714285714</v>
      </c>
      <c r="I9" s="6" t="s">
        <v>26</v>
      </c>
      <c r="J9" s="7">
        <f>(95+1330+71+133)/5.6</f>
        <v>290.89285714285717</v>
      </c>
      <c r="K9" s="8" t="s">
        <v>26</v>
      </c>
      <c r="L9" s="14">
        <v>1</v>
      </c>
      <c r="M9" s="14">
        <v>0</v>
      </c>
      <c r="N9" s="14">
        <v>84</v>
      </c>
      <c r="O9" t="s">
        <v>29</v>
      </c>
    </row>
    <row r="10" spans="1:15" x14ac:dyDescent="0.25">
      <c r="A10" s="2" t="s">
        <v>27</v>
      </c>
      <c r="B10" t="s">
        <v>28</v>
      </c>
      <c r="C10" s="2">
        <v>23.75</v>
      </c>
      <c r="D10" s="2">
        <f t="shared" si="0"/>
        <v>23.75</v>
      </c>
      <c r="E10" s="2">
        <v>21.74</v>
      </c>
      <c r="F10" s="1">
        <f>(5+6.9+24.85-4.6)/4.6</f>
        <v>6.9891304347826093</v>
      </c>
      <c r="G10" s="4">
        <f>(5+6.9+24.85+95+47.5+745+79+149-4.6)/4.6</f>
        <v>249.48913043478265</v>
      </c>
      <c r="H10" s="5">
        <f>(5+6.9+24.85)/4.6</f>
        <v>7.9891304347826093</v>
      </c>
      <c r="I10" s="6" t="s">
        <v>26</v>
      </c>
      <c r="J10" s="7">
        <f>(95+47.5+745+79+149)/4.6</f>
        <v>242.50000000000003</v>
      </c>
      <c r="K10" s="8" t="s">
        <v>26</v>
      </c>
      <c r="L10" s="14">
        <v>1</v>
      </c>
      <c r="M10" s="14">
        <v>0</v>
      </c>
      <c r="N10" s="14">
        <v>65</v>
      </c>
      <c r="O10" t="s">
        <v>30</v>
      </c>
    </row>
    <row r="11" spans="1:15" x14ac:dyDescent="0.25">
      <c r="A11" s="2" t="s">
        <v>31</v>
      </c>
      <c r="B11" t="s">
        <v>32</v>
      </c>
      <c r="C11" s="2">
        <v>23.42</v>
      </c>
      <c r="D11" s="2">
        <f t="shared" si="0"/>
        <v>23.42</v>
      </c>
      <c r="E11" s="2">
        <v>24.78</v>
      </c>
      <c r="F11" s="1">
        <f>(5+2.31+18.559-11.5)/11.5</f>
        <v>1.2494782608695651</v>
      </c>
      <c r="G11" s="4">
        <f>(5+2.31+18.559+39.386+35.343+517.37+94.8+2.94+161.7+219.45+181.5+6829.8+2328.2+165+165+142.112+62.832-11.5)/11.5</f>
        <v>953.02626086956514</v>
      </c>
      <c r="H11" s="5">
        <f>(5+2.31+18.559)/11.5</f>
        <v>2.2494782608695654</v>
      </c>
      <c r="I11" s="6">
        <f>(39.386+35.343+517.37)/11.5</f>
        <v>51.486869565217397</v>
      </c>
      <c r="J11" s="7">
        <f>(94.8+2.94+161.7+219.45+181.5+6829.8+2328.2)/11.5</f>
        <v>853.77304347826077</v>
      </c>
      <c r="K11" s="8">
        <f>(165+165+142.112+62.832-11.5)/11.5</f>
        <v>45.516869565217391</v>
      </c>
      <c r="L11" s="14">
        <v>2</v>
      </c>
      <c r="M11" s="14">
        <v>1</v>
      </c>
      <c r="N11" s="14">
        <v>73</v>
      </c>
      <c r="O11" s="3" t="s">
        <v>33</v>
      </c>
    </row>
    <row r="12" spans="1:15" x14ac:dyDescent="0.25">
      <c r="A12" s="2" t="s">
        <v>34</v>
      </c>
      <c r="B12" t="s">
        <v>35</v>
      </c>
      <c r="C12" s="2">
        <v>23.17</v>
      </c>
      <c r="D12" s="2">
        <f>D11+C12</f>
        <v>46.59</v>
      </c>
      <c r="E12" s="15">
        <f>(100/3.95)+5*24.78</f>
        <v>149.21645569620253</v>
      </c>
      <c r="F12" s="1">
        <f>(5+5*1.2+8.019+1.66+2.29+0.358-3.95)/3.95</f>
        <v>4.9055696202531642</v>
      </c>
      <c r="G12" s="4">
        <f>(5+5*953+8.019+1.66+2.29+0.358+35.805+10.71+2+5.335+1.5+188.16+16.281+26.25+133+99.75+2794.44+423+500+129.195+19.04+300+9.52-3.95)/3.95</f>
        <v>2398.0665822784813</v>
      </c>
      <c r="H12" s="5">
        <f>(5+5*2+8.019+1.66+2.29+0.358)/3.95</f>
        <v>6.9182278481012647</v>
      </c>
      <c r="I12" s="6">
        <f>(5*51+35.805+10.71+2+5.335+1.5+188.16)/3.95</f>
        <v>126.20506329113923</v>
      </c>
      <c r="J12" s="7">
        <f>(5*854+16.281+26.25+133+99.75+2794.44+423)/3.95</f>
        <v>1965.2458227848099</v>
      </c>
      <c r="K12" s="8">
        <f>(5*46+500+129.195+19.04+300+9.52)/3.95</f>
        <v>300.69746835443033</v>
      </c>
      <c r="L12" s="14">
        <v>4</v>
      </c>
      <c r="M12" s="14">
        <v>2</v>
      </c>
      <c r="N12" s="14">
        <f>N11*0.71</f>
        <v>51.83</v>
      </c>
      <c r="O12" s="3" t="s">
        <v>33</v>
      </c>
    </row>
    <row r="13" spans="1:15" x14ac:dyDescent="0.25">
      <c r="A13" s="2" t="s">
        <v>36</v>
      </c>
      <c r="B13" t="s">
        <v>37</v>
      </c>
      <c r="C13" s="2">
        <v>21.25</v>
      </c>
      <c r="D13" s="2">
        <f>D5+C13</f>
        <v>66.739999999999995</v>
      </c>
      <c r="E13" s="15">
        <f>(15/1.24)+0.872*34.24</f>
        <v>41.954054193548387</v>
      </c>
      <c r="F13" s="1">
        <f>(0.872+0.872*12.3+1.32+0.872-1.24)/1.24</f>
        <v>10.120645161290323</v>
      </c>
      <c r="G13" s="4">
        <f>(0.872+0.872*2428+1.32+0.872+61.28+19.95+697.06+414-1.24)/1.24</f>
        <v>2670.4274193548385</v>
      </c>
      <c r="H13" s="5">
        <f>(0.872+0.872*14+1.32+0.872)/1.24</f>
        <v>12.316129032258065</v>
      </c>
      <c r="I13" s="6">
        <f>(0.872*147+61.28)/1.24</f>
        <v>152.79354838709676</v>
      </c>
      <c r="J13" s="7">
        <f>(0.872*2070+19.95+697.06+414)/1.24</f>
        <v>2367.7822580645161</v>
      </c>
      <c r="K13" s="8">
        <f>(0.872*199)/1.24</f>
        <v>139.94193548387096</v>
      </c>
      <c r="L13" s="14">
        <v>5</v>
      </c>
      <c r="M13" s="14">
        <v>3</v>
      </c>
      <c r="N13" s="14">
        <f>N5*0.87</f>
        <v>29.927999999999997</v>
      </c>
      <c r="O13" t="s">
        <v>40</v>
      </c>
    </row>
    <row r="14" spans="1:15" x14ac:dyDescent="0.25">
      <c r="A14" s="2" t="s">
        <v>38</v>
      </c>
      <c r="B14" t="s">
        <v>39</v>
      </c>
      <c r="C14" s="2">
        <v>5.16</v>
      </c>
      <c r="D14" s="2">
        <f>D6+C14</f>
        <v>147.32</v>
      </c>
      <c r="E14" s="15">
        <f>(5/0.347)+0.505*32.52</f>
        <v>30.831821902017296</v>
      </c>
      <c r="F14" s="1">
        <f>(0.505+0.505*5.9+0.321-0.347)/0.347</f>
        <v>9.9668587896253626</v>
      </c>
      <c r="G14" s="4">
        <f>(0.505+0.505*174+0.321+16.52+6.25+201.338+92.925-0.347)/0.347</f>
        <v>1168.2478386167147</v>
      </c>
      <c r="H14" s="5">
        <f>(0.505+0.505*7+0.321)/0.347</f>
        <v>12.567723342939482</v>
      </c>
      <c r="I14" s="6">
        <f>(0.505*1+16.52)/0.347</f>
        <v>49.063400576368878</v>
      </c>
      <c r="J14" s="7">
        <f>(0.505*84+6.25+201.338+92.925)/0.347</f>
        <v>988.27953890489914</v>
      </c>
      <c r="K14" s="8">
        <f>(0.505*83)/0.347</f>
        <v>120.79250720461096</v>
      </c>
      <c r="L14" s="14">
        <v>5</v>
      </c>
      <c r="M14" s="14">
        <v>1</v>
      </c>
      <c r="N14" s="14">
        <f>N6*0.75</f>
        <v>42.75</v>
      </c>
      <c r="O14" t="s">
        <v>13</v>
      </c>
    </row>
    <row r="15" spans="1:15" x14ac:dyDescent="0.25">
      <c r="A15" s="2" t="s">
        <v>42</v>
      </c>
      <c r="B15" t="s">
        <v>41</v>
      </c>
      <c r="C15" s="2">
        <v>21.25</v>
      </c>
      <c r="D15" s="2">
        <f>D14+C15</f>
        <v>168.57</v>
      </c>
      <c r="E15" s="15">
        <f>(15/1.742)+1.462*30.83</f>
        <v>53.684252192881743</v>
      </c>
      <c r="F15" s="1">
        <f>(1.462+1.462*10+1.32+0.872-1.742)/1.742</f>
        <v>9.4902411021814004</v>
      </c>
      <c r="G15" s="4">
        <f>(1.462+1.462*1168+1.32+0.872+73.08+19.95+831.35+533.7-1.742)/1.742</f>
        <v>1818.374282433984</v>
      </c>
      <c r="H15" s="5">
        <f>(1.462+1.462*13+1.32+0.872)/1.742</f>
        <v>13.008036739380023</v>
      </c>
      <c r="I15" s="6">
        <f>(1.462*49+73.08)/1.742</f>
        <v>83.075774971297363</v>
      </c>
      <c r="J15" s="7">
        <f>(1.462*988+19.95+831.35+533.7)/1.742</f>
        <v>1624.2571756601608</v>
      </c>
      <c r="K15" s="8">
        <f>(1.462*121)/1.742</f>
        <v>101.55109070034442</v>
      </c>
      <c r="L15" s="14">
        <v>6</v>
      </c>
      <c r="M15" s="14">
        <v>2</v>
      </c>
      <c r="N15" s="14">
        <f>N14*0.87</f>
        <v>37.192500000000003</v>
      </c>
      <c r="O15" t="s">
        <v>40</v>
      </c>
    </row>
    <row r="16" spans="1:15" x14ac:dyDescent="0.25">
      <c r="A16" s="2" t="s">
        <v>43</v>
      </c>
      <c r="B16" t="s">
        <v>44</v>
      </c>
      <c r="C16" s="2">
        <v>28</v>
      </c>
      <c r="D16" s="2">
        <f>C16</f>
        <v>28</v>
      </c>
      <c r="E16" s="2">
        <v>17.27</v>
      </c>
      <c r="F16" s="1">
        <f>(7.88+5.392+29.02+40.5+2.266+5.628+0.591-18.3)/18.3</f>
        <v>3.9878142076502732</v>
      </c>
      <c r="G16" s="4">
        <f>(7.88+5.392+29.02+40.5+2.266+5.628+0.591+8+47.25+11+10+1000+42.45+15.68+78.4+532+440+94.5+107.73+133+532+13000+4000+15+200+498.75+539-18.3)/18.3</f>
        <v>1168.182349726776</v>
      </c>
      <c r="H16" s="5">
        <f>(7.88+5.392+29.02+40.5+2.266+5.628+0.591)/18.3</f>
        <v>4.9878142076502732</v>
      </c>
      <c r="I16" s="6">
        <f>(8+47.25+11+10+1000)/18.3</f>
        <v>58.811475409836063</v>
      </c>
      <c r="J16" s="7">
        <f>(42.45+15.68+78.4+532+440+94.5+107.73+133+532+13000+4000)/18.3</f>
        <v>1036.9267759562842</v>
      </c>
      <c r="K16" s="8">
        <f>(15+200+498.75+539)/18.3</f>
        <v>68.456284153005456</v>
      </c>
      <c r="L16" s="14">
        <v>4</v>
      </c>
      <c r="M16" s="14">
        <v>1</v>
      </c>
      <c r="N16" s="14">
        <v>55</v>
      </c>
      <c r="O16" t="s">
        <v>45</v>
      </c>
    </row>
    <row r="17" spans="1:15" x14ac:dyDescent="0.25">
      <c r="A17" s="2" t="s">
        <v>46</v>
      </c>
      <c r="B17" t="s">
        <v>47</v>
      </c>
      <c r="C17" s="2">
        <v>9.25</v>
      </c>
      <c r="D17" s="2">
        <f>D16+C17</f>
        <v>37.25</v>
      </c>
      <c r="E17" s="15">
        <f>(70/3.87)+5*17.27</f>
        <v>104.43785529715761</v>
      </c>
      <c r="F17" s="1">
        <f>(5+5*4+0.15+1.25+3.762-3.87)/3.87</f>
        <v>6.7937984496124022</v>
      </c>
      <c r="G17" s="4">
        <f>(5+5*1168+0.15+1.25+3.762+42.84+4+150.24+53+45+90+32.5+15.8+0.79+180+2078.5+507.6+50+100+76.16-3.87)/3.87</f>
        <v>2396.0521963824285</v>
      </c>
      <c r="H17" s="5">
        <f>(5+5*5+0.15+1.25+3.762)/3.87</f>
        <v>9.0857881136950898</v>
      </c>
      <c r="I17" s="6">
        <f>(5*59+42.84+4+150.24)/3.87</f>
        <v>127.15245478036177</v>
      </c>
      <c r="J17" s="7">
        <f>(5*1037+53+45+90+32.5+15.8+0.79+180+2078.5+507.6)/3.87</f>
        <v>2115.8113695090442</v>
      </c>
      <c r="K17" s="8">
        <f>(5*68+50+100+76.16)/3.87</f>
        <v>146.29457364341084</v>
      </c>
      <c r="L17" s="14">
        <v>6</v>
      </c>
      <c r="M17" s="14">
        <v>2</v>
      </c>
      <c r="N17" s="14">
        <f>N16*0.82</f>
        <v>45.099999999999994</v>
      </c>
      <c r="O17" t="s">
        <v>45</v>
      </c>
    </row>
    <row r="18" spans="1:15" x14ac:dyDescent="0.25">
      <c r="A18" s="2" t="s">
        <v>49</v>
      </c>
      <c r="B18" t="s">
        <v>50</v>
      </c>
      <c r="C18" s="2">
        <v>4.58</v>
      </c>
      <c r="D18" s="2">
        <f>D4+C18</f>
        <v>45.91</v>
      </c>
      <c r="E18" s="2">
        <f>(30/2.4)+2.5*36.52</f>
        <v>103.80000000000001</v>
      </c>
      <c r="F18" s="1">
        <f>(2.5+2.5*7.2+1.07+5.5-2.4)/2.4</f>
        <v>10.279166666666669</v>
      </c>
      <c r="G18" s="4">
        <f>(2.5+2.5*967+1.07+5.5+7.161+12.852+1.2+181.4+39.9+39.9+1975.446+1346.895+25.839+22.848-2.4)/2.4</f>
        <v>2532.3379166666673</v>
      </c>
      <c r="H18" s="5">
        <f>(2.5+2.5*8+1.07+5.5)/2.4</f>
        <v>12.112500000000001</v>
      </c>
      <c r="I18" s="6">
        <f>(2.5*62+1.07+5.5+7.161+12.852+1.2+181.4)/2.4</f>
        <v>151.74291666666667</v>
      </c>
      <c r="J18" s="7">
        <f>(2.5*760+39.9+39.9+1975.446+1346.895)/2.4</f>
        <v>2209.2254166666667</v>
      </c>
      <c r="K18" s="8">
        <f>(2.5*138+25.839+22.848)/2.4</f>
        <v>164.03625000000002</v>
      </c>
      <c r="L18" s="14">
        <v>4</v>
      </c>
      <c r="M18" s="14">
        <v>2</v>
      </c>
      <c r="N18" s="14">
        <f>N4*0.8</f>
        <v>34.4</v>
      </c>
      <c r="O18" t="s">
        <v>51</v>
      </c>
    </row>
    <row r="19" spans="1:15" x14ac:dyDescent="0.25">
      <c r="A19" s="2" t="s">
        <v>137</v>
      </c>
      <c r="B19" t="s">
        <v>138</v>
      </c>
      <c r="C19" s="2">
        <v>22.58</v>
      </c>
      <c r="D19" s="2">
        <f>D18+C19</f>
        <v>68.489999999999995</v>
      </c>
      <c r="E19" s="15">
        <f>(50/1.63)+1.1*103.8</f>
        <v>144.85484662576687</v>
      </c>
      <c r="F19" s="1">
        <f>(1.1+1.1*10.3+0.522+2.205+1.76-1.63)/1.63</f>
        <v>9.3785276073619652</v>
      </c>
      <c r="G19" s="4">
        <f>(1.1+1.1*2532+0.522+2.205+1.76+9.21+0.86+7.161+12.852+1.2+108.14+14.36+64.07+39.9+79.8+1026.96+1033.2+1.82+23.46+16.374+25.839+22.848-1.63)/1.63</f>
        <v>3237.5527607361969</v>
      </c>
      <c r="H19" s="5">
        <f>(1.1+1.1*12+0.522+2.205+1.76)/1.63</f>
        <v>11.525766871165647</v>
      </c>
      <c r="I19" s="6">
        <f>(1.1*152+9.21+0.86+7.161+12.852+1.2+108.14)/1.63</f>
        <v>188.11226993865034</v>
      </c>
      <c r="J19" s="7">
        <f>(1.1*2209+14.36+64.07+39.9+79.8+1026.96+1033.2)/1.63</f>
        <v>2876.1901840490805</v>
      </c>
      <c r="K19" s="8">
        <f>(1.1*164+1.82+23.46+16.374+25.839+22.848)/1.63</f>
        <v>166.09877300613496</v>
      </c>
      <c r="L19" s="14">
        <v>5</v>
      </c>
      <c r="M19" s="14">
        <v>3</v>
      </c>
      <c r="N19" s="14">
        <f>N18*0.99</f>
        <v>34.055999999999997</v>
      </c>
      <c r="O19" t="s">
        <v>51</v>
      </c>
    </row>
    <row r="20" spans="1:15" x14ac:dyDescent="0.25">
      <c r="A20" s="2" t="s">
        <v>142</v>
      </c>
      <c r="B20" t="s">
        <v>143</v>
      </c>
      <c r="C20" s="2">
        <v>1.67</v>
      </c>
      <c r="D20" s="2">
        <f>C20</f>
        <v>1.67</v>
      </c>
      <c r="E20" s="2">
        <v>12</v>
      </c>
      <c r="F20" s="1">
        <f>(0.15+1.08-0.25)/0.25</f>
        <v>3.92</v>
      </c>
      <c r="G20" s="4">
        <f>(0.15+1.08+2.94-0.25)/0.25</f>
        <v>15.68</v>
      </c>
      <c r="H20" s="5">
        <f>(0.15+1.08)/0.25</f>
        <v>4.92</v>
      </c>
      <c r="I20" s="6" t="s">
        <v>26</v>
      </c>
      <c r="J20" s="7">
        <f>2.94/0.25</f>
        <v>11.76</v>
      </c>
      <c r="K20" s="8" t="s">
        <v>26</v>
      </c>
      <c r="L20" s="14">
        <v>1</v>
      </c>
      <c r="M20" s="14">
        <v>0</v>
      </c>
      <c r="N20" s="14">
        <v>99</v>
      </c>
      <c r="O20" t="s">
        <v>144</v>
      </c>
    </row>
    <row r="21" spans="1:15" x14ac:dyDescent="0.25">
      <c r="A21" s="2" t="s">
        <v>149</v>
      </c>
      <c r="B21" t="s">
        <v>150</v>
      </c>
      <c r="C21" s="2">
        <v>6.5</v>
      </c>
      <c r="D21" s="2">
        <f>C21</f>
        <v>6.5</v>
      </c>
      <c r="E21" s="2">
        <v>0</v>
      </c>
      <c r="F21" s="1">
        <f>(8.05+11.286-12.5)/12.5</f>
        <v>0.54687999999999992</v>
      </c>
      <c r="G21" s="4">
        <f>(8.05+11.286+0.4+270+29.8+13829.1+305.809+20+20-12.5)/12.5</f>
        <v>1158.5555999999999</v>
      </c>
      <c r="H21" s="5">
        <f>(8.05+11.286)/12.5</f>
        <v>1.5468799999999998</v>
      </c>
      <c r="I21" s="6">
        <f>(0.4+270)/12.5</f>
        <v>21.631999999999998</v>
      </c>
      <c r="J21" s="7">
        <f>(29.8+13829.1+305.809)/12.5</f>
        <v>1133.1767199999999</v>
      </c>
      <c r="K21" s="8">
        <f>(20+20)/12.5</f>
        <v>3.2</v>
      </c>
      <c r="L21" s="14">
        <v>1</v>
      </c>
      <c r="M21" s="14">
        <v>1</v>
      </c>
      <c r="N21" s="14">
        <v>81</v>
      </c>
      <c r="O21" t="s">
        <v>151</v>
      </c>
    </row>
    <row r="22" spans="1:15" x14ac:dyDescent="0.25">
      <c r="A22" s="2" t="s">
        <v>152</v>
      </c>
      <c r="B22" t="s">
        <v>153</v>
      </c>
      <c r="C22" s="2">
        <v>10.17</v>
      </c>
      <c r="D22" s="2">
        <f>D21+C22</f>
        <v>16.670000000000002</v>
      </c>
      <c r="E22" s="1">
        <f>50/3.47</f>
        <v>14.40922190201729</v>
      </c>
      <c r="F22" s="1">
        <f>(3.2+3.2*0.5+1.92-3.47)/3.47</f>
        <v>0.93659942363112403</v>
      </c>
      <c r="G22" s="4">
        <f>(3.2+3.2*1159+1.92+49+15.8+58.67+49.662+47.4-3.47)/3.47</f>
        <v>1132.8478386167149</v>
      </c>
      <c r="H22" s="5">
        <f>(3.2+3.2*2+1.92)/3.47</f>
        <v>3.3198847262247839</v>
      </c>
      <c r="I22" s="6">
        <f>(3.2*22)/3.47</f>
        <v>20.288184438040346</v>
      </c>
      <c r="J22" s="7">
        <f>(3.2*1133+49+15.8+58.67+49.662+47.4)/3.47</f>
        <v>1108.3953890489915</v>
      </c>
      <c r="K22" s="8">
        <f>(3.2*3)/3.47</f>
        <v>2.76657060518732</v>
      </c>
      <c r="L22" s="14">
        <v>2</v>
      </c>
      <c r="M22" s="14">
        <v>1</v>
      </c>
      <c r="N22" s="14">
        <f>N21</f>
        <v>81</v>
      </c>
      <c r="O22" t="s">
        <v>154</v>
      </c>
    </row>
    <row r="23" spans="1:15" x14ac:dyDescent="0.25">
      <c r="A23" s="2" t="s">
        <v>158</v>
      </c>
      <c r="B23" t="s">
        <v>159</v>
      </c>
      <c r="C23" s="2">
        <v>6.75</v>
      </c>
      <c r="D23" s="2">
        <f>D5+C23</f>
        <v>52.239999999999995</v>
      </c>
      <c r="E23" s="1">
        <f>(20/6.8)+4.42*34.24</f>
        <v>154.28197647058823</v>
      </c>
      <c r="F23" s="1">
        <f>(4.42+4.42*12.3+3.24+2.34+3.83+5.03-6.8)/6.8</f>
        <v>9.7685294117647068</v>
      </c>
      <c r="G23" s="4">
        <f>(4.42+4.42*2428+3.24+2.34+3.83+5.03+14.322+12.852+1.2+377.2+26.6+53.2+4086.292+2828.972+51.678+22.848-6.8)/6.8</f>
        <v>2679.2623529411776</v>
      </c>
      <c r="H23" s="5">
        <f>(4.42+4.42*14+3.24+2.34+3.83+5.03)/6.8</f>
        <v>11.873529411764705</v>
      </c>
      <c r="I23" s="6">
        <f>(4.42*147+14.322+12.852+1.2+377.2)/6.8</f>
        <v>155.19323529411767</v>
      </c>
      <c r="J23" s="7">
        <f>(4.42*2070+26.6+53.2+4086.292+2828.972)/6.8</f>
        <v>2374.185882352941</v>
      </c>
      <c r="K23" s="8">
        <f>(4.42*199+51.678+22.848)/6.8</f>
        <v>140.30970588235294</v>
      </c>
      <c r="L23" s="14">
        <v>5</v>
      </c>
      <c r="M23" s="14">
        <v>3</v>
      </c>
      <c r="N23" s="14">
        <f>N5*0.93</f>
        <v>31.992000000000001</v>
      </c>
      <c r="O23" t="s">
        <v>160</v>
      </c>
    </row>
    <row r="24" spans="1:15" x14ac:dyDescent="0.25">
      <c r="A24" s="2" t="s">
        <v>163</v>
      </c>
      <c r="B24" t="s">
        <v>164</v>
      </c>
      <c r="C24" s="2">
        <v>6.75</v>
      </c>
      <c r="D24" s="2">
        <f>D14+C24</f>
        <v>154.07</v>
      </c>
      <c r="E24" s="1">
        <f>(20/9.623)+7.4*30.83</f>
        <v>230.2203539436766</v>
      </c>
      <c r="F24" s="1">
        <f>(7.4+7.4*10+3.24+2.34+3.83+5.03-9.623)/9.623</f>
        <v>8.9594720980983062</v>
      </c>
      <c r="G24" s="4">
        <f>(7.4+7.4*1168+3.24+2.34+3.83+5.03+14.322+12.852+1.2+377.2+26.6+53.2+4731.953+3276.066+51.678+22.848-9.623)/9.623</f>
        <v>1789.8094149433657</v>
      </c>
      <c r="H24" s="5">
        <f>(7.4+7.4*13+3.24+2.34+3.83+5.03)/9.623</f>
        <v>12.266444975579343</v>
      </c>
      <c r="I24" s="6">
        <f>(7.4*49+14.322+12.852+1.2+377.2)/9.623</f>
        <v>79.82687311649174</v>
      </c>
      <c r="J24" s="7">
        <f>(7.4*988+26.6+53.2+4731.953+3276.066)/9.623</f>
        <v>1600.2305933700511</v>
      </c>
      <c r="K24" s="8">
        <f>(7.4*121+51.678+22.848)/9.623</f>
        <v>100.7924763587239</v>
      </c>
      <c r="L24" s="14">
        <v>6</v>
      </c>
      <c r="M24" s="14">
        <v>2</v>
      </c>
      <c r="N24" s="14">
        <f>N14*0.93</f>
        <v>39.7575</v>
      </c>
      <c r="O24" t="s">
        <v>160</v>
      </c>
    </row>
    <row r="25" spans="1:15" x14ac:dyDescent="0.25">
      <c r="A25" s="2" t="s">
        <v>168</v>
      </c>
      <c r="B25" s="24" t="s">
        <v>169</v>
      </c>
      <c r="C25" s="2">
        <v>21.58</v>
      </c>
      <c r="D25" s="2">
        <f>C25</f>
        <v>21.58</v>
      </c>
      <c r="E25" s="2">
        <v>18</v>
      </c>
      <c r="F25" s="1">
        <f>(10+0.374+24.736+11.151-16.8)/16.8</f>
        <v>1.7536309523809519</v>
      </c>
      <c r="G25" s="4">
        <f>(10+0.374+24.736+11.151+4+300.762+12.6+94.8+15.8+836.9+42+52.894+5.5+14.8+150+1085.238+655.2+630+2.488-16.8)/16.8</f>
        <v>234.07398809523806</v>
      </c>
      <c r="H25" s="5">
        <f>(10+0.374+24.736+11.151)/16.8</f>
        <v>2.7536309523809521</v>
      </c>
      <c r="I25" s="6">
        <f>(4+300.762+12.6)/16.8</f>
        <v>18.890595238095237</v>
      </c>
      <c r="J25" s="7">
        <f>(94.8+15.8+836.9+42+52.894+5.5+14.8)/16.8</f>
        <v>63.255595238095232</v>
      </c>
      <c r="K25" s="8">
        <f>(150+1085.238+655.2+630+2.488)/16.8</f>
        <v>150.17416666666665</v>
      </c>
      <c r="L25" s="14">
        <v>3</v>
      </c>
      <c r="M25" s="14">
        <v>0</v>
      </c>
      <c r="N25" s="14">
        <v>58</v>
      </c>
      <c r="O25" t="s">
        <v>170</v>
      </c>
    </row>
    <row r="26" spans="1:15" x14ac:dyDescent="0.25">
      <c r="A26" s="2" t="s">
        <v>214</v>
      </c>
      <c r="B26" t="s">
        <v>215</v>
      </c>
      <c r="C26" s="2">
        <v>23.42</v>
      </c>
      <c r="D26" s="2">
        <f>C26+D4</f>
        <v>64.75</v>
      </c>
      <c r="E26" s="15">
        <f>(6.8/0.42)+0.41*36.52</f>
        <v>31.163676190476188</v>
      </c>
      <c r="F26" s="1">
        <f>(0.41+0.41*7.2+0.278+0.385-0.42)/0.42</f>
        <v>8.5833333333333339</v>
      </c>
      <c r="G26" s="4">
        <f>(0.41+0.41*967+0.278+0.385+21.46+0.083+9.15+0.73+317.023+38.53-0.42)/0.42</f>
        <v>1866.9023809523812</v>
      </c>
      <c r="H26" s="5">
        <f>(0.41+0.41*8+0.278+0.385)/0.42</f>
        <v>10.364285714285714</v>
      </c>
      <c r="I26" s="6">
        <f>(0.41*62+21.46)/0.42</f>
        <v>111.61904761904761</v>
      </c>
      <c r="J26" s="7">
        <f>(0.41*760+0.083+9.15+0.73+317.023+38.53)/0.42</f>
        <v>1612.1809523809525</v>
      </c>
      <c r="K26" s="8">
        <f>(0.41*138)/0.42</f>
        <v>134.71428571428572</v>
      </c>
      <c r="L26" s="14">
        <v>4</v>
      </c>
      <c r="M26" s="14">
        <v>2</v>
      </c>
      <c r="N26" s="14">
        <f>N4*0.84</f>
        <v>36.119999999999997</v>
      </c>
      <c r="O26" t="s">
        <v>216</v>
      </c>
    </row>
    <row r="27" spans="1:15" x14ac:dyDescent="0.25">
      <c r="A27" s="2" t="s">
        <v>217</v>
      </c>
      <c r="B27" t="s">
        <v>218</v>
      </c>
      <c r="C27" s="2">
        <v>12.58</v>
      </c>
      <c r="D27" s="2">
        <f>D26+C27</f>
        <v>77.33</v>
      </c>
      <c r="E27" s="15">
        <f>(20.4/0.51)+0.42*31.16</f>
        <v>53.087199999999996</v>
      </c>
      <c r="F27" s="1">
        <f>(0.42+0.42*8.6+0.019+0.009+0.801-0.52)/0.52</f>
        <v>8.3480769230769241</v>
      </c>
      <c r="G27" s="4">
        <f>(0.42+0.42*1867+0.019+0.009+0.801+1.194+0.1+24.98+17.4+5.88+4.5+369.023+51.095+5.1+4.307-0.52)/0.52</f>
        <v>2439.3230769230768</v>
      </c>
      <c r="H27" s="5">
        <f>(0.42+0.42*10+0.019+0.009+0.801)/0.52</f>
        <v>10.478846153846154</v>
      </c>
      <c r="I27" s="6">
        <f>(0.42*112+1.194+0.1+24.98)/0.52</f>
        <v>140.98846153846154</v>
      </c>
      <c r="J27" s="7">
        <f>(0.42*1612+17.4+5.88+4.5+369.023+51.095)/0.52</f>
        <v>2163.3423076923073</v>
      </c>
      <c r="K27" s="8">
        <f>(0.42*135+5.1+4.307)/0.52</f>
        <v>127.12884615384615</v>
      </c>
      <c r="L27" s="14">
        <f>L26+2</f>
        <v>6</v>
      </c>
      <c r="M27" s="14">
        <f>M26+1</f>
        <v>3</v>
      </c>
      <c r="N27" s="14">
        <f>0.92*N26</f>
        <v>33.230399999999996</v>
      </c>
      <c r="O27" t="s">
        <v>216</v>
      </c>
    </row>
    <row r="28" spans="1:15" x14ac:dyDescent="0.25">
      <c r="A28" s="2" t="s">
        <v>219</v>
      </c>
      <c r="B28" t="s">
        <v>220</v>
      </c>
      <c r="C28" s="2">
        <v>13.92</v>
      </c>
      <c r="D28" s="2">
        <f>D27+C28</f>
        <v>91.25</v>
      </c>
      <c r="E28" s="15">
        <f>(18.244/0.436)+0.498*53.09</f>
        <v>68.282856697247709</v>
      </c>
      <c r="F28" s="1">
        <f>(0.498+0.498*8.3+0.086+0.068+0.063+0.378-0.436)/0.436</f>
        <v>10.987155963302753</v>
      </c>
      <c r="G28" s="4">
        <f>(0.498+0.498*2436+0.086+0.068+0.063+0.378+0.535+13.009+1.215+21.86+5.417+9.032+54.659+322.932+44.714+1.605+23.127-0.436)/0.436</f>
        <v>3926.3532110091742</v>
      </c>
      <c r="H28" s="5">
        <f>(0.498+0.498*10+0.086+0.068+0.063+0.378)/0.436</f>
        <v>13.928899082568808</v>
      </c>
      <c r="I28" s="6">
        <f>(0.498*141+0.535+13.009+1.215+21.86)/0.436</f>
        <v>245.03899082568807</v>
      </c>
      <c r="J28" s="7">
        <f>(0.498*2163+5.417+9.032+54.659+322.932+44.714)/0.436</f>
        <v>3472.3119266055041</v>
      </c>
      <c r="K28" s="8">
        <f>(0.498*127+1.605+23.127)/0.436</f>
        <v>201.78440366972475</v>
      </c>
      <c r="L28" s="14">
        <f>L27+1</f>
        <v>7</v>
      </c>
      <c r="M28" s="14">
        <f>M27+1</f>
        <v>4</v>
      </c>
      <c r="N28" s="14">
        <f>N27*0.91</f>
        <v>30.239663999999998</v>
      </c>
      <c r="O28" t="s">
        <v>216</v>
      </c>
    </row>
    <row r="29" spans="1:15" x14ac:dyDescent="0.25">
      <c r="A29" s="2" t="s">
        <v>225</v>
      </c>
      <c r="B29" t="s">
        <v>226</v>
      </c>
      <c r="C29" s="2">
        <v>6.75</v>
      </c>
      <c r="D29" s="2">
        <f>C29+D14</f>
        <v>154.07</v>
      </c>
      <c r="E29" s="15">
        <f>(8.7/0.56)+0.402*30.83</f>
        <v>27.929374285714282</v>
      </c>
      <c r="F29" s="1">
        <f>(0.402+0.402*10+0.215+0.106+0.3+0.337-0.56)/0.56</f>
        <v>8.6071428571428577</v>
      </c>
      <c r="G29" s="4">
        <f>(0.402+0.402*1168+0.215+0.106+0.3+0.337+5.591+0.522+27.2+11.571+23.142+368.333+102+26.1+9.939-0.56)/0.56</f>
        <v>1865.5964285714288</v>
      </c>
      <c r="H29" s="5">
        <f>(0.402+0.402*13+0.215+0.106+0.3+0.337)/0.56</f>
        <v>11.760714285714284</v>
      </c>
      <c r="I29" s="6">
        <f>(0.402*49+5.591+0.522+27.2)/0.56</f>
        <v>94.66249999999998</v>
      </c>
      <c r="J29" s="7">
        <f>(0.402*988+11.571+23.142+368.333+102)/0.56</f>
        <v>1611.1107142857143</v>
      </c>
      <c r="K29" s="8">
        <f>(0.402*121+26.1+9.939)/0.56</f>
        <v>151.21607142857144</v>
      </c>
      <c r="L29" s="14">
        <f>L14+1</f>
        <v>6</v>
      </c>
      <c r="M29" s="14">
        <f>M14+1</f>
        <v>2</v>
      </c>
      <c r="N29" s="14">
        <f>0.96*N14</f>
        <v>41.04</v>
      </c>
      <c r="O29" s="16" t="s">
        <v>227</v>
      </c>
    </row>
    <row r="30" spans="1:15" x14ac:dyDescent="0.25">
      <c r="E30" s="2"/>
      <c r="F30" s="2"/>
      <c r="G30" s="2"/>
      <c r="H30" s="5"/>
      <c r="I30" s="6"/>
      <c r="J30" s="7"/>
      <c r="K30" s="8"/>
      <c r="L30" s="14"/>
      <c r="M30" s="14"/>
      <c r="N30" s="14"/>
      <c r="O30" s="16"/>
    </row>
    <row r="31" spans="1:15" x14ac:dyDescent="0.25">
      <c r="E31" s="2"/>
      <c r="F31" s="2"/>
      <c r="G31" s="2"/>
      <c r="H31" s="5"/>
      <c r="I31" s="6"/>
      <c r="J31" s="7"/>
      <c r="K31" s="8"/>
      <c r="L31" s="14"/>
      <c r="M31" s="14"/>
      <c r="N31" s="14"/>
      <c r="O31" s="16"/>
    </row>
    <row r="32" spans="1:15" x14ac:dyDescent="0.25">
      <c r="E32" s="2"/>
      <c r="F32" s="2"/>
      <c r="G32" s="2"/>
      <c r="H32" s="5"/>
      <c r="I32" s="6"/>
      <c r="J32" s="4"/>
      <c r="K32" s="8"/>
      <c r="L32" s="14"/>
      <c r="M32" s="14"/>
      <c r="N32" s="14"/>
      <c r="O32" s="16"/>
    </row>
    <row r="33" spans="5:15" x14ac:dyDescent="0.25">
      <c r="E33" s="2"/>
      <c r="F33" s="2"/>
      <c r="G33" s="2"/>
      <c r="H33" s="17"/>
      <c r="I33" s="18"/>
      <c r="J33" s="2"/>
      <c r="K33" s="2"/>
      <c r="L33" s="21"/>
      <c r="M33" s="21"/>
      <c r="N33" s="21"/>
      <c r="O33" s="16"/>
    </row>
    <row r="34" spans="5:15" x14ac:dyDescent="0.25">
      <c r="E34" s="2"/>
      <c r="F34" s="2"/>
      <c r="G34" s="2"/>
      <c r="H34" s="17"/>
      <c r="I34" s="18"/>
      <c r="J34" s="2"/>
      <c r="K34" s="2"/>
      <c r="L34" s="21"/>
      <c r="M34" s="21"/>
      <c r="N34" s="21"/>
      <c r="O34" s="16"/>
    </row>
    <row r="35" spans="5:15" x14ac:dyDescent="0.25">
      <c r="E35" s="2"/>
      <c r="F35" s="2"/>
      <c r="G35" s="2"/>
      <c r="H35" s="17"/>
      <c r="I35" s="2"/>
      <c r="J35" s="2"/>
      <c r="K35" s="2"/>
      <c r="L35" s="21"/>
      <c r="M35" s="21"/>
      <c r="N35" s="21"/>
      <c r="O35" s="16"/>
    </row>
    <row r="36" spans="5:15" x14ac:dyDescent="0.25">
      <c r="H36" s="22"/>
      <c r="L36" s="16"/>
      <c r="M36" s="16"/>
      <c r="O36" s="16"/>
    </row>
    <row r="37" spans="5:15" x14ac:dyDescent="0.25">
      <c r="L37" s="16"/>
      <c r="M37" s="16"/>
      <c r="O37" s="16"/>
    </row>
    <row r="38" spans="5:15" x14ac:dyDescent="0.25">
      <c r="L38" s="16"/>
      <c r="M38" s="16"/>
      <c r="O38" s="16"/>
    </row>
    <row r="39" spans="5:15" x14ac:dyDescent="0.25">
      <c r="L39" s="16"/>
      <c r="M39" s="16"/>
      <c r="O39" s="16"/>
    </row>
    <row r="40" spans="5:15" x14ac:dyDescent="0.25">
      <c r="L40" s="16"/>
      <c r="M40" s="16"/>
      <c r="O40" s="16"/>
    </row>
    <row r="41" spans="5:15" x14ac:dyDescent="0.25">
      <c r="L41" s="16"/>
      <c r="M41" s="16"/>
      <c r="O41" s="16"/>
    </row>
  </sheetData>
  <mergeCells count="12">
    <mergeCell ref="O2:O3"/>
    <mergeCell ref="H2:K2"/>
    <mergeCell ref="A2:A3"/>
    <mergeCell ref="B2:B3"/>
    <mergeCell ref="C2:C3"/>
    <mergeCell ref="E2:E3"/>
    <mergeCell ref="F2:F3"/>
    <mergeCell ref="G2:G3"/>
    <mergeCell ref="N2:N3"/>
    <mergeCell ref="L2:L3"/>
    <mergeCell ref="M2:M3"/>
    <mergeCell ref="D2:D3"/>
  </mergeCells>
  <pageMargins left="0.7" right="0.7" top="0.78740157499999996" bottom="0.78740157499999996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Nucleosides</vt:lpstr>
      <vt:lpstr>Sugar Synthons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Kaspar</dc:creator>
  <cp:lastModifiedBy>Felix Kaspar</cp:lastModifiedBy>
  <dcterms:created xsi:type="dcterms:W3CDTF">2020-04-14T10:05:28Z</dcterms:created>
  <dcterms:modified xsi:type="dcterms:W3CDTF">2020-08-03T14:56:20Z</dcterms:modified>
</cp:coreProperties>
</file>