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3.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4.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5.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01"/>
  <workbookPr defaultThemeVersion="166925"/>
  <mc:AlternateContent xmlns:mc="http://schemas.openxmlformats.org/markup-compatibility/2006">
    <mc:Choice Requires="x15">
      <x15ac:absPath xmlns:x15ac="http://schemas.microsoft.com/office/spreadsheetml/2010/11/ac" url="C:\Users\owner\Desktop\"/>
    </mc:Choice>
  </mc:AlternateContent>
  <xr:revisionPtr revIDLastSave="0" documentId="13_ncr:1_{9F18991B-DEC8-43B8-B594-C4069FA7EF8A}" xr6:coauthVersionLast="45" xr6:coauthVersionMax="45" xr10:uidLastSave="{00000000-0000-0000-0000-000000000000}"/>
  <bookViews>
    <workbookView xWindow="-120" yWindow="-120" windowWidth="29040" windowHeight="15840" xr2:uid="{3C202EBC-9992-4FA6-B2AE-26246A902BEB}"/>
  </bookViews>
  <sheets>
    <sheet name="Cover" sheetId="79" r:id="rId1"/>
    <sheet name="Manual" sheetId="75" r:id="rId2"/>
    <sheet name="LIB(Gr-TMO)" sheetId="74" r:id="rId3"/>
    <sheet name="LMB(NCM622)" sheetId="77" r:id="rId4"/>
    <sheet name="LMB(NCM811)" sheetId="58" r:id="rId5"/>
    <sheet name="LMB(S)" sheetId="72" r:id="rId6"/>
    <sheet name="LMB(O2)" sheetId="76" r:id="rId7"/>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72" l="1"/>
  <c r="D7" i="76" l="1"/>
  <c r="D57" i="77" l="1"/>
  <c r="D51" i="77"/>
  <c r="L49" i="77"/>
  <c r="I46" i="77"/>
  <c r="D46" i="77"/>
  <c r="I45" i="77"/>
  <c r="I44" i="77"/>
  <c r="D44" i="77"/>
  <c r="I43" i="77"/>
  <c r="I42" i="77"/>
  <c r="D42" i="77"/>
  <c r="I41" i="77"/>
  <c r="I40" i="77"/>
  <c r="I39" i="77"/>
  <c r="I38" i="77"/>
  <c r="D38" i="77"/>
  <c r="I37" i="77"/>
  <c r="D37" i="77"/>
  <c r="D39" i="77" s="1"/>
  <c r="I36" i="77"/>
  <c r="P31" i="77"/>
  <c r="J31" i="77"/>
  <c r="D31" i="77"/>
  <c r="X30" i="77"/>
  <c r="X29" i="77"/>
  <c r="X28" i="77"/>
  <c r="D28" i="77"/>
  <c r="D29" i="77" s="1"/>
  <c r="X27" i="77"/>
  <c r="J27" i="77"/>
  <c r="J28" i="77" s="1"/>
  <c r="D27" i="77"/>
  <c r="X26" i="77"/>
  <c r="V24" i="77"/>
  <c r="P24" i="77"/>
  <c r="V23" i="77"/>
  <c r="P23" i="77"/>
  <c r="P25" i="77" s="1"/>
  <c r="D21" i="77"/>
  <c r="V19" i="77"/>
  <c r="V20" i="77" s="1"/>
  <c r="J49" i="77" s="1"/>
  <c r="Z17" i="77"/>
  <c r="V17" i="77"/>
  <c r="P17" i="77"/>
  <c r="P16" i="77"/>
  <c r="Y15" i="77"/>
  <c r="J15" i="77"/>
  <c r="D15" i="77"/>
  <c r="J14" i="77"/>
  <c r="D14" i="77"/>
  <c r="J13" i="77"/>
  <c r="J16" i="77" s="1"/>
  <c r="D13" i="77"/>
  <c r="D16" i="77" s="1"/>
  <c r="V12" i="77"/>
  <c r="P10" i="77"/>
  <c r="P11" i="77" s="1"/>
  <c r="V9" i="77"/>
  <c r="V8" i="77"/>
  <c r="V13" i="77" s="1"/>
  <c r="V14" i="77" s="1"/>
  <c r="S8" i="77"/>
  <c r="M8" i="77"/>
  <c r="G8" i="77"/>
  <c r="M7" i="77"/>
  <c r="G7" i="77"/>
  <c r="J39" i="77" l="1"/>
  <c r="D36" i="77"/>
  <c r="D45" i="77" s="1"/>
  <c r="D47" i="77" s="1"/>
  <c r="V29" i="77" s="1"/>
  <c r="J29" i="77"/>
  <c r="J43" i="77" s="1"/>
  <c r="L43" i="77"/>
  <c r="D17" i="77"/>
  <c r="Z31" i="77"/>
  <c r="D43" i="77"/>
  <c r="Z18" i="77" s="1"/>
  <c r="J17" i="77"/>
  <c r="Z32" i="77"/>
  <c r="R10" i="77"/>
  <c r="Q10" i="77"/>
  <c r="P26" i="77"/>
  <c r="L44" i="77"/>
  <c r="V10" i="77"/>
  <c r="P18" i="77"/>
  <c r="L39" i="77"/>
  <c r="J44" i="77"/>
  <c r="P20" i="77"/>
  <c r="Q3" i="76"/>
  <c r="Q3" i="72"/>
  <c r="Q3" i="58"/>
  <c r="Q2" i="58"/>
  <c r="Q3" i="74"/>
  <c r="Q2" i="74"/>
  <c r="V28" i="77" l="1"/>
  <c r="V30" i="77" s="1"/>
  <c r="V32" i="77" s="1"/>
  <c r="J50" i="77" s="1"/>
  <c r="D52" i="77"/>
  <c r="Y24" i="77"/>
  <c r="Z24" i="77" s="1"/>
  <c r="P21" i="77"/>
  <c r="Z19" i="77"/>
  <c r="L47" i="77" s="1"/>
  <c r="Z8" i="77"/>
  <c r="Z14" i="77"/>
  <c r="Z12" i="77"/>
  <c r="J47" i="77"/>
  <c r="Z15" i="77"/>
  <c r="Z13" i="77"/>
  <c r="Z10" i="77"/>
  <c r="Z7" i="77"/>
  <c r="Z9" i="77"/>
  <c r="Z11" i="77"/>
  <c r="J45" i="77"/>
  <c r="Z29" i="77"/>
  <c r="Q11" i="77"/>
  <c r="P29" i="77" s="1"/>
  <c r="P27" i="77"/>
  <c r="P28" i="77" s="1"/>
  <c r="S10" i="77"/>
  <c r="Z30" i="77"/>
  <c r="J46" i="77"/>
  <c r="R11" i="77"/>
  <c r="L46" i="77" s="1"/>
  <c r="D56" i="77"/>
  <c r="J21" i="77"/>
  <c r="J10" i="77"/>
  <c r="D10" i="77"/>
  <c r="P19" i="77"/>
  <c r="P33" i="77"/>
  <c r="V11" i="77"/>
  <c r="J48" i="77" s="1"/>
  <c r="L48" i="77"/>
  <c r="J32" i="77"/>
  <c r="D32" i="77"/>
  <c r="P32" i="77"/>
  <c r="L3" i="58"/>
  <c r="L3" i="74"/>
  <c r="V31" i="77" l="1"/>
  <c r="L50" i="77" s="1"/>
  <c r="Y25" i="77"/>
  <c r="Z25" i="77" s="1"/>
  <c r="P30" i="77"/>
  <c r="D11" i="77"/>
  <c r="G10" i="77"/>
  <c r="D20" i="77"/>
  <c r="J36" i="77"/>
  <c r="D40" i="77"/>
  <c r="J11" i="77"/>
  <c r="M10" i="77"/>
  <c r="J40" i="77"/>
  <c r="J20" i="77"/>
  <c r="L45" i="77"/>
  <c r="S11" i="77"/>
  <c r="S9" i="77" s="1"/>
  <c r="D58" i="77"/>
  <c r="I3" i="77"/>
  <c r="D7" i="58"/>
  <c r="D60" i="77" l="1"/>
  <c r="Q3" i="77" s="1"/>
  <c r="L36" i="77"/>
  <c r="L10" i="77"/>
  <c r="K10" i="77"/>
  <c r="J18" i="77"/>
  <c r="D18" i="77"/>
  <c r="F10" i="77"/>
  <c r="E10" i="77"/>
  <c r="L40" i="77"/>
  <c r="D46" i="76"/>
  <c r="D46" i="72"/>
  <c r="D46" i="58"/>
  <c r="D46" i="74"/>
  <c r="D47" i="74" s="1"/>
  <c r="D45" i="76"/>
  <c r="D45" i="72"/>
  <c r="D45" i="58"/>
  <c r="D45" i="74"/>
  <c r="J33" i="77" l="1"/>
  <c r="J19" i="77"/>
  <c r="J41" i="77"/>
  <c r="Z27" i="77"/>
  <c r="K11" i="77"/>
  <c r="J37" i="77"/>
  <c r="E11" i="77"/>
  <c r="J42" i="77"/>
  <c r="Z28" i="77"/>
  <c r="L11" i="77"/>
  <c r="L42" i="77" s="1"/>
  <c r="Z26" i="77"/>
  <c r="J38" i="77"/>
  <c r="F11" i="77"/>
  <c r="L38" i="77" s="1"/>
  <c r="D19" i="77"/>
  <c r="D33" i="77"/>
  <c r="D41" i="77" s="1"/>
  <c r="D54" i="77" s="1"/>
  <c r="F10" i="76"/>
  <c r="E10" i="76" s="1"/>
  <c r="E11" i="76" s="1"/>
  <c r="G8" i="76"/>
  <c r="G7" i="76"/>
  <c r="D57" i="76"/>
  <c r="D51" i="76"/>
  <c r="D47" i="76"/>
  <c r="V29" i="76" s="1"/>
  <c r="I46" i="76"/>
  <c r="I45" i="76"/>
  <c r="I44" i="76"/>
  <c r="D44" i="76"/>
  <c r="I43" i="76"/>
  <c r="I42" i="76"/>
  <c r="D42" i="76"/>
  <c r="I41" i="76"/>
  <c r="I40" i="76"/>
  <c r="I39" i="76"/>
  <c r="I38" i="76"/>
  <c r="D38" i="76"/>
  <c r="I37" i="76"/>
  <c r="D37" i="76"/>
  <c r="D39" i="76" s="1"/>
  <c r="I36" i="76"/>
  <c r="P31" i="76"/>
  <c r="D36" i="76" s="1"/>
  <c r="J31" i="76"/>
  <c r="D31" i="76"/>
  <c r="X30" i="76"/>
  <c r="X29" i="76"/>
  <c r="J29" i="76"/>
  <c r="J43" i="76" s="1"/>
  <c r="X28" i="76"/>
  <c r="J28" i="76"/>
  <c r="L43" i="76" s="1"/>
  <c r="X27" i="76"/>
  <c r="J27" i="76"/>
  <c r="D27" i="76"/>
  <c r="D28" i="76" s="1"/>
  <c r="X26" i="76"/>
  <c r="P24" i="76"/>
  <c r="V23" i="76"/>
  <c r="V24" i="76" s="1"/>
  <c r="P23" i="76"/>
  <c r="P25" i="76" s="1"/>
  <c r="D21" i="76"/>
  <c r="V19" i="76"/>
  <c r="L49" i="76" s="1"/>
  <c r="Z17" i="76"/>
  <c r="V17" i="76"/>
  <c r="P16" i="76"/>
  <c r="P17" i="76" s="1"/>
  <c r="Y15" i="76"/>
  <c r="J15" i="76"/>
  <c r="D15" i="76"/>
  <c r="J14" i="76"/>
  <c r="D14" i="76"/>
  <c r="J13" i="76"/>
  <c r="J16" i="76" s="1"/>
  <c r="D13" i="76"/>
  <c r="D16" i="76" s="1"/>
  <c r="V12" i="76"/>
  <c r="P10" i="76"/>
  <c r="J44" i="76" s="1"/>
  <c r="V9" i="76"/>
  <c r="V8" i="76"/>
  <c r="V10" i="76" s="1"/>
  <c r="S8" i="76"/>
  <c r="M8" i="76"/>
  <c r="M7" i="76"/>
  <c r="D10" i="76"/>
  <c r="D19" i="76" s="1"/>
  <c r="L11" i="72"/>
  <c r="K11" i="72"/>
  <c r="L10" i="72"/>
  <c r="K10" i="72"/>
  <c r="L11" i="58"/>
  <c r="K11" i="58"/>
  <c r="R10" i="72"/>
  <c r="R11" i="72" s="1"/>
  <c r="Q10" i="72"/>
  <c r="Q11" i="72" s="1"/>
  <c r="R10" i="58"/>
  <c r="R11" i="58" s="1"/>
  <c r="Q10" i="58"/>
  <c r="Q11" i="58" s="1"/>
  <c r="K11" i="74"/>
  <c r="R11" i="74"/>
  <c r="Q11" i="74"/>
  <c r="P20" i="72"/>
  <c r="P21" i="72" s="1"/>
  <c r="P20" i="58"/>
  <c r="P21" i="58" s="1"/>
  <c r="P25" i="72"/>
  <c r="P26" i="72" s="1"/>
  <c r="P24" i="72"/>
  <c r="P23" i="72"/>
  <c r="P25" i="58"/>
  <c r="P26" i="58" s="1"/>
  <c r="P24" i="58"/>
  <c r="P23" i="58"/>
  <c r="P26" i="74"/>
  <c r="Y24" i="58"/>
  <c r="Z24" i="58" s="1"/>
  <c r="Z23" i="74"/>
  <c r="Z24" i="74"/>
  <c r="Z22" i="74"/>
  <c r="J51" i="77" l="1"/>
  <c r="K42" i="77" s="1"/>
  <c r="D55" i="77"/>
  <c r="D59" i="77"/>
  <c r="Q2" i="77" s="1"/>
  <c r="L37" i="77"/>
  <c r="G11" i="77"/>
  <c r="L41" i="77"/>
  <c r="M11" i="77"/>
  <c r="D52" i="76"/>
  <c r="V28" i="76"/>
  <c r="V30" i="76" s="1"/>
  <c r="V31" i="76" s="1"/>
  <c r="L50" i="76" s="1"/>
  <c r="G10" i="76"/>
  <c r="D11" i="76"/>
  <c r="Z18" i="76"/>
  <c r="P32" i="76"/>
  <c r="Z32" i="76"/>
  <c r="J17" i="76"/>
  <c r="V11" i="76"/>
  <c r="D17" i="76"/>
  <c r="D43" i="76"/>
  <c r="Z31" i="76"/>
  <c r="P26" i="76"/>
  <c r="R10" i="76"/>
  <c r="Q10" i="76"/>
  <c r="D29" i="76"/>
  <c r="J39" i="76" s="1"/>
  <c r="L39" i="76"/>
  <c r="P11" i="76"/>
  <c r="V20" i="76"/>
  <c r="J49" i="76" s="1"/>
  <c r="S10" i="76"/>
  <c r="V13" i="76"/>
  <c r="V14" i="76" s="1"/>
  <c r="P18" i="76"/>
  <c r="I3" i="72"/>
  <c r="I3" i="58"/>
  <c r="I3" i="74"/>
  <c r="D57" i="72"/>
  <c r="D57" i="58"/>
  <c r="D57" i="74"/>
  <c r="D44" i="72"/>
  <c r="D44" i="58"/>
  <c r="D44" i="74"/>
  <c r="D21" i="72"/>
  <c r="Z17" i="72"/>
  <c r="D42" i="72"/>
  <c r="D42" i="58"/>
  <c r="Z17" i="58"/>
  <c r="D21" i="58"/>
  <c r="Z17" i="74"/>
  <c r="D42" i="74"/>
  <c r="D21" i="74"/>
  <c r="P10" i="72"/>
  <c r="S8" i="72"/>
  <c r="S8" i="58"/>
  <c r="R10" i="74"/>
  <c r="Q10" i="74"/>
  <c r="P10" i="74"/>
  <c r="K49" i="77" l="1"/>
  <c r="K39" i="77"/>
  <c r="K43" i="77"/>
  <c r="K44" i="77"/>
  <c r="K46" i="77"/>
  <c r="K50" i="77"/>
  <c r="K47" i="77"/>
  <c r="K45" i="77"/>
  <c r="K48" i="77"/>
  <c r="K36" i="77"/>
  <c r="K40" i="77"/>
  <c r="D22" i="77"/>
  <c r="G9" i="77"/>
  <c r="L51" i="77"/>
  <c r="M37" i="77" s="1"/>
  <c r="J22" i="77"/>
  <c r="M9" i="77"/>
  <c r="K41" i="77"/>
  <c r="K38" i="77"/>
  <c r="K37" i="77"/>
  <c r="V32" i="76"/>
  <c r="J50" i="76" s="1"/>
  <c r="L36" i="76"/>
  <c r="G11" i="76"/>
  <c r="J45" i="76"/>
  <c r="P27" i="76"/>
  <c r="P28" i="76" s="1"/>
  <c r="Q11" i="76"/>
  <c r="L45" i="76" s="1"/>
  <c r="Z29" i="76"/>
  <c r="D56" i="76"/>
  <c r="J10" i="76"/>
  <c r="J21" i="76"/>
  <c r="J32" i="76"/>
  <c r="L44" i="76"/>
  <c r="L48" i="76"/>
  <c r="Z15" i="76"/>
  <c r="Z14" i="76"/>
  <c r="Z13" i="76"/>
  <c r="Z12" i="76"/>
  <c r="Z9" i="76"/>
  <c r="Z7" i="76"/>
  <c r="J47" i="76"/>
  <c r="Z11" i="76"/>
  <c r="Z8" i="76"/>
  <c r="Z19" i="76"/>
  <c r="L47" i="76" s="1"/>
  <c r="Z10" i="76"/>
  <c r="D32" i="76"/>
  <c r="P20" i="76"/>
  <c r="J46" i="76"/>
  <c r="R11" i="76"/>
  <c r="L46" i="76" s="1"/>
  <c r="Z30" i="76"/>
  <c r="P19" i="76"/>
  <c r="P33" i="76"/>
  <c r="J48" i="76"/>
  <c r="P27" i="72"/>
  <c r="P28" i="72" s="1"/>
  <c r="S10" i="72"/>
  <c r="P11" i="72"/>
  <c r="S11" i="72" s="1"/>
  <c r="D7" i="74"/>
  <c r="M41" i="77" l="1"/>
  <c r="M49" i="77"/>
  <c r="D53" i="77"/>
  <c r="L3" i="77" s="1"/>
  <c r="M44" i="77"/>
  <c r="M43" i="77"/>
  <c r="M39" i="77"/>
  <c r="M48" i="77"/>
  <c r="M47" i="77"/>
  <c r="M46" i="77"/>
  <c r="M50" i="77"/>
  <c r="M45" i="77"/>
  <c r="M36" i="77"/>
  <c r="M40" i="77"/>
  <c r="M42" i="77"/>
  <c r="M38" i="77"/>
  <c r="K51" i="77"/>
  <c r="Y23" i="77"/>
  <c r="Z23" i="77" s="1"/>
  <c r="J23" i="77"/>
  <c r="D23" i="77"/>
  <c r="Y22" i="77"/>
  <c r="Z22" i="77" s="1"/>
  <c r="J36" i="76"/>
  <c r="D20" i="76"/>
  <c r="P21" i="76"/>
  <c r="Y24" i="76"/>
  <c r="Z24" i="76" s="1"/>
  <c r="J40" i="76"/>
  <c r="J20" i="76"/>
  <c r="M10" i="76"/>
  <c r="J11" i="76"/>
  <c r="S11" i="76"/>
  <c r="S9" i="76" s="1"/>
  <c r="J37" i="76"/>
  <c r="D58" i="76"/>
  <c r="I3" i="76"/>
  <c r="P29" i="76"/>
  <c r="D40" i="76"/>
  <c r="S9" i="72"/>
  <c r="X30" i="72"/>
  <c r="X29" i="72"/>
  <c r="X28" i="72"/>
  <c r="X27" i="72"/>
  <c r="X26" i="72"/>
  <c r="X30" i="58"/>
  <c r="X29" i="58"/>
  <c r="X28" i="58"/>
  <c r="X27" i="58"/>
  <c r="X26" i="58"/>
  <c r="X30" i="74"/>
  <c r="X29" i="74"/>
  <c r="X28" i="74"/>
  <c r="X27" i="74"/>
  <c r="X26" i="74"/>
  <c r="D51" i="74"/>
  <c r="I46" i="74"/>
  <c r="I45" i="74"/>
  <c r="I44" i="74"/>
  <c r="I43" i="74"/>
  <c r="I42" i="74"/>
  <c r="I41" i="74"/>
  <c r="I40" i="74"/>
  <c r="I39" i="74"/>
  <c r="I38" i="74"/>
  <c r="D38" i="74"/>
  <c r="I37" i="74"/>
  <c r="D37" i="74"/>
  <c r="D39" i="74" s="1"/>
  <c r="I36" i="74"/>
  <c r="P31" i="74"/>
  <c r="J31" i="74"/>
  <c r="D36" i="74" s="1"/>
  <c r="D31" i="74"/>
  <c r="J27" i="74"/>
  <c r="J28" i="74" s="1"/>
  <c r="D27" i="74"/>
  <c r="D28" i="74" s="1"/>
  <c r="P24" i="74"/>
  <c r="P23" i="74"/>
  <c r="V17" i="74"/>
  <c r="V23" i="74" s="1"/>
  <c r="V24" i="74" s="1"/>
  <c r="P17" i="74"/>
  <c r="P16" i="74"/>
  <c r="Y15" i="74"/>
  <c r="J15" i="74"/>
  <c r="D15" i="74"/>
  <c r="J14" i="74"/>
  <c r="D14" i="74"/>
  <c r="J13" i="74"/>
  <c r="D13" i="74"/>
  <c r="V12" i="74"/>
  <c r="J44" i="74"/>
  <c r="V9" i="74"/>
  <c r="V8" i="74"/>
  <c r="V13" i="74" s="1"/>
  <c r="V14" i="74" s="1"/>
  <c r="S8" i="74"/>
  <c r="M8" i="74"/>
  <c r="G8" i="74"/>
  <c r="M7" i="74"/>
  <c r="G7" i="74"/>
  <c r="Z33" i="77" l="1"/>
  <c r="Y33" i="77" s="1"/>
  <c r="M51" i="77"/>
  <c r="J18" i="76"/>
  <c r="L10" i="76"/>
  <c r="K10" i="76"/>
  <c r="Y25" i="76"/>
  <c r="Z25" i="76" s="1"/>
  <c r="P30" i="76"/>
  <c r="L37" i="76"/>
  <c r="D18" i="76"/>
  <c r="D60" i="76"/>
  <c r="L40" i="76"/>
  <c r="P11" i="74"/>
  <c r="J16" i="74"/>
  <c r="P20" i="74"/>
  <c r="Y24" i="74" s="1"/>
  <c r="P25" i="74"/>
  <c r="D16" i="74"/>
  <c r="D43" i="74" s="1"/>
  <c r="P18" i="74"/>
  <c r="P19" i="74" s="1"/>
  <c r="L43" i="74"/>
  <c r="J29" i="74"/>
  <c r="J43" i="74" s="1"/>
  <c r="Z29" i="74"/>
  <c r="Z30" i="74"/>
  <c r="Z32" i="74"/>
  <c r="J21" i="74"/>
  <c r="J17" i="74"/>
  <c r="L39" i="74"/>
  <c r="D29" i="74"/>
  <c r="J39" i="74" s="1"/>
  <c r="D17" i="74"/>
  <c r="Z31" i="74"/>
  <c r="V10" i="74"/>
  <c r="V19" i="74"/>
  <c r="L44" i="74"/>
  <c r="D33" i="76" l="1"/>
  <c r="Z26" i="76"/>
  <c r="J38" i="76"/>
  <c r="J19" i="76"/>
  <c r="J33" i="76"/>
  <c r="J42" i="76"/>
  <c r="Z28" i="76"/>
  <c r="L11" i="76"/>
  <c r="L42" i="76" s="1"/>
  <c r="J41" i="76"/>
  <c r="K11" i="76"/>
  <c r="Z27" i="76"/>
  <c r="P21" i="74"/>
  <c r="D56" i="74"/>
  <c r="D58" i="74" s="1"/>
  <c r="Z18" i="74"/>
  <c r="J10" i="74"/>
  <c r="D10" i="74"/>
  <c r="L48" i="74"/>
  <c r="V11" i="74"/>
  <c r="J48" i="74" s="1"/>
  <c r="J45" i="74"/>
  <c r="S10" i="74"/>
  <c r="P27" i="74"/>
  <c r="J46" i="74"/>
  <c r="L46" i="74"/>
  <c r="V20" i="74"/>
  <c r="J49" i="74" s="1"/>
  <c r="L49" i="74"/>
  <c r="P32" i="74"/>
  <c r="D32" i="74"/>
  <c r="J32" i="74"/>
  <c r="L41" i="76" l="1"/>
  <c r="M11" i="76"/>
  <c r="D41" i="76"/>
  <c r="D54" i="76" s="1"/>
  <c r="J51" i="76"/>
  <c r="K41" i="76" s="1"/>
  <c r="Z9" i="74"/>
  <c r="Z13" i="74"/>
  <c r="Z10" i="74"/>
  <c r="Z14" i="74"/>
  <c r="Z8" i="74"/>
  <c r="Z11" i="74"/>
  <c r="Z7" i="74"/>
  <c r="Z12" i="74"/>
  <c r="Z15" i="74"/>
  <c r="P29" i="74"/>
  <c r="P30" i="74" s="1"/>
  <c r="J47" i="74"/>
  <c r="Z19" i="74"/>
  <c r="L47" i="74" s="1"/>
  <c r="D20" i="74"/>
  <c r="D11" i="74"/>
  <c r="L36" i="74" s="1"/>
  <c r="J36" i="74"/>
  <c r="G10" i="74"/>
  <c r="M10" i="74"/>
  <c r="J11" i="74"/>
  <c r="L40" i="74" s="1"/>
  <c r="J40" i="74"/>
  <c r="J20" i="74"/>
  <c r="D40" i="74"/>
  <c r="L45" i="74"/>
  <c r="S11" i="74"/>
  <c r="S9" i="74" s="1"/>
  <c r="P28" i="74"/>
  <c r="P33" i="74"/>
  <c r="K42" i="76" l="1"/>
  <c r="D55" i="76"/>
  <c r="D59" i="76"/>
  <c r="Q2" i="76" s="1"/>
  <c r="K44" i="76"/>
  <c r="K43" i="76"/>
  <c r="K49" i="76"/>
  <c r="K50" i="76"/>
  <c r="K39" i="76"/>
  <c r="K47" i="76"/>
  <c r="K48" i="76"/>
  <c r="K46" i="76"/>
  <c r="K45" i="76"/>
  <c r="K37" i="76"/>
  <c r="K40" i="76"/>
  <c r="K36" i="76"/>
  <c r="D22" i="76"/>
  <c r="J22" i="76"/>
  <c r="M9" i="76"/>
  <c r="K38" i="76"/>
  <c r="L51" i="76"/>
  <c r="M41" i="76" s="1"/>
  <c r="Y25" i="74"/>
  <c r="Z25" i="74" s="1"/>
  <c r="L10" i="74"/>
  <c r="J18" i="74"/>
  <c r="K10" i="74"/>
  <c r="E10" i="74"/>
  <c r="F10" i="74"/>
  <c r="D18" i="74"/>
  <c r="M38" i="76" l="1"/>
  <c r="Y22" i="76"/>
  <c r="Z22" i="76" s="1"/>
  <c r="D23" i="76"/>
  <c r="K51" i="76"/>
  <c r="M49" i="76"/>
  <c r="D53" i="76"/>
  <c r="L3" i="76" s="1"/>
  <c r="M36" i="76"/>
  <c r="M43" i="76"/>
  <c r="M50" i="76"/>
  <c r="M39" i="76"/>
  <c r="M48" i="76"/>
  <c r="M44" i="76"/>
  <c r="M46" i="76"/>
  <c r="M47" i="76"/>
  <c r="M45" i="76"/>
  <c r="M40" i="76"/>
  <c r="M37" i="76"/>
  <c r="M42" i="76"/>
  <c r="J23" i="76"/>
  <c r="Y23" i="76"/>
  <c r="Z23" i="76" s="1"/>
  <c r="E11" i="74"/>
  <c r="J37" i="74"/>
  <c r="Z28" i="74"/>
  <c r="L11" i="74"/>
  <c r="L42" i="74" s="1"/>
  <c r="J42" i="74"/>
  <c r="D33" i="74"/>
  <c r="D19" i="74"/>
  <c r="J19" i="74"/>
  <c r="J33" i="74"/>
  <c r="Z26" i="74"/>
  <c r="F11" i="74"/>
  <c r="L38" i="74" s="1"/>
  <c r="J38" i="74"/>
  <c r="Z27" i="74"/>
  <c r="J41" i="74"/>
  <c r="M51" i="76" l="1"/>
  <c r="Z33" i="76"/>
  <c r="Y33" i="76" s="1"/>
  <c r="M11" i="74"/>
  <c r="L41" i="74"/>
  <c r="D41" i="74"/>
  <c r="L37" i="74"/>
  <c r="G11" i="74"/>
  <c r="G7" i="72"/>
  <c r="D51" i="72"/>
  <c r="D47" i="72"/>
  <c r="I46" i="72"/>
  <c r="I45" i="72"/>
  <c r="I44" i="72"/>
  <c r="I43" i="72"/>
  <c r="I42" i="72"/>
  <c r="I41" i="72"/>
  <c r="I40" i="72"/>
  <c r="I39" i="72"/>
  <c r="I38" i="72"/>
  <c r="D38" i="72"/>
  <c r="I37" i="72"/>
  <c r="D37" i="72"/>
  <c r="I36" i="72"/>
  <c r="P31" i="72"/>
  <c r="J31" i="72"/>
  <c r="D31" i="72"/>
  <c r="J27" i="72"/>
  <c r="J28" i="72" s="1"/>
  <c r="D27" i="72"/>
  <c r="D28" i="72" s="1"/>
  <c r="V17" i="72"/>
  <c r="V23" i="72" s="1"/>
  <c r="V24" i="72" s="1"/>
  <c r="P16" i="72"/>
  <c r="P17" i="72" s="1"/>
  <c r="Y15" i="72"/>
  <c r="J15" i="72"/>
  <c r="D15" i="72"/>
  <c r="J14" i="72"/>
  <c r="D14" i="72"/>
  <c r="J13" i="72"/>
  <c r="D13" i="72"/>
  <c r="V12" i="72"/>
  <c r="P18" i="72"/>
  <c r="V9" i="72"/>
  <c r="V8" i="72"/>
  <c r="V13" i="72" s="1"/>
  <c r="V14" i="72" s="1"/>
  <c r="M8" i="72"/>
  <c r="G8" i="72"/>
  <c r="M7" i="72"/>
  <c r="M7" i="58"/>
  <c r="J44" i="72" l="1"/>
  <c r="D16" i="72"/>
  <c r="D43" i="72" s="1"/>
  <c r="D36" i="72"/>
  <c r="D39" i="72"/>
  <c r="G9" i="74"/>
  <c r="D22" i="74"/>
  <c r="M9" i="74"/>
  <c r="J22" i="74"/>
  <c r="J16" i="72"/>
  <c r="J17" i="72" s="1"/>
  <c r="D52" i="72"/>
  <c r="V28" i="72"/>
  <c r="V29" i="72"/>
  <c r="L43" i="72"/>
  <c r="J29" i="72"/>
  <c r="J43" i="72" s="1"/>
  <c r="D17" i="72"/>
  <c r="Z31" i="72"/>
  <c r="Z29" i="72"/>
  <c r="P32" i="72"/>
  <c r="Z30" i="72"/>
  <c r="P19" i="72"/>
  <c r="L39" i="72"/>
  <c r="D29" i="72"/>
  <c r="J39" i="72" s="1"/>
  <c r="J21" i="72"/>
  <c r="V10" i="72"/>
  <c r="V19" i="72"/>
  <c r="L44" i="72"/>
  <c r="J23" i="74" l="1"/>
  <c r="Y23" i="74"/>
  <c r="J10" i="72"/>
  <c r="D56" i="72"/>
  <c r="D58" i="72" s="1"/>
  <c r="D60" i="72" s="1"/>
  <c r="Z18" i="72"/>
  <c r="D10" i="72"/>
  <c r="D23" i="74"/>
  <c r="Y22" i="74"/>
  <c r="Z32" i="72"/>
  <c r="V30" i="72"/>
  <c r="V20" i="72"/>
  <c r="J49" i="72" s="1"/>
  <c r="L49" i="72"/>
  <c r="J46" i="72"/>
  <c r="L46" i="72"/>
  <c r="V11" i="72"/>
  <c r="J48" i="72" s="1"/>
  <c r="L48" i="72"/>
  <c r="Y24" i="72"/>
  <c r="Z24" i="72" s="1"/>
  <c r="D32" i="72"/>
  <c r="J45" i="72"/>
  <c r="P29" i="72"/>
  <c r="J32" i="72"/>
  <c r="Z12" i="72" l="1"/>
  <c r="Z8" i="72"/>
  <c r="Z15" i="72"/>
  <c r="Z11" i="72"/>
  <c r="Z7" i="72"/>
  <c r="Z13" i="72"/>
  <c r="Z14" i="72"/>
  <c r="Z10" i="72"/>
  <c r="Z9" i="72"/>
  <c r="Z33" i="74"/>
  <c r="Y33" i="74" s="1"/>
  <c r="J47" i="72"/>
  <c r="Z19" i="72"/>
  <c r="L47" i="72" s="1"/>
  <c r="J36" i="72"/>
  <c r="G10" i="72"/>
  <c r="E10" i="72" s="1"/>
  <c r="D20" i="72"/>
  <c r="D11" i="72"/>
  <c r="L36" i="72" s="1"/>
  <c r="J11" i="72"/>
  <c r="L40" i="72" s="1"/>
  <c r="M10" i="72"/>
  <c r="J40" i="72"/>
  <c r="J20" i="72"/>
  <c r="V31" i="72"/>
  <c r="L50" i="72" s="1"/>
  <c r="V32" i="72"/>
  <c r="J50" i="72" s="1"/>
  <c r="L45" i="72"/>
  <c r="P33" i="72"/>
  <c r="P30" i="72"/>
  <c r="Y25" i="72"/>
  <c r="Z25" i="72" s="1"/>
  <c r="D40" i="72" l="1"/>
  <c r="J18" i="72"/>
  <c r="F10" i="72"/>
  <c r="D18" i="72"/>
  <c r="Z26" i="72" l="1"/>
  <c r="J38" i="72"/>
  <c r="F11" i="72"/>
  <c r="L38" i="72" s="1"/>
  <c r="J33" i="72"/>
  <c r="J19" i="72"/>
  <c r="J37" i="72"/>
  <c r="E11" i="72"/>
  <c r="Z27" i="72"/>
  <c r="J41" i="72"/>
  <c r="D33" i="72"/>
  <c r="D19" i="72"/>
  <c r="L42" i="72"/>
  <c r="Z28" i="72"/>
  <c r="J42" i="72"/>
  <c r="D41" i="72" l="1"/>
  <c r="D54" i="72" s="1"/>
  <c r="L37" i="72"/>
  <c r="G11" i="72"/>
  <c r="M11" i="72"/>
  <c r="L41" i="72"/>
  <c r="J51" i="72"/>
  <c r="K38" i="72" s="1"/>
  <c r="L51" i="72" l="1"/>
  <c r="D53" i="72" s="1"/>
  <c r="L3" i="72" s="1"/>
  <c r="D59" i="72"/>
  <c r="Q2" i="72" s="1"/>
  <c r="D55" i="72"/>
  <c r="M9" i="72"/>
  <c r="J22" i="72"/>
  <c r="K41" i="72"/>
  <c r="K50" i="72"/>
  <c r="K46" i="72"/>
  <c r="K43" i="72"/>
  <c r="K40" i="72"/>
  <c r="K49" i="72"/>
  <c r="K47" i="72"/>
  <c r="K48" i="72"/>
  <c r="K45" i="72"/>
  <c r="K37" i="72"/>
  <c r="K36" i="72"/>
  <c r="K44" i="72"/>
  <c r="K39" i="72"/>
  <c r="G9" i="72"/>
  <c r="D22" i="72"/>
  <c r="K42" i="72"/>
  <c r="M47" i="72" l="1"/>
  <c r="M36" i="72"/>
  <c r="M38" i="72"/>
  <c r="M39" i="72"/>
  <c r="M48" i="72"/>
  <c r="M50" i="72"/>
  <c r="M37" i="72"/>
  <c r="M44" i="72"/>
  <c r="M46" i="72"/>
  <c r="M49" i="72"/>
  <c r="M42" i="72"/>
  <c r="M43" i="72"/>
  <c r="M40" i="72"/>
  <c r="M45" i="72"/>
  <c r="M41" i="72"/>
  <c r="D23" i="72"/>
  <c r="Y22" i="72"/>
  <c r="Z22" i="72" s="1"/>
  <c r="K51" i="72"/>
  <c r="Y23" i="72"/>
  <c r="Z23" i="72" s="1"/>
  <c r="J23" i="72"/>
  <c r="M51" i="72" l="1"/>
  <c r="Z33" i="72"/>
  <c r="Y33" i="72" s="1"/>
  <c r="Y15" i="58"/>
  <c r="I46" i="58"/>
  <c r="I45" i="58"/>
  <c r="I44" i="58"/>
  <c r="I43" i="58"/>
  <c r="I42" i="58"/>
  <c r="I41" i="58"/>
  <c r="I40" i="58"/>
  <c r="I39" i="58"/>
  <c r="I38" i="58"/>
  <c r="I37" i="58"/>
  <c r="I36" i="58"/>
  <c r="J15" i="58" l="1"/>
  <c r="J14" i="58"/>
  <c r="J13" i="58"/>
  <c r="D14" i="58"/>
  <c r="D13" i="58"/>
  <c r="D15" i="58"/>
  <c r="P31" i="58" l="1"/>
  <c r="M8" i="58" l="1"/>
  <c r="G8" i="58"/>
  <c r="L46" i="58" l="1"/>
  <c r="Z30" i="58"/>
  <c r="P27" i="58" l="1"/>
  <c r="P28" i="58" s="1"/>
  <c r="Z29" i="58"/>
  <c r="P29" i="58"/>
  <c r="P30" i="58" l="1"/>
  <c r="Y25" i="58"/>
  <c r="Z25" i="58" s="1"/>
  <c r="L45" i="58"/>
  <c r="G7" i="58"/>
  <c r="D47" i="58"/>
  <c r="V28" i="58" l="1"/>
  <c r="V29" i="58"/>
  <c r="D37" i="58" l="1"/>
  <c r="D51" i="58" l="1"/>
  <c r="D52" i="58" s="1"/>
  <c r="J46" i="58"/>
  <c r="J45" i="58"/>
  <c r="D38" i="58"/>
  <c r="D39" i="58" s="1"/>
  <c r="J31" i="58"/>
  <c r="D31" i="58"/>
  <c r="J27" i="58"/>
  <c r="J28" i="58" s="1"/>
  <c r="D27" i="58"/>
  <c r="D28" i="58" s="1"/>
  <c r="V17" i="58"/>
  <c r="V23" i="58" s="1"/>
  <c r="V24" i="58" s="1"/>
  <c r="P16" i="58"/>
  <c r="P10" i="58" s="1"/>
  <c r="J16" i="58"/>
  <c r="D16" i="58"/>
  <c r="D43" i="58" s="1"/>
  <c r="V12" i="58"/>
  <c r="V9" i="58"/>
  <c r="V8" i="58"/>
  <c r="S10" i="58" l="1"/>
  <c r="P11" i="58"/>
  <c r="S11" i="58" s="1"/>
  <c r="D36" i="58"/>
  <c r="P17" i="58"/>
  <c r="P32" i="58" s="1"/>
  <c r="J44" i="58"/>
  <c r="D17" i="58"/>
  <c r="D32" i="58" s="1"/>
  <c r="V10" i="58"/>
  <c r="V13" i="58"/>
  <c r="V14" i="58" s="1"/>
  <c r="L39" i="58"/>
  <c r="D29" i="58"/>
  <c r="J39" i="58" s="1"/>
  <c r="V30" i="58"/>
  <c r="L43" i="58"/>
  <c r="J29" i="58"/>
  <c r="J43" i="58" s="1"/>
  <c r="J17" i="58"/>
  <c r="V19" i="58"/>
  <c r="Z31" i="58"/>
  <c r="Z32" i="58"/>
  <c r="S9" i="58" l="1"/>
  <c r="V11" i="58"/>
  <c r="J48" i="58" s="1"/>
  <c r="L48" i="58"/>
  <c r="P18" i="58"/>
  <c r="V32" i="58"/>
  <c r="J50" i="58" s="1"/>
  <c r="V20" i="58"/>
  <c r="J49" i="58" s="1"/>
  <c r="L49" i="58"/>
  <c r="V31" i="58"/>
  <c r="L50" i="58" s="1"/>
  <c r="J32" i="58"/>
  <c r="L44" i="58" l="1"/>
  <c r="P19" i="58"/>
  <c r="P33" i="58"/>
  <c r="D56" i="58" l="1"/>
  <c r="D58" i="58" s="1"/>
  <c r="J10" i="58"/>
  <c r="J40" i="58" s="1"/>
  <c r="D60" i="58" l="1"/>
  <c r="J20" i="58"/>
  <c r="M10" i="58"/>
  <c r="J11" i="58"/>
  <c r="D10" i="58"/>
  <c r="J21" i="58"/>
  <c r="Z18" i="58"/>
  <c r="Z12" i="58" l="1"/>
  <c r="Z8" i="58"/>
  <c r="Z9" i="58"/>
  <c r="Z11" i="58"/>
  <c r="Z7" i="58"/>
  <c r="Z13" i="58"/>
  <c r="Z14" i="58"/>
  <c r="Z10" i="58"/>
  <c r="Z15" i="58"/>
  <c r="J36" i="58"/>
  <c r="D11" i="58"/>
  <c r="G10" i="58"/>
  <c r="D20" i="58"/>
  <c r="L40" i="58"/>
  <c r="Z19" i="58"/>
  <c r="J47" i="58"/>
  <c r="J18" i="58"/>
  <c r="L10" i="58"/>
  <c r="K10" i="58"/>
  <c r="J41" i="58" l="1"/>
  <c r="Z27" i="58"/>
  <c r="L47" i="58"/>
  <c r="D40" i="58"/>
  <c r="D18" i="58"/>
  <c r="F10" i="58"/>
  <c r="E10" i="58"/>
  <c r="L42" i="58"/>
  <c r="Z28" i="58"/>
  <c r="J42" i="58"/>
  <c r="J19" i="58"/>
  <c r="J33" i="58"/>
  <c r="L36" i="58"/>
  <c r="D33" i="58" l="1"/>
  <c r="D41" i="58" s="1"/>
  <c r="D54" i="58" s="1"/>
  <c r="D19" i="58"/>
  <c r="L41" i="58"/>
  <c r="M11" i="58"/>
  <c r="J38" i="58"/>
  <c r="F11" i="58"/>
  <c r="L38" i="58" s="1"/>
  <c r="Z26" i="58"/>
  <c r="J37" i="58"/>
  <c r="E11" i="58"/>
  <c r="D55" i="58" l="1"/>
  <c r="D59" i="58"/>
  <c r="J22" i="58"/>
  <c r="Y23" i="58" s="1"/>
  <c r="Z23" i="58" s="1"/>
  <c r="M9" i="58"/>
  <c r="L37" i="58"/>
  <c r="G11" i="58"/>
  <c r="J51" i="58"/>
  <c r="K38" i="58" s="1"/>
  <c r="J23" i="58" l="1"/>
  <c r="K45" i="58"/>
  <c r="K49" i="58"/>
  <c r="K43" i="58"/>
  <c r="K39" i="58"/>
  <c r="K46" i="58"/>
  <c r="K48" i="58"/>
  <c r="K50" i="58"/>
  <c r="K44" i="58"/>
  <c r="K40" i="58"/>
  <c r="K47" i="58"/>
  <c r="K36" i="58"/>
  <c r="K41" i="58"/>
  <c r="K42" i="58"/>
  <c r="D22" i="58"/>
  <c r="Y22" i="58" s="1"/>
  <c r="Z22" i="58" s="1"/>
  <c r="G9" i="58"/>
  <c r="K37" i="58"/>
  <c r="L51" i="58"/>
  <c r="K51" i="58" l="1"/>
  <c r="D23" i="58"/>
  <c r="Z33" i="58"/>
  <c r="Y33" i="58" s="1"/>
  <c r="M45" i="58"/>
  <c r="M43" i="58"/>
  <c r="D53" i="58"/>
  <c r="M39" i="58"/>
  <c r="M50" i="58"/>
  <c r="M46" i="58"/>
  <c r="M49" i="58"/>
  <c r="M44" i="58"/>
  <c r="M48" i="58"/>
  <c r="M40" i="58"/>
  <c r="M47" i="58"/>
  <c r="M36" i="58"/>
  <c r="M42" i="58"/>
  <c r="M38" i="58"/>
  <c r="M41" i="58"/>
  <c r="M37" i="58"/>
  <c r="M51" i="58" l="1"/>
  <c r="D52" i="74"/>
  <c r="V28" i="74"/>
  <c r="V30" i="74" s="1"/>
  <c r="V29" i="74"/>
  <c r="V32" i="74" l="1"/>
  <c r="V31" i="74"/>
  <c r="L50" i="74" s="1"/>
  <c r="D60" i="74"/>
  <c r="L51" i="74" l="1"/>
  <c r="J50" i="74"/>
  <c r="D54" i="74"/>
  <c r="D55" i="74" l="1"/>
  <c r="D59" i="74"/>
  <c r="J51" i="74"/>
  <c r="K50" i="74"/>
  <c r="M36" i="74"/>
  <c r="M42" i="74"/>
  <c r="M48" i="74"/>
  <c r="M46" i="74"/>
  <c r="M37" i="74"/>
  <c r="M41" i="74"/>
  <c r="M39" i="74"/>
  <c r="M43" i="74"/>
  <c r="M49" i="74"/>
  <c r="M40" i="74"/>
  <c r="M44" i="74"/>
  <c r="M47" i="74"/>
  <c r="M38" i="74"/>
  <c r="M45" i="74"/>
  <c r="D53" i="74"/>
  <c r="M50" i="74"/>
  <c r="K43" i="74" l="1"/>
  <c r="K48" i="74"/>
  <c r="K39" i="74"/>
  <c r="K49" i="74"/>
  <c r="K44" i="74"/>
  <c r="K45" i="74"/>
  <c r="K47" i="74"/>
  <c r="K37" i="74"/>
  <c r="K38" i="74"/>
  <c r="K36" i="74"/>
  <c r="K46" i="74"/>
  <c r="K42" i="74"/>
  <c r="K40" i="74"/>
  <c r="K41" i="74"/>
  <c r="M51" i="74"/>
  <c r="K51" i="74" l="1"/>
</calcChain>
</file>

<file path=xl/sharedStrings.xml><?xml version="1.0" encoding="utf-8"?>
<sst xmlns="http://schemas.openxmlformats.org/spreadsheetml/2006/main" count="1220" uniqueCount="145">
  <si>
    <t>Cathode</t>
    <phoneticPr fontId="1"/>
  </si>
  <si>
    <t>Electrode</t>
    <phoneticPr fontId="1"/>
  </si>
  <si>
    <t>Composite</t>
    <phoneticPr fontId="1"/>
  </si>
  <si>
    <t>Material</t>
    <phoneticPr fontId="1"/>
  </si>
  <si>
    <t>AB</t>
    <phoneticPr fontId="1"/>
  </si>
  <si>
    <t>PVDF</t>
    <phoneticPr fontId="1"/>
  </si>
  <si>
    <t>Thickness (mm)</t>
    <phoneticPr fontId="1"/>
  </si>
  <si>
    <t>A length (mm)</t>
    <phoneticPr fontId="1"/>
  </si>
  <si>
    <t>B length (mm)</t>
    <phoneticPr fontId="1"/>
  </si>
  <si>
    <t>Width (mm)</t>
    <phoneticPr fontId="1"/>
  </si>
  <si>
    <t>Weight (g)</t>
    <phoneticPr fontId="1"/>
  </si>
  <si>
    <t>Mixing ratio (wt%)</t>
    <phoneticPr fontId="1"/>
  </si>
  <si>
    <t>Total</t>
    <phoneticPr fontId="1"/>
  </si>
  <si>
    <t>Capacity (mAh)</t>
    <phoneticPr fontId="1"/>
  </si>
  <si>
    <t>Substance</t>
    <phoneticPr fontId="1"/>
  </si>
  <si>
    <t>Pore</t>
    <phoneticPr fontId="1"/>
  </si>
  <si>
    <t>Porosity (%)</t>
    <phoneticPr fontId="1"/>
  </si>
  <si>
    <t>Length (mm)</t>
    <phoneticPr fontId="1"/>
  </si>
  <si>
    <t>Weight (A+B) (g)</t>
    <phoneticPr fontId="1"/>
  </si>
  <si>
    <t>Anode</t>
    <phoneticPr fontId="1"/>
  </si>
  <si>
    <t>Graphite</t>
    <phoneticPr fontId="1"/>
  </si>
  <si>
    <t>CMC</t>
    <phoneticPr fontId="1"/>
  </si>
  <si>
    <t>SBR</t>
    <phoneticPr fontId="1"/>
  </si>
  <si>
    <t>Separator</t>
    <phoneticPr fontId="1"/>
  </si>
  <si>
    <t>PE</t>
    <phoneticPr fontId="1"/>
  </si>
  <si>
    <t>PVDF-HFP</t>
    <phoneticPr fontId="1"/>
  </si>
  <si>
    <t>Base film</t>
    <phoneticPr fontId="1"/>
  </si>
  <si>
    <t>Coating</t>
    <phoneticPr fontId="1"/>
  </si>
  <si>
    <t>Electrolyte</t>
    <phoneticPr fontId="1"/>
  </si>
  <si>
    <t>Free space</t>
    <phoneticPr fontId="1"/>
  </si>
  <si>
    <t>Wt (g)</t>
    <phoneticPr fontId="1"/>
  </si>
  <si>
    <t>Cell</t>
    <phoneticPr fontId="1"/>
  </si>
  <si>
    <t>Package</t>
    <phoneticPr fontId="1"/>
  </si>
  <si>
    <t>Element</t>
    <phoneticPr fontId="1"/>
  </si>
  <si>
    <t>Voltage (V)</t>
    <phoneticPr fontId="1"/>
  </si>
  <si>
    <t>Energy (Wh)</t>
    <phoneticPr fontId="1"/>
  </si>
  <si>
    <r>
      <t>Thickness (</t>
    </r>
    <r>
      <rPr>
        <sz val="8"/>
        <color theme="1"/>
        <rFont val="Symbol"/>
        <family val="1"/>
        <charset val="2"/>
      </rPr>
      <t>m</t>
    </r>
    <r>
      <rPr>
        <sz val="8"/>
        <color theme="1"/>
        <rFont val="Arial"/>
        <family val="2"/>
      </rPr>
      <t>m)</t>
    </r>
    <phoneticPr fontId="1"/>
  </si>
  <si>
    <r>
      <t>Volume (cm</t>
    </r>
    <r>
      <rPr>
        <vertAlign val="superscript"/>
        <sz val="8"/>
        <color theme="1"/>
        <rFont val="Arial"/>
        <family val="2"/>
      </rPr>
      <t>3</t>
    </r>
    <r>
      <rPr>
        <sz val="8"/>
        <color theme="1"/>
        <rFont val="Arial"/>
        <family val="2"/>
      </rPr>
      <t>)</t>
    </r>
    <phoneticPr fontId="1"/>
  </si>
  <si>
    <r>
      <t>True density (gcm</t>
    </r>
    <r>
      <rPr>
        <vertAlign val="superscript"/>
        <sz val="8"/>
        <color theme="1"/>
        <rFont val="Arial"/>
        <family val="2"/>
      </rPr>
      <t>-3</t>
    </r>
    <r>
      <rPr>
        <sz val="8"/>
        <color theme="1"/>
        <rFont val="Arial"/>
        <family val="2"/>
      </rPr>
      <t>)</t>
    </r>
    <phoneticPr fontId="1"/>
  </si>
  <si>
    <r>
      <t>Density (gcm</t>
    </r>
    <r>
      <rPr>
        <vertAlign val="superscript"/>
        <sz val="8"/>
        <color theme="1"/>
        <rFont val="Arial"/>
        <family val="2"/>
      </rPr>
      <t>-3</t>
    </r>
    <r>
      <rPr>
        <sz val="8"/>
        <color theme="1"/>
        <rFont val="Arial"/>
        <family val="2"/>
      </rPr>
      <t>)</t>
    </r>
    <phoneticPr fontId="1"/>
  </si>
  <si>
    <r>
      <t>Area (cm</t>
    </r>
    <r>
      <rPr>
        <vertAlign val="superscript"/>
        <sz val="8"/>
        <color theme="1"/>
        <rFont val="Arial"/>
        <family val="2"/>
      </rPr>
      <t>2</t>
    </r>
    <r>
      <rPr>
        <sz val="8"/>
        <color theme="1"/>
        <rFont val="Arial"/>
        <family val="2"/>
      </rPr>
      <t>)</t>
    </r>
    <phoneticPr fontId="1"/>
  </si>
  <si>
    <r>
      <t>Area (A+B) (cm</t>
    </r>
    <r>
      <rPr>
        <vertAlign val="superscript"/>
        <sz val="8"/>
        <color theme="1"/>
        <rFont val="Arial"/>
        <family val="2"/>
      </rPr>
      <t>2</t>
    </r>
    <r>
      <rPr>
        <sz val="8"/>
        <color theme="1"/>
        <rFont val="Arial"/>
        <family val="2"/>
      </rPr>
      <t>)</t>
    </r>
    <phoneticPr fontId="1"/>
  </si>
  <si>
    <r>
      <t>Volume (A+B) (cm</t>
    </r>
    <r>
      <rPr>
        <vertAlign val="superscript"/>
        <sz val="8"/>
        <color theme="1"/>
        <rFont val="Arial"/>
        <family val="2"/>
      </rPr>
      <t>3</t>
    </r>
    <r>
      <rPr>
        <sz val="8"/>
        <color theme="1"/>
        <rFont val="Arial"/>
        <family val="2"/>
      </rPr>
      <t>)</t>
    </r>
    <phoneticPr fontId="1"/>
  </si>
  <si>
    <r>
      <t>Load (mgcm</t>
    </r>
    <r>
      <rPr>
        <vertAlign val="superscript"/>
        <sz val="8"/>
        <color theme="1"/>
        <rFont val="Arial"/>
        <family val="2"/>
      </rPr>
      <t>-2</t>
    </r>
    <r>
      <rPr>
        <sz val="8"/>
        <color theme="1"/>
        <rFont val="Arial"/>
        <family val="2"/>
      </rPr>
      <t>)</t>
    </r>
    <phoneticPr fontId="1"/>
  </si>
  <si>
    <r>
      <t>Thickness (A+B) (</t>
    </r>
    <r>
      <rPr>
        <sz val="8"/>
        <color theme="1"/>
        <rFont val="Symbol"/>
        <family val="1"/>
        <charset val="2"/>
      </rPr>
      <t>m</t>
    </r>
    <r>
      <rPr>
        <sz val="8"/>
        <color theme="1"/>
        <rFont val="Arial"/>
        <family val="2"/>
      </rPr>
      <t>m)</t>
    </r>
    <phoneticPr fontId="1"/>
  </si>
  <si>
    <r>
      <t>Pore uptake (cm</t>
    </r>
    <r>
      <rPr>
        <vertAlign val="superscript"/>
        <sz val="8"/>
        <color theme="1"/>
        <rFont val="Arial"/>
        <family val="2"/>
      </rPr>
      <t>3</t>
    </r>
    <r>
      <rPr>
        <sz val="8"/>
        <color theme="1"/>
        <rFont val="Arial"/>
        <family val="2"/>
      </rPr>
      <t>)</t>
    </r>
    <phoneticPr fontId="1"/>
  </si>
  <si>
    <r>
      <t>Void (cm</t>
    </r>
    <r>
      <rPr>
        <vertAlign val="superscript"/>
        <sz val="8"/>
        <color theme="1"/>
        <rFont val="Arial"/>
        <family val="2"/>
      </rPr>
      <t>3</t>
    </r>
    <r>
      <rPr>
        <sz val="8"/>
        <color theme="1"/>
        <rFont val="Arial"/>
        <family val="2"/>
      </rPr>
      <t>)</t>
    </r>
    <phoneticPr fontId="1"/>
  </si>
  <si>
    <r>
      <t>Areal capacity (mAhcm</t>
    </r>
    <r>
      <rPr>
        <vertAlign val="superscript"/>
        <sz val="8"/>
        <color theme="1"/>
        <rFont val="Arial"/>
        <family val="2"/>
      </rPr>
      <t>-2</t>
    </r>
    <r>
      <rPr>
        <sz val="8"/>
        <color theme="1"/>
        <rFont val="Arial"/>
        <family val="2"/>
      </rPr>
      <t>)</t>
    </r>
    <phoneticPr fontId="1"/>
  </si>
  <si>
    <r>
      <t>Density (g/cm</t>
    </r>
    <r>
      <rPr>
        <vertAlign val="superscript"/>
        <sz val="8"/>
        <color theme="1"/>
        <rFont val="Arial"/>
        <family val="2"/>
      </rPr>
      <t>-3</t>
    </r>
    <r>
      <rPr>
        <sz val="8"/>
        <color theme="1"/>
        <rFont val="Arial"/>
        <family val="2"/>
      </rPr>
      <t>)</t>
    </r>
    <phoneticPr fontId="1"/>
  </si>
  <si>
    <r>
      <t>Specific capacity (mAhg</t>
    </r>
    <r>
      <rPr>
        <vertAlign val="superscript"/>
        <sz val="8"/>
        <color theme="1"/>
        <rFont val="Arial"/>
        <family val="2"/>
      </rPr>
      <t>-1</t>
    </r>
    <r>
      <rPr>
        <sz val="8"/>
        <color theme="1"/>
        <rFont val="Arial"/>
        <family val="2"/>
      </rPr>
      <t>)</t>
    </r>
    <phoneticPr fontId="1"/>
  </si>
  <si>
    <t>N/P raio</t>
    <phoneticPr fontId="1"/>
  </si>
  <si>
    <t>Binder</t>
    <phoneticPr fontId="1"/>
  </si>
  <si>
    <t>#1 length (mm)</t>
    <phoneticPr fontId="1"/>
  </si>
  <si>
    <t>#2 length (mm)</t>
    <phoneticPr fontId="1"/>
  </si>
  <si>
    <t>Coating layer</t>
    <phoneticPr fontId="1"/>
  </si>
  <si>
    <t>Length (#1+#2) (mm)</t>
    <phoneticPr fontId="1"/>
  </si>
  <si>
    <r>
      <t>Absorption uptake (gg</t>
    </r>
    <r>
      <rPr>
        <vertAlign val="superscript"/>
        <sz val="8"/>
        <color theme="1"/>
        <rFont val="Arial"/>
        <family val="2"/>
      </rPr>
      <t>-1</t>
    </r>
    <r>
      <rPr>
        <sz val="8"/>
        <color theme="1"/>
        <rFont val="Arial"/>
        <family val="2"/>
      </rPr>
      <t>)</t>
    </r>
    <phoneticPr fontId="1"/>
  </si>
  <si>
    <t>+ Tab lead (Al)</t>
    <phoneticPr fontId="1"/>
  </si>
  <si>
    <r>
      <t>Load (gAh</t>
    </r>
    <r>
      <rPr>
        <vertAlign val="superscript"/>
        <sz val="8"/>
        <color theme="1"/>
        <rFont val="Arial"/>
        <family val="2"/>
      </rPr>
      <t>-1</t>
    </r>
    <r>
      <rPr>
        <sz val="8"/>
        <color theme="1"/>
        <rFont val="Arial"/>
        <family val="2"/>
      </rPr>
      <t>)</t>
    </r>
    <phoneticPr fontId="1"/>
  </si>
  <si>
    <t>Pouch film</t>
    <phoneticPr fontId="1"/>
  </si>
  <si>
    <t>Solvent</t>
    <phoneticPr fontId="1"/>
  </si>
  <si>
    <t>Solute</t>
    <phoneticPr fontId="1"/>
  </si>
  <si>
    <t>Additive</t>
    <phoneticPr fontId="1"/>
  </si>
  <si>
    <t>wt%</t>
    <phoneticPr fontId="1"/>
  </si>
  <si>
    <r>
      <t>Energy density (Whkg</t>
    </r>
    <r>
      <rPr>
        <vertAlign val="superscript"/>
        <sz val="8"/>
        <color theme="1"/>
        <rFont val="Arial"/>
        <family val="2"/>
      </rPr>
      <t>-1</t>
    </r>
    <r>
      <rPr>
        <sz val="8"/>
        <color theme="1"/>
        <rFont val="Arial"/>
        <family val="2"/>
      </rPr>
      <t>)</t>
    </r>
    <phoneticPr fontId="1"/>
  </si>
  <si>
    <r>
      <t>Energy density (Whl</t>
    </r>
    <r>
      <rPr>
        <vertAlign val="superscript"/>
        <sz val="8"/>
        <color theme="1"/>
        <rFont val="Arial"/>
        <family val="2"/>
      </rPr>
      <t>-1</t>
    </r>
    <r>
      <rPr>
        <sz val="8"/>
        <color theme="1"/>
        <rFont val="Arial"/>
        <family val="2"/>
      </rPr>
      <t>)</t>
    </r>
    <phoneticPr fontId="1"/>
  </si>
  <si>
    <t>Spec.</t>
    <phoneticPr fontId="1"/>
  </si>
  <si>
    <t>Expanded thickness (mm)</t>
    <phoneticPr fontId="1"/>
  </si>
  <si>
    <t>Expansion (%)</t>
    <phoneticPr fontId="1"/>
  </si>
  <si>
    <r>
      <t>Free space (cm</t>
    </r>
    <r>
      <rPr>
        <vertAlign val="superscript"/>
        <sz val="8"/>
        <color theme="1"/>
        <rFont val="Arial"/>
        <family val="2"/>
      </rPr>
      <t>3</t>
    </r>
    <r>
      <rPr>
        <sz val="8"/>
        <color theme="1"/>
        <rFont val="Arial"/>
        <family val="2"/>
      </rPr>
      <t>)</t>
    </r>
    <phoneticPr fontId="1"/>
  </si>
  <si>
    <t>Tab</t>
    <phoneticPr fontId="1"/>
  </si>
  <si>
    <r>
      <t>Vol (cm</t>
    </r>
    <r>
      <rPr>
        <vertAlign val="superscript"/>
        <sz val="8"/>
        <color theme="1"/>
        <rFont val="Arial"/>
        <family val="2"/>
      </rPr>
      <t>3</t>
    </r>
    <r>
      <rPr>
        <sz val="8"/>
        <color theme="1"/>
        <rFont val="Arial"/>
        <family val="2"/>
      </rPr>
      <t>)</t>
    </r>
    <phoneticPr fontId="1"/>
  </si>
  <si>
    <t>Wt (%)</t>
    <phoneticPr fontId="1"/>
  </si>
  <si>
    <t>Vol (%)</t>
    <phoneticPr fontId="1"/>
  </si>
  <si>
    <t>Capacity (Ah)</t>
    <phoneticPr fontId="1"/>
  </si>
  <si>
    <r>
      <t>AM load (mgcm</t>
    </r>
    <r>
      <rPr>
        <vertAlign val="superscript"/>
        <sz val="8"/>
        <color theme="1"/>
        <rFont val="Arial"/>
        <family val="2"/>
      </rPr>
      <t>-2</t>
    </r>
    <r>
      <rPr>
        <sz val="8"/>
        <color theme="1"/>
        <rFont val="Arial"/>
        <family val="2"/>
      </rPr>
      <t>)</t>
    </r>
    <phoneticPr fontId="1"/>
  </si>
  <si>
    <t>Li</t>
    <phoneticPr fontId="1"/>
  </si>
  <si>
    <t>NCM811</t>
    <phoneticPr fontId="1"/>
  </si>
  <si>
    <t>- Tabl lead (Ni/Cu)</t>
  </si>
  <si>
    <t>Tab lead</t>
    <phoneticPr fontId="1"/>
  </si>
  <si>
    <t>- Tab (Cu)</t>
    <phoneticPr fontId="1"/>
  </si>
  <si>
    <t>+ Tab (Al)</t>
    <phoneticPr fontId="1"/>
  </si>
  <si>
    <t>Tab, Tab lead</t>
    <phoneticPr fontId="1"/>
  </si>
  <si>
    <t>Nylon/Al/CPP</t>
    <phoneticPr fontId="1"/>
  </si>
  <si>
    <t>S</t>
    <phoneticPr fontId="1"/>
  </si>
  <si>
    <t>Layer number</t>
    <phoneticPr fontId="1"/>
  </si>
  <si>
    <t>+ Tab lead (Ni/Cu)</t>
    <phoneticPr fontId="1"/>
  </si>
  <si>
    <t>O2</t>
    <phoneticPr fontId="1"/>
  </si>
  <si>
    <t>Carbon</t>
    <phoneticPr fontId="1"/>
  </si>
  <si>
    <t>Coating separator</t>
    <phoneticPr fontId="1"/>
  </si>
  <si>
    <t>Binder 1</t>
    <phoneticPr fontId="1"/>
  </si>
  <si>
    <t>Binder 2</t>
    <phoneticPr fontId="1"/>
  </si>
  <si>
    <t>Binder 3</t>
    <phoneticPr fontId="1"/>
  </si>
  <si>
    <t>Name 1</t>
    <phoneticPr fontId="1"/>
  </si>
  <si>
    <t>Name 2</t>
    <phoneticPr fontId="1"/>
  </si>
  <si>
    <t>Name</t>
    <phoneticPr fontId="1"/>
  </si>
  <si>
    <t>x length (mm)</t>
    <phoneticPr fontId="1"/>
  </si>
  <si>
    <t>y length (mm)</t>
    <phoneticPr fontId="1"/>
  </si>
  <si>
    <t>Carbon 1</t>
    <phoneticPr fontId="1"/>
  </si>
  <si>
    <t>Carbon 2</t>
    <phoneticPr fontId="1"/>
  </si>
  <si>
    <r>
      <t>SEI formation (mgcm</t>
    </r>
    <r>
      <rPr>
        <vertAlign val="superscript"/>
        <sz val="8"/>
        <color theme="1"/>
        <rFont val="Arial"/>
        <family val="2"/>
      </rPr>
      <t>-2</t>
    </r>
    <r>
      <rPr>
        <sz val="8"/>
        <color theme="1"/>
        <rFont val="Arial"/>
        <family val="2"/>
      </rPr>
      <t>)</t>
    </r>
    <phoneticPr fontId="1"/>
  </si>
  <si>
    <t>Allocation</t>
    <phoneticPr fontId="1"/>
  </si>
  <si>
    <t>Place</t>
    <phoneticPr fontId="1"/>
  </si>
  <si>
    <t>Const.</t>
    <phoneticPr fontId="1"/>
  </si>
  <si>
    <t>Substrate (Al)</t>
    <phoneticPr fontId="1"/>
  </si>
  <si>
    <t>Substrate  (Cu)</t>
    <phoneticPr fontId="1"/>
  </si>
  <si>
    <t>Substrate (Ni/PET)</t>
    <phoneticPr fontId="1"/>
  </si>
  <si>
    <t>+ Tab (Ni/PET)</t>
    <phoneticPr fontId="1"/>
  </si>
  <si>
    <t>Alumina</t>
    <phoneticPr fontId="1"/>
  </si>
  <si>
    <t>Cs</t>
    <phoneticPr fontId="1"/>
  </si>
  <si>
    <t>N/P</t>
    <phoneticPr fontId="1"/>
  </si>
  <si>
    <t>E/C</t>
    <phoneticPr fontId="1"/>
  </si>
  <si>
    <t>Layer n.</t>
    <phoneticPr fontId="1"/>
  </si>
  <si>
    <t>Code</t>
    <phoneticPr fontId="1"/>
  </si>
  <si>
    <t>Obtained capacity (Ah)</t>
    <phoneticPr fontId="1"/>
  </si>
  <si>
    <t>User’s manual</t>
  </si>
  <si>
    <t>Don’t change the values in pale yellow cells, which include calculation equations.</t>
    <phoneticPr fontId="1"/>
  </si>
  <si>
    <r>
      <t xml:space="preserve">Put the names of components for cathode (active material, conductor, binder), anode (active material, conductor, binder), separator (base film, coating material, binder), and electrolyte (optional; code, solute, solvent, additive) in </t>
    </r>
    <r>
      <rPr>
        <u/>
        <sz val="12"/>
        <color theme="1"/>
        <rFont val="Arial"/>
        <family val="2"/>
      </rPr>
      <t>grey cells</t>
    </r>
    <r>
      <rPr>
        <sz val="12"/>
        <color theme="1"/>
        <rFont val="Arial"/>
        <family val="2"/>
      </rPr>
      <t>.</t>
    </r>
    <phoneticPr fontId="1"/>
  </si>
  <si>
    <r>
      <t>Put areal capacity of cathode (C</t>
    </r>
    <r>
      <rPr>
        <vertAlign val="subscript"/>
        <sz val="12"/>
        <color theme="1"/>
        <rFont val="Arial"/>
        <family val="2"/>
      </rPr>
      <t>s</t>
    </r>
    <r>
      <rPr>
        <sz val="12"/>
        <color theme="1"/>
        <rFont val="Arial"/>
        <family val="2"/>
      </rPr>
      <t>), N/P ratio, and E/C ratio in boxes located on the top.</t>
    </r>
    <phoneticPr fontId="1"/>
  </si>
  <si>
    <t>Put average working voltage and layer number, which achieves a targeted cell capacity, in boxes located on the top.</t>
    <phoneticPr fontId="1"/>
  </si>
  <si>
    <r>
      <t xml:space="preserve">Put specific capacity, mixing ratio, and true density for anode and cathode components, load and true density for separator components, weight fraction of electrolyte components (optional), density for electrolyte, current collectors, tab leads, and load for pouch film in </t>
    </r>
    <r>
      <rPr>
        <u/>
        <sz val="12"/>
        <color theme="1"/>
        <rFont val="Arial"/>
        <family val="2"/>
      </rPr>
      <t>orange cells</t>
    </r>
    <r>
      <rPr>
        <sz val="12"/>
        <color theme="1"/>
        <rFont val="Arial"/>
        <family val="2"/>
      </rPr>
      <t xml:space="preserve">.  </t>
    </r>
    <phoneticPr fontId="1"/>
  </si>
  <si>
    <t>If the electrolyte absorption by components (binder, coating material, tape) and electrolyte consumption by SEI formation are considered, please put experimental values in orange cells (for more strict simulation).</t>
    <phoneticPr fontId="1"/>
  </si>
  <si>
    <t>-</t>
    <phoneticPr fontId="1"/>
  </si>
  <si>
    <t>*</t>
    <phoneticPr fontId="1"/>
  </si>
  <si>
    <r>
      <t xml:space="preserve">Put sizes for cathode, aode, separator, tab, tab lead, pouch film and pouch cell in </t>
    </r>
    <r>
      <rPr>
        <u/>
        <sz val="12"/>
        <color theme="1"/>
        <rFont val="Arial"/>
        <family val="2"/>
      </rPr>
      <t>white cells</t>
    </r>
    <r>
      <rPr>
        <sz val="12"/>
        <color theme="1"/>
        <rFont val="Arial"/>
        <family val="2"/>
      </rPr>
      <t>.</t>
    </r>
    <phoneticPr fontId="1"/>
  </si>
  <si>
    <t>Expansion rate (%)</t>
    <phoneticPr fontId="1"/>
  </si>
  <si>
    <t>Adjust the cell thickness by using expansion rate in a box locatded on the top to show a positive value of free space.  When it is positive or negative, the letter turns to green or red color, respectively.</t>
    <phoneticPr fontId="1"/>
  </si>
  <si>
    <r>
      <t>V</t>
    </r>
    <r>
      <rPr>
        <vertAlign val="subscript"/>
        <sz val="8"/>
        <color theme="1"/>
        <rFont val="Arial"/>
        <family val="2"/>
      </rPr>
      <t>av</t>
    </r>
    <phoneticPr fontId="1"/>
  </si>
  <si>
    <r>
      <t>Volumetric energy density (Whl</t>
    </r>
    <r>
      <rPr>
        <vertAlign val="superscript"/>
        <sz val="8"/>
        <color theme="1"/>
        <rFont val="Arial"/>
        <family val="2"/>
      </rPr>
      <t>-1</t>
    </r>
    <r>
      <rPr>
        <sz val="8"/>
        <color theme="1"/>
        <rFont val="Arial"/>
        <family val="2"/>
      </rPr>
      <t>)</t>
    </r>
    <phoneticPr fontId="1"/>
  </si>
  <si>
    <r>
      <t>Gravimetric energy density (Whkg</t>
    </r>
    <r>
      <rPr>
        <vertAlign val="superscript"/>
        <sz val="8"/>
        <color theme="1"/>
        <rFont val="Arial"/>
        <family val="2"/>
      </rPr>
      <t>-1</t>
    </r>
    <r>
      <rPr>
        <sz val="8"/>
        <color theme="1"/>
        <rFont val="Arial"/>
        <family val="2"/>
      </rPr>
      <t>)</t>
    </r>
    <phoneticPr fontId="1"/>
  </si>
  <si>
    <t>NCM622</t>
    <phoneticPr fontId="1"/>
  </si>
  <si>
    <t>Carbon capacity (mAh/g)</t>
    <phoneticPr fontId="1"/>
  </si>
  <si>
    <t>Gravimetric and volumetric energy densities, and weight and volume fractions of the components are automatically displayed on the top.</t>
    <phoneticPr fontId="1"/>
  </si>
  <si>
    <t>S utilization (%)</t>
    <phoneticPr fontId="1"/>
  </si>
  <si>
    <t>Electronic supplementary Information</t>
  </si>
  <si>
    <t>Basic knowledge in battery research</t>
  </si>
  <si>
    <t>bridging the gap between academia and industry</t>
  </si>
  <si>
    <r>
      <t>Makoto Ue,</t>
    </r>
    <r>
      <rPr>
        <vertAlign val="superscript"/>
        <sz val="12"/>
        <color theme="1"/>
        <rFont val="Arial"/>
        <family val="2"/>
      </rPr>
      <t>*,a,†</t>
    </r>
    <r>
      <rPr>
        <sz val="12"/>
        <color theme="1"/>
        <rFont val="Arial"/>
        <family val="2"/>
      </rPr>
      <t>, Ken Sakaushi</t>
    </r>
    <r>
      <rPr>
        <vertAlign val="superscript"/>
        <sz val="12"/>
        <color theme="1"/>
        <rFont val="Arial"/>
        <family val="2"/>
      </rPr>
      <t>a,†</t>
    </r>
    <r>
      <rPr>
        <sz val="12"/>
        <color theme="1"/>
        <rFont val="Arial"/>
        <family val="2"/>
      </rPr>
      <t>, Kohei Uosaki</t>
    </r>
    <r>
      <rPr>
        <vertAlign val="superscript"/>
        <sz val="12"/>
        <color theme="1"/>
        <rFont val="Arial"/>
        <family val="2"/>
      </rPr>
      <t>a</t>
    </r>
  </si>
  <si>
    <t>*E-mail: UE.Makoto@nims.go.jp</t>
  </si>
  <si>
    <t>Cell simulator v1.1</t>
    <phoneticPr fontId="1"/>
  </si>
  <si>
    <t xml:space="preserve">  This cell simulator can be applied for any kind of pouch cells with stacked electrodes as far as the similar cell architecture of LIBs is inherited.
  The authors encourage for the reader to analyze these sheets to understand the calculation procedures.  Depending on the NAMCC you use, you will realize how the cell energy density varies.</t>
    <phoneticPr fontId="1"/>
  </si>
  <si>
    <t>Copyright 2020, Makoto Ue</t>
    <phoneticPr fontId="1"/>
  </si>
  <si>
    <r>
      <t xml:space="preserve">  All simulations on energy density were carried out by this Excel file made by the author.  This Excel file includes six sheets, where the detailed procedure for simulation is given for a LIB and four types of LMBs, respectively.  The first sheet explains how to use it.  The second sheet is a simulation sheet for LIB(Gr/NCM811).  Other sheets are simulation sheets for LMB (Li/NCM622, Li/NCM811, Li/S, and Li/O</t>
    </r>
    <r>
      <rPr>
        <vertAlign val="subscript"/>
        <sz val="12"/>
        <color theme="1"/>
        <rFont val="Arial"/>
        <family val="2"/>
      </rPr>
      <t>2</t>
    </r>
    <r>
      <rPr>
        <sz val="12"/>
        <color theme="1"/>
        <rFont val="Arial"/>
        <family val="2"/>
      </rPr>
      <t>).  By changing three key parameters, and number of layers to give about 1 Ah, data in Tables 3 and 4, and Figs.14 and 15 were obtained.</t>
    </r>
    <phoneticPr fontId="1"/>
  </si>
  <si>
    <r>
      <t>a</t>
    </r>
    <r>
      <rPr>
        <sz val="12"/>
        <color theme="1"/>
        <rFont val="Arial"/>
        <family val="2"/>
      </rPr>
      <t>Center for Green Research on Energy and Environmental Materials, 
National Institute for Materials Science, 
1-1 Namiki, Tsukuba, Ibaraki 305-0044, Japan.</t>
    </r>
    <phoneticPr fontId="1"/>
  </si>
  <si>
    <r>
      <t>* Only weight of least ncessary O</t>
    </r>
    <r>
      <rPr>
        <vertAlign val="subscript"/>
        <sz val="8"/>
        <color theme="1"/>
        <rFont val="Arial"/>
        <family val="2"/>
      </rPr>
      <t>2</t>
    </r>
    <r>
      <rPr>
        <sz val="8"/>
        <color theme="1"/>
        <rFont val="Arial"/>
        <family val="2"/>
      </rPr>
      <t xml:space="preserve"> was considered.</t>
    </r>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</si>
</sst>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0.00_ "/>
    <numFmt numFmtId="177" formatCode="0.0_ "/>
    <numFmt numFmtId="178" formatCode="0.000_);[Red]\(0.000\)"/>
    <numFmt numFmtId="179" formatCode="0_ "/>
    <numFmt numFmtId="180" formatCode="0.00_);[Red]\(0.00\)"/>
    <numFmt numFmtId="181" formatCode="0_);[Red]\(0\)"/>
    <numFmt numFmtId="182" formatCode="0.0_);[Red]\(0.0\)"/>
  </numFmts>
  <fonts count="25" x14ac:knownFonts="1">
    <font>
      <sz val="11"/>
      <color theme="1"/>
      <name val="游ゴシック"/>
      <family val="2"/>
      <charset val="128"/>
      <scheme val="minor"/>
    </font>
    <font>
      <sz val="6"/>
      <name val="游ゴシック"/>
      <family val="2"/>
      <charset val="128"/>
      <scheme val="minor"/>
    </font>
    <font>
      <sz val="8"/>
      <color theme="1"/>
      <name val="Arial"/>
      <family val="2"/>
    </font>
    <font>
      <vertAlign val="superscript"/>
      <sz val="8"/>
      <color theme="1"/>
      <name val="Arial"/>
      <family val="2"/>
    </font>
    <font>
      <sz val="8"/>
      <color theme="1"/>
      <name val="Symbol"/>
      <family val="1"/>
      <charset val="2"/>
    </font>
    <font>
      <b/>
      <sz val="8"/>
      <color rgb="FFFF0000"/>
      <name val="Arial"/>
      <family val="2"/>
    </font>
    <font>
      <sz val="6"/>
      <color theme="1"/>
      <name val="Arial"/>
      <family val="2"/>
    </font>
    <font>
      <sz val="8"/>
      <name val="Arial"/>
      <family val="2"/>
    </font>
    <font>
      <b/>
      <sz val="8"/>
      <color rgb="FF0000FF"/>
      <name val="Arial"/>
      <family val="2"/>
    </font>
    <font>
      <b/>
      <sz val="8"/>
      <color rgb="FF00B050"/>
      <name val="Arial"/>
      <family val="2"/>
    </font>
    <font>
      <b/>
      <sz val="11"/>
      <color rgb="FF00B050"/>
      <name val="游ゴシック"/>
      <family val="2"/>
      <charset val="128"/>
      <scheme val="minor"/>
    </font>
    <font>
      <sz val="12"/>
      <color theme="1"/>
      <name val="Arial"/>
      <family val="2"/>
    </font>
    <font>
      <u/>
      <sz val="12"/>
      <color theme="1"/>
      <name val="Arial"/>
      <family val="2"/>
    </font>
    <font>
      <vertAlign val="subscript"/>
      <sz val="12"/>
      <color theme="1"/>
      <name val="Arial"/>
      <family val="2"/>
    </font>
    <font>
      <b/>
      <sz val="12"/>
      <color theme="1"/>
      <name val="Arial"/>
      <family val="2"/>
    </font>
    <font>
      <sz val="12"/>
      <color rgb="FFFF0000"/>
      <name val="Arial"/>
      <family val="2"/>
    </font>
    <font>
      <sz val="8"/>
      <color rgb="FF00B050"/>
      <name val="Arial"/>
      <family val="2"/>
    </font>
    <font>
      <b/>
      <sz val="8"/>
      <color theme="1"/>
      <name val="Arial"/>
      <family val="2"/>
    </font>
    <font>
      <b/>
      <sz val="8"/>
      <name val="Arial"/>
      <family val="2"/>
    </font>
    <font>
      <b/>
      <sz val="11"/>
      <name val="游ゴシック"/>
      <family val="2"/>
      <charset val="128"/>
      <scheme val="minor"/>
    </font>
    <font>
      <vertAlign val="subscript"/>
      <sz val="8"/>
      <color theme="1"/>
      <name val="Arial"/>
      <family val="2"/>
    </font>
    <font>
      <b/>
      <sz val="14"/>
      <color theme="1"/>
      <name val="Arial"/>
      <family val="2"/>
    </font>
    <font>
      <vertAlign val="superscript"/>
      <sz val="12"/>
      <color theme="1"/>
      <name val="Arial"/>
      <family val="2"/>
    </font>
    <font>
      <sz val="11"/>
      <color theme="1"/>
      <name val="Arial"/>
      <family val="2"/>
    </font>
    <font>
      <b/>
      <sz val="11"/>
      <color theme="1"/>
      <name val="Arial"/>
      <family val="2"/>
    </font>
  </fonts>
  <fills count="20">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92D050"/>
        <bgColor indexed="64"/>
      </patternFill>
    </fill>
    <fill>
      <patternFill patternType="solid">
        <fgColor rgb="FFFFC000"/>
        <bgColor indexed="64"/>
      </patternFill>
    </fill>
    <fill>
      <patternFill patternType="solid">
        <fgColor rgb="FF00B0F0"/>
        <bgColor indexed="64"/>
      </patternFill>
    </fill>
    <fill>
      <patternFill patternType="solid">
        <fgColor rgb="FFCC99FF"/>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FF99"/>
        <bgColor indexed="64"/>
      </patternFill>
    </fill>
    <fill>
      <patternFill patternType="solid">
        <fgColor rgb="FFFFCCFF"/>
        <bgColor indexed="64"/>
      </patternFill>
    </fill>
    <fill>
      <patternFill patternType="solid">
        <fgColor theme="8" tint="0.79998168889431442"/>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CCFFCC"/>
        <bgColor indexed="64"/>
      </patternFill>
    </fill>
    <fill>
      <patternFill patternType="solid">
        <fgColor rgb="FFDDEBF7"/>
        <bgColor indexed="64"/>
      </patternFill>
    </fill>
    <fill>
      <patternFill patternType="solid">
        <fgColor rgb="FFFF0000"/>
        <bgColor indexed="64"/>
      </patternFill>
    </fill>
    <fill>
      <patternFill patternType="solid">
        <fgColor theme="0"/>
        <bgColor indexed="64"/>
      </patternFill>
    </fill>
  </fills>
  <borders count="6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thin">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style="medium">
        <color auto="1"/>
      </left>
      <right/>
      <top style="medium">
        <color auto="1"/>
      </top>
      <bottom style="medium">
        <color auto="1"/>
      </bottom>
      <diagonal/>
    </border>
    <border>
      <left style="medium">
        <color auto="1"/>
      </left>
      <right style="thin">
        <color auto="1"/>
      </right>
      <top style="thin">
        <color auto="1"/>
      </top>
      <bottom/>
      <diagonal/>
    </border>
    <border>
      <left/>
      <right/>
      <top/>
      <bottom style="medium">
        <color auto="1"/>
      </bottom>
      <diagonal/>
    </border>
    <border>
      <left/>
      <right style="medium">
        <color auto="1"/>
      </right>
      <top/>
      <bottom style="medium">
        <color auto="1"/>
      </bottom>
      <diagonal/>
    </border>
    <border>
      <left/>
      <right/>
      <top style="thin">
        <color auto="1"/>
      </top>
      <bottom/>
      <diagonal/>
    </border>
    <border>
      <left/>
      <right style="medium">
        <color auto="1"/>
      </right>
      <top style="thin">
        <color auto="1"/>
      </top>
      <bottom/>
      <diagonal/>
    </border>
    <border>
      <left/>
      <right style="medium">
        <color auto="1"/>
      </right>
      <top/>
      <bottom/>
      <diagonal/>
    </border>
    <border>
      <left style="medium">
        <color auto="1"/>
      </left>
      <right/>
      <top/>
      <bottom/>
      <diagonal/>
    </border>
    <border>
      <left style="medium">
        <color auto="1"/>
      </left>
      <right/>
      <top/>
      <bottom style="medium">
        <color auto="1"/>
      </bottom>
      <diagonal/>
    </border>
    <border>
      <left style="thin">
        <color auto="1"/>
      </left>
      <right style="thin">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top/>
      <bottom/>
      <diagonal/>
    </border>
    <border>
      <left style="thin">
        <color auto="1"/>
      </left>
      <right/>
      <top/>
      <bottom style="medium">
        <color auto="1"/>
      </bottom>
      <diagonal/>
    </border>
    <border>
      <left style="thin">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thin">
        <color auto="1"/>
      </left>
      <right/>
      <top style="medium">
        <color auto="1"/>
      </top>
      <bottom style="thin">
        <color auto="1"/>
      </bottom>
      <diagonal/>
    </border>
    <border>
      <left style="medium">
        <color auto="1"/>
      </left>
      <right style="medium">
        <color auto="1"/>
      </right>
      <top style="medium">
        <color auto="1"/>
      </top>
      <bottom style="medium">
        <color auto="1"/>
      </bottom>
      <diagonal/>
    </border>
    <border>
      <left/>
      <right style="thin">
        <color auto="1"/>
      </right>
      <top style="medium">
        <color auto="1"/>
      </top>
      <bottom style="medium">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medium">
        <color auto="1"/>
      </left>
      <right style="medium">
        <color auto="1"/>
      </right>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medium">
        <color auto="1"/>
      </bottom>
      <diagonal/>
    </border>
    <border>
      <left/>
      <right style="medium">
        <color auto="1"/>
      </right>
      <top style="thin">
        <color auto="1"/>
      </top>
      <bottom style="medium">
        <color auto="1"/>
      </bottom>
      <diagonal/>
    </border>
    <border>
      <left/>
      <right/>
      <top style="thin">
        <color auto="1"/>
      </top>
      <bottom style="medium">
        <color auto="1"/>
      </bottom>
      <diagonal/>
    </border>
  </borders>
  <cellStyleXfs count="1">
    <xf numFmtId="0" fontId="0" fillId="0" borderId="0">
      <alignment vertical="center"/>
    </xf>
  </cellStyleXfs>
  <cellXfs count="278">
    <xf numFmtId="0" fontId="0" fillId="0" borderId="0" xfId="0">
      <alignment vertical="center"/>
    </xf>
    <xf numFmtId="0" fontId="2" fillId="0" borderId="0" xfId="0" applyFont="1" applyFill="1" applyAlignment="1">
      <alignment vertical="center" wrapText="1"/>
    </xf>
    <xf numFmtId="0" fontId="2" fillId="0" borderId="0" xfId="0" applyFont="1" applyFill="1" applyAlignment="1">
      <alignment horizontal="center" vertical="center" wrapText="1"/>
    </xf>
    <xf numFmtId="178" fontId="2" fillId="0" borderId="0" xfId="0" applyNumberFormat="1" applyFont="1" applyFill="1" applyAlignment="1">
      <alignment horizontal="center" vertical="center" wrapText="1"/>
    </xf>
    <xf numFmtId="0" fontId="2" fillId="8" borderId="9" xfId="0" applyFont="1" applyFill="1" applyBorder="1" applyAlignment="1">
      <alignment horizontal="center" vertical="center" wrapText="1"/>
    </xf>
    <xf numFmtId="0" fontId="2" fillId="9" borderId="9" xfId="0" applyFont="1" applyFill="1" applyBorder="1" applyAlignment="1">
      <alignment horizontal="center" vertical="center" wrapText="1"/>
    </xf>
    <xf numFmtId="181" fontId="2" fillId="0" borderId="16" xfId="0" applyNumberFormat="1" applyFont="1" applyFill="1" applyBorder="1" applyAlignment="1">
      <alignment horizontal="center" vertical="center" wrapText="1"/>
    </xf>
    <xf numFmtId="181" fontId="2" fillId="0" borderId="9" xfId="0" applyNumberFormat="1" applyFont="1" applyFill="1" applyBorder="1" applyAlignment="1">
      <alignment horizontal="center" vertical="center" wrapText="1"/>
    </xf>
    <xf numFmtId="177" fontId="2" fillId="3" borderId="9" xfId="0" applyNumberFormat="1" applyFont="1" applyFill="1" applyBorder="1" applyAlignment="1">
      <alignment horizontal="center" vertical="center" wrapText="1"/>
    </xf>
    <xf numFmtId="176" fontId="2" fillId="3" borderId="9" xfId="0" applyNumberFormat="1" applyFont="1" applyFill="1" applyBorder="1" applyAlignment="1">
      <alignment horizontal="center" vertical="center" wrapText="1"/>
    </xf>
    <xf numFmtId="180" fontId="2" fillId="3" borderId="9" xfId="0" applyNumberFormat="1" applyFont="1" applyFill="1" applyBorder="1" applyAlignment="1">
      <alignment horizontal="center" vertical="center" wrapText="1"/>
    </xf>
    <xf numFmtId="179" fontId="2" fillId="3" borderId="1" xfId="0" applyNumberFormat="1" applyFont="1" applyFill="1" applyBorder="1" applyAlignment="1">
      <alignment horizontal="center" vertical="center" wrapText="1"/>
    </xf>
    <xf numFmtId="180" fontId="2" fillId="3" borderId="11" xfId="0" applyNumberFormat="1" applyFont="1" applyFill="1" applyBorder="1" applyAlignment="1">
      <alignment horizontal="center" vertical="center" wrapText="1"/>
    </xf>
    <xf numFmtId="49" fontId="2" fillId="8" borderId="5" xfId="0" applyNumberFormat="1" applyFont="1" applyFill="1" applyBorder="1" applyAlignment="1">
      <alignment vertical="center" wrapText="1"/>
    </xf>
    <xf numFmtId="49" fontId="2" fillId="8" borderId="1" xfId="0" applyNumberFormat="1" applyFont="1" applyFill="1" applyBorder="1" applyAlignment="1">
      <alignment vertical="center" wrapText="1"/>
    </xf>
    <xf numFmtId="49" fontId="2" fillId="8" borderId="11" xfId="0" applyNumberFormat="1" applyFont="1" applyFill="1" applyBorder="1" applyAlignment="1">
      <alignment vertical="center" wrapText="1"/>
    </xf>
    <xf numFmtId="49" fontId="2" fillId="9" borderId="1" xfId="0" applyNumberFormat="1" applyFont="1" applyFill="1" applyBorder="1" applyAlignment="1">
      <alignment vertical="center" wrapText="1"/>
    </xf>
    <xf numFmtId="49" fontId="2" fillId="9" borderId="11" xfId="0" applyNumberFormat="1" applyFont="1" applyFill="1" applyBorder="1" applyAlignment="1">
      <alignment vertical="center" wrapText="1"/>
    </xf>
    <xf numFmtId="49" fontId="2" fillId="10" borderId="1" xfId="0" applyNumberFormat="1" applyFont="1" applyFill="1" applyBorder="1" applyAlignment="1">
      <alignment vertical="center" wrapText="1"/>
    </xf>
    <xf numFmtId="49" fontId="2" fillId="10" borderId="11" xfId="0" applyNumberFormat="1" applyFont="1" applyFill="1" applyBorder="1" applyAlignment="1">
      <alignment vertical="center" wrapText="1"/>
    </xf>
    <xf numFmtId="0" fontId="2" fillId="12" borderId="1" xfId="0" applyFont="1" applyFill="1" applyBorder="1" applyAlignment="1">
      <alignment vertical="center" wrapText="1"/>
    </xf>
    <xf numFmtId="0" fontId="2" fillId="12" borderId="11" xfId="0" applyFont="1" applyFill="1" applyBorder="1" applyAlignment="1">
      <alignment vertical="center" wrapText="1"/>
    </xf>
    <xf numFmtId="49" fontId="2" fillId="11" borderId="4" xfId="0" applyNumberFormat="1" applyFont="1" applyFill="1" applyBorder="1" applyAlignment="1">
      <alignment vertical="center" wrapText="1"/>
    </xf>
    <xf numFmtId="0" fontId="2" fillId="12" borderId="10" xfId="0" applyFont="1" applyFill="1" applyBorder="1" applyAlignment="1">
      <alignment vertical="center" wrapText="1"/>
    </xf>
    <xf numFmtId="49" fontId="2" fillId="11" borderId="2" xfId="0" applyNumberFormat="1" applyFont="1" applyFill="1" applyBorder="1" applyAlignment="1">
      <alignment vertical="center" wrapText="1"/>
    </xf>
    <xf numFmtId="181" fontId="2" fillId="3" borderId="9" xfId="0" applyNumberFormat="1" applyFont="1" applyFill="1" applyBorder="1" applyAlignment="1">
      <alignment horizontal="center" vertical="center" wrapText="1"/>
    </xf>
    <xf numFmtId="49" fontId="2" fillId="11" borderId="3" xfId="0" applyNumberFormat="1" applyFont="1" applyFill="1" applyBorder="1" applyAlignment="1">
      <alignment vertical="center" wrapText="1"/>
    </xf>
    <xf numFmtId="49" fontId="2" fillId="11" borderId="13" xfId="0" applyNumberFormat="1" applyFont="1" applyFill="1" applyBorder="1" applyAlignment="1">
      <alignment vertical="center" wrapText="1"/>
    </xf>
    <xf numFmtId="0" fontId="2" fillId="12" borderId="6" xfId="0" applyFont="1" applyFill="1" applyBorder="1" applyAlignment="1">
      <alignment vertical="center" wrapText="1"/>
    </xf>
    <xf numFmtId="179" fontId="2" fillId="3" borderId="9" xfId="0" applyNumberFormat="1" applyFont="1" applyFill="1" applyBorder="1" applyAlignment="1">
      <alignment horizontal="center" vertical="center" wrapText="1"/>
    </xf>
    <xf numFmtId="179" fontId="2" fillId="3" borderId="12" xfId="0" applyNumberFormat="1" applyFont="1" applyFill="1" applyBorder="1" applyAlignment="1">
      <alignment horizontal="center" vertical="center" wrapText="1"/>
    </xf>
    <xf numFmtId="49" fontId="2" fillId="15" borderId="5" xfId="0" applyNumberFormat="1" applyFont="1" applyFill="1" applyBorder="1" applyAlignment="1">
      <alignment vertical="center" wrapText="1"/>
    </xf>
    <xf numFmtId="49" fontId="2" fillId="15" borderId="1" xfId="0" applyNumberFormat="1" applyFont="1" applyFill="1" applyBorder="1" applyAlignment="1">
      <alignment vertical="center" wrapText="1"/>
    </xf>
    <xf numFmtId="49" fontId="2" fillId="15" borderId="34" xfId="0" applyNumberFormat="1" applyFont="1" applyFill="1" applyBorder="1" applyAlignment="1">
      <alignment vertical="center" wrapText="1"/>
    </xf>
    <xf numFmtId="49" fontId="2" fillId="15" borderId="7" xfId="0" applyNumberFormat="1" applyFont="1" applyFill="1" applyBorder="1" applyAlignment="1">
      <alignment vertical="center" wrapText="1"/>
    </xf>
    <xf numFmtId="49" fontId="2" fillId="15" borderId="11" xfId="0" applyNumberFormat="1" applyFont="1" applyFill="1" applyBorder="1" applyAlignment="1">
      <alignment vertical="center" wrapText="1"/>
    </xf>
    <xf numFmtId="180" fontId="2" fillId="3" borderId="1" xfId="0" applyNumberFormat="1" applyFont="1" applyFill="1" applyBorder="1" applyAlignment="1">
      <alignment horizontal="center" vertical="center" wrapText="1"/>
    </xf>
    <xf numFmtId="180" fontId="2" fillId="3" borderId="5" xfId="0" applyNumberFormat="1" applyFont="1" applyFill="1" applyBorder="1" applyAlignment="1">
      <alignment horizontal="center" vertical="center" wrapText="1"/>
    </xf>
    <xf numFmtId="180" fontId="2" fillId="3" borderId="12" xfId="0" applyNumberFormat="1" applyFont="1" applyFill="1" applyBorder="1" applyAlignment="1">
      <alignment horizontal="center" vertical="center" wrapText="1"/>
    </xf>
    <xf numFmtId="182" fontId="2" fillId="3" borderId="9" xfId="0" applyNumberFormat="1" applyFont="1" applyFill="1" applyBorder="1" applyAlignment="1">
      <alignment horizontal="center" vertical="center" wrapText="1"/>
    </xf>
    <xf numFmtId="182" fontId="2" fillId="0" borderId="9" xfId="0" applyNumberFormat="1" applyFont="1" applyFill="1" applyBorder="1" applyAlignment="1">
      <alignment horizontal="center" vertical="center" wrapText="1"/>
    </xf>
    <xf numFmtId="0" fontId="2" fillId="0" borderId="0" xfId="0" applyFont="1" applyFill="1">
      <alignment vertical="center"/>
    </xf>
    <xf numFmtId="182" fontId="2" fillId="0" borderId="16" xfId="0" applyNumberFormat="1" applyFont="1" applyFill="1" applyBorder="1" applyAlignment="1">
      <alignment horizontal="center" vertical="center" wrapText="1"/>
    </xf>
    <xf numFmtId="49" fontId="2" fillId="11" borderId="7" xfId="0" applyNumberFormat="1" applyFont="1" applyFill="1" applyBorder="1" applyAlignment="1">
      <alignment vertical="center" wrapText="1"/>
    </xf>
    <xf numFmtId="49" fontId="2" fillId="11" borderId="1" xfId="0" applyNumberFormat="1" applyFont="1" applyFill="1" applyBorder="1" applyAlignment="1">
      <alignment vertical="center" wrapText="1"/>
    </xf>
    <xf numFmtId="181" fontId="2" fillId="3" borderId="16" xfId="0" applyNumberFormat="1" applyFont="1" applyFill="1" applyBorder="1" applyAlignment="1">
      <alignment horizontal="center" vertical="center" wrapText="1"/>
    </xf>
    <xf numFmtId="0" fontId="2" fillId="16" borderId="43" xfId="0" applyFont="1" applyFill="1" applyBorder="1" applyAlignment="1">
      <alignment vertical="center" wrapText="1"/>
    </xf>
    <xf numFmtId="0" fontId="2" fillId="16" borderId="4" xfId="0" applyFont="1" applyFill="1" applyBorder="1" applyAlignment="1">
      <alignment vertical="center" wrapText="1"/>
    </xf>
    <xf numFmtId="0" fontId="2" fillId="16" borderId="13" xfId="0" applyFont="1" applyFill="1" applyBorder="1" applyAlignment="1">
      <alignment vertical="center" wrapText="1"/>
    </xf>
    <xf numFmtId="49" fontId="2" fillId="9" borderId="5" xfId="0" applyNumberFormat="1" applyFont="1" applyFill="1" applyBorder="1" applyAlignment="1">
      <alignment vertical="center" wrapText="1"/>
    </xf>
    <xf numFmtId="176" fontId="2" fillId="3" borderId="16" xfId="0" applyNumberFormat="1" applyFont="1" applyFill="1" applyBorder="1" applyAlignment="1">
      <alignment horizontal="center" vertical="center" wrapText="1"/>
    </xf>
    <xf numFmtId="181" fontId="2" fillId="0" borderId="1" xfId="0" applyNumberFormat="1" applyFont="1" applyFill="1" applyBorder="1" applyAlignment="1">
      <alignment horizontal="center" vertical="center" wrapText="1"/>
    </xf>
    <xf numFmtId="182" fontId="2" fillId="0" borderId="1" xfId="0" applyNumberFormat="1" applyFont="1" applyFill="1" applyBorder="1" applyAlignment="1">
      <alignment horizontal="center" vertical="center" wrapText="1"/>
    </xf>
    <xf numFmtId="181" fontId="2" fillId="3" borderId="1" xfId="0" applyNumberFormat="1" applyFont="1" applyFill="1" applyBorder="1" applyAlignment="1">
      <alignment horizontal="center" vertical="center" wrapText="1"/>
    </xf>
    <xf numFmtId="182" fontId="2" fillId="3" borderId="1" xfId="0" applyNumberFormat="1" applyFont="1" applyFill="1" applyBorder="1" applyAlignment="1">
      <alignment horizontal="center" vertical="center" wrapText="1"/>
    </xf>
    <xf numFmtId="182" fontId="2" fillId="0" borderId="14" xfId="0" applyNumberFormat="1" applyFont="1" applyFill="1" applyBorder="1" applyAlignment="1">
      <alignment horizontal="center" vertical="center" wrapText="1"/>
    </xf>
    <xf numFmtId="181" fontId="2" fillId="0" borderId="14" xfId="0" applyNumberFormat="1" applyFont="1" applyFill="1" applyBorder="1" applyAlignment="1">
      <alignment horizontal="center" vertical="center" wrapText="1"/>
    </xf>
    <xf numFmtId="180" fontId="2" fillId="5" borderId="1" xfId="0" applyNumberFormat="1" applyFont="1" applyFill="1" applyBorder="1" applyAlignment="1">
      <alignment horizontal="center" vertical="center" wrapText="1"/>
    </xf>
    <xf numFmtId="176" fontId="2" fillId="5" borderId="1" xfId="0" applyNumberFormat="1" applyFont="1" applyFill="1" applyBorder="1" applyAlignment="1">
      <alignment horizontal="center" vertical="center" wrapText="1"/>
    </xf>
    <xf numFmtId="180" fontId="7" fillId="3" borderId="1" xfId="0" applyNumberFormat="1" applyFont="1" applyFill="1" applyBorder="1" applyAlignment="1">
      <alignment horizontal="center" vertical="center" wrapText="1"/>
    </xf>
    <xf numFmtId="182" fontId="7" fillId="3" borderId="1" xfId="0" applyNumberFormat="1" applyFont="1" applyFill="1" applyBorder="1" applyAlignment="1">
      <alignment horizontal="center" vertical="center" wrapText="1"/>
    </xf>
    <xf numFmtId="180" fontId="2" fillId="3" borderId="9" xfId="0" applyNumberFormat="1" applyFont="1" applyFill="1" applyBorder="1" applyAlignment="1">
      <alignment horizontal="center" vertical="center"/>
    </xf>
    <xf numFmtId="182" fontId="7" fillId="0" borderId="1" xfId="0" applyNumberFormat="1" applyFont="1" applyBorder="1" applyAlignment="1">
      <alignment horizontal="center" vertical="center"/>
    </xf>
    <xf numFmtId="182" fontId="2" fillId="0" borderId="1" xfId="0" applyNumberFormat="1" applyFont="1" applyBorder="1" applyAlignment="1">
      <alignment horizontal="center" vertical="center"/>
    </xf>
    <xf numFmtId="180" fontId="2" fillId="5" borderId="9" xfId="0" applyNumberFormat="1" applyFont="1" applyFill="1" applyBorder="1" applyAlignment="1">
      <alignment horizontal="center" vertical="center" wrapText="1"/>
    </xf>
    <xf numFmtId="180" fontId="2" fillId="5" borderId="22" xfId="0" applyNumberFormat="1" applyFont="1" applyFill="1" applyBorder="1" applyAlignment="1">
      <alignment horizontal="center" vertical="center" wrapText="1"/>
    </xf>
    <xf numFmtId="0" fontId="2" fillId="14" borderId="1" xfId="0" applyFont="1" applyFill="1" applyBorder="1" applyAlignment="1">
      <alignment horizontal="center" vertical="center" wrapText="1"/>
    </xf>
    <xf numFmtId="0" fontId="2" fillId="14" borderId="1" xfId="0" applyNumberFormat="1" applyFont="1" applyFill="1" applyBorder="1" applyAlignment="1">
      <alignment horizontal="center" vertical="center" wrapText="1"/>
    </xf>
    <xf numFmtId="0" fontId="2" fillId="14" borderId="1" xfId="0" applyFont="1" applyFill="1" applyBorder="1" applyAlignment="1">
      <alignment vertical="center" wrapText="1"/>
    </xf>
    <xf numFmtId="0" fontId="2" fillId="14" borderId="7" xfId="0" applyFont="1" applyFill="1" applyBorder="1" applyAlignment="1">
      <alignment vertical="center" wrapText="1"/>
    </xf>
    <xf numFmtId="182" fontId="2" fillId="0" borderId="2" xfId="0" applyNumberFormat="1" applyFont="1" applyBorder="1" applyAlignment="1">
      <alignment horizontal="center" vertical="center"/>
    </xf>
    <xf numFmtId="180" fontId="2" fillId="3" borderId="22" xfId="0" applyNumberFormat="1" applyFont="1" applyFill="1" applyBorder="1" applyAlignment="1">
      <alignment horizontal="center" vertical="center"/>
    </xf>
    <xf numFmtId="0" fontId="2" fillId="13" borderId="7" xfId="0" applyNumberFormat="1" applyFont="1" applyFill="1" applyBorder="1" applyAlignment="1">
      <alignment horizontal="center" vertical="center" wrapText="1"/>
    </xf>
    <xf numFmtId="0" fontId="2" fillId="12" borderId="14" xfId="0" applyNumberFormat="1" applyFont="1" applyFill="1" applyBorder="1" applyAlignment="1">
      <alignment horizontal="center" vertical="center" wrapText="1"/>
    </xf>
    <xf numFmtId="0" fontId="2" fillId="12" borderId="16" xfId="0" applyNumberFormat="1" applyFont="1" applyFill="1" applyBorder="1" applyAlignment="1">
      <alignment horizontal="center" vertical="center" wrapText="1"/>
    </xf>
    <xf numFmtId="0" fontId="2" fillId="12" borderId="15" xfId="0" applyFont="1" applyFill="1" applyBorder="1" applyAlignment="1">
      <alignment horizontal="left" vertical="center" wrapText="1"/>
    </xf>
    <xf numFmtId="0" fontId="2" fillId="12" borderId="5" xfId="0" applyFont="1" applyFill="1" applyBorder="1" applyAlignment="1">
      <alignment horizontal="left" vertical="center" wrapText="1"/>
    </xf>
    <xf numFmtId="0" fontId="2" fillId="12" borderId="5" xfId="0" applyFont="1" applyFill="1" applyBorder="1" applyAlignment="1">
      <alignment horizontal="center" vertical="center"/>
    </xf>
    <xf numFmtId="0" fontId="6" fillId="14" borderId="1" xfId="0" applyNumberFormat="1" applyFont="1" applyFill="1" applyBorder="1" applyAlignment="1">
      <alignment horizontal="center" vertical="center" wrapText="1"/>
    </xf>
    <xf numFmtId="0" fontId="2" fillId="17" borderId="1" xfId="0" applyFont="1" applyFill="1" applyBorder="1" applyAlignment="1">
      <alignment vertical="center" wrapText="1"/>
    </xf>
    <xf numFmtId="181" fontId="2" fillId="5" borderId="1" xfId="0" applyNumberFormat="1" applyFont="1" applyFill="1" applyBorder="1" applyAlignment="1">
      <alignment horizontal="center" vertical="center" wrapText="1"/>
    </xf>
    <xf numFmtId="182" fontId="2" fillId="5" borderId="1" xfId="0" applyNumberFormat="1" applyFont="1" applyFill="1" applyBorder="1" applyAlignment="1">
      <alignment horizontal="center" vertical="center" wrapText="1"/>
    </xf>
    <xf numFmtId="180" fontId="2" fillId="5" borderId="14" xfId="0" applyNumberFormat="1" applyFont="1" applyFill="1" applyBorder="1" applyAlignment="1">
      <alignment horizontal="center" vertical="center"/>
    </xf>
    <xf numFmtId="180" fontId="2" fillId="5" borderId="12" xfId="0" applyNumberFormat="1" applyFont="1" applyFill="1" applyBorder="1" applyAlignment="1">
      <alignment horizontal="center" vertical="center" wrapText="1"/>
    </xf>
    <xf numFmtId="182" fontId="2" fillId="3" borderId="22" xfId="0" applyNumberFormat="1" applyFont="1" applyFill="1" applyBorder="1" applyAlignment="1">
      <alignment horizontal="center" vertical="center" wrapText="1"/>
    </xf>
    <xf numFmtId="179" fontId="2" fillId="5" borderId="1" xfId="0" applyNumberFormat="1" applyFont="1" applyFill="1" applyBorder="1" applyAlignment="1">
      <alignment horizontal="center" vertical="center" wrapText="1"/>
    </xf>
    <xf numFmtId="0" fontId="2" fillId="5" borderId="1" xfId="0" applyFont="1" applyFill="1" applyBorder="1" applyAlignment="1">
      <alignment horizontal="center" vertical="center" wrapText="1"/>
    </xf>
    <xf numFmtId="177" fontId="2" fillId="5" borderId="1" xfId="0" applyNumberFormat="1" applyFont="1" applyFill="1" applyBorder="1" applyAlignment="1">
      <alignment horizontal="center" vertical="center" wrapText="1"/>
    </xf>
    <xf numFmtId="49" fontId="2" fillId="3" borderId="44" xfId="0" applyNumberFormat="1" applyFont="1" applyFill="1" applyBorder="1" applyAlignment="1">
      <alignment vertical="center" wrapText="1"/>
    </xf>
    <xf numFmtId="176" fontId="2" fillId="3" borderId="17" xfId="0" applyNumberFormat="1" applyFont="1" applyFill="1" applyBorder="1" applyAlignment="1">
      <alignment horizontal="center" vertical="center"/>
    </xf>
    <xf numFmtId="176" fontId="2" fillId="3" borderId="19" xfId="0" applyNumberFormat="1" applyFont="1" applyFill="1" applyBorder="1" applyAlignment="1">
      <alignment horizontal="center" vertical="center" wrapText="1"/>
    </xf>
    <xf numFmtId="176" fontId="2" fillId="3" borderId="45" xfId="0" applyNumberFormat="1" applyFont="1" applyFill="1" applyBorder="1" applyAlignment="1">
      <alignment horizontal="center" vertical="center" wrapText="1"/>
    </xf>
    <xf numFmtId="0" fontId="2" fillId="3" borderId="49" xfId="0" applyNumberFormat="1" applyFont="1" applyFill="1" applyBorder="1" applyAlignment="1">
      <alignment vertical="center" wrapText="1"/>
    </xf>
    <xf numFmtId="180" fontId="2" fillId="3" borderId="15" xfId="0" applyNumberFormat="1" applyFont="1" applyFill="1" applyBorder="1" applyAlignment="1">
      <alignment horizontal="center" vertical="center"/>
    </xf>
    <xf numFmtId="182" fontId="2" fillId="3" borderId="16" xfId="0" applyNumberFormat="1" applyFont="1" applyFill="1" applyBorder="1" applyAlignment="1">
      <alignment horizontal="center" vertical="center" wrapText="1"/>
    </xf>
    <xf numFmtId="180" fontId="2" fillId="3" borderId="46" xfId="0" applyNumberFormat="1" applyFont="1" applyFill="1" applyBorder="1" applyAlignment="1">
      <alignment horizontal="center" vertical="center"/>
    </xf>
    <xf numFmtId="0" fontId="2" fillId="3" borderId="50" xfId="0" applyFont="1" applyFill="1" applyBorder="1">
      <alignment vertical="center"/>
    </xf>
    <xf numFmtId="180" fontId="2" fillId="3" borderId="8" xfId="0" applyNumberFormat="1" applyFont="1" applyFill="1" applyBorder="1" applyAlignment="1">
      <alignment horizontal="center" vertical="center"/>
    </xf>
    <xf numFmtId="180" fontId="2" fillId="3" borderId="47" xfId="0" applyNumberFormat="1" applyFont="1" applyFill="1" applyBorder="1" applyAlignment="1">
      <alignment horizontal="center" vertical="center"/>
    </xf>
    <xf numFmtId="49" fontId="2" fillId="3" borderId="50" xfId="0" applyNumberFormat="1" applyFont="1" applyFill="1" applyBorder="1">
      <alignment vertical="center"/>
    </xf>
    <xf numFmtId="0" fontId="2" fillId="3" borderId="51" xfId="0" applyFont="1" applyFill="1" applyBorder="1">
      <alignment vertical="center"/>
    </xf>
    <xf numFmtId="180" fontId="2" fillId="3" borderId="26" xfId="0" applyNumberFormat="1" applyFont="1" applyFill="1" applyBorder="1" applyAlignment="1">
      <alignment horizontal="center" vertical="center"/>
    </xf>
    <xf numFmtId="180" fontId="2" fillId="3" borderId="48" xfId="0" applyNumberFormat="1" applyFont="1" applyFill="1" applyBorder="1" applyAlignment="1">
      <alignment horizontal="center" vertical="center"/>
    </xf>
    <xf numFmtId="0" fontId="2" fillId="3" borderId="44" xfId="0" applyFont="1" applyFill="1" applyBorder="1">
      <alignment vertical="center"/>
    </xf>
    <xf numFmtId="180" fontId="2" fillId="3" borderId="17" xfId="0" applyNumberFormat="1" applyFont="1" applyFill="1" applyBorder="1" applyAlignment="1">
      <alignment horizontal="center" vertical="center"/>
    </xf>
    <xf numFmtId="182" fontId="2" fillId="3" borderId="19" xfId="0" applyNumberFormat="1" applyFont="1" applyFill="1" applyBorder="1" applyAlignment="1">
      <alignment horizontal="center" vertical="center"/>
    </xf>
    <xf numFmtId="180" fontId="2" fillId="3" borderId="45" xfId="0" applyNumberFormat="1" applyFont="1" applyFill="1" applyBorder="1" applyAlignment="1">
      <alignment horizontal="center" vertical="center"/>
    </xf>
    <xf numFmtId="180" fontId="5" fillId="3" borderId="16" xfId="0" applyNumberFormat="1" applyFont="1" applyFill="1" applyBorder="1" applyAlignment="1">
      <alignment horizontal="center" vertical="center"/>
    </xf>
    <xf numFmtId="180" fontId="5" fillId="3" borderId="1" xfId="0" applyNumberFormat="1" applyFont="1" applyFill="1" applyBorder="1" applyAlignment="1">
      <alignment horizontal="center" vertical="center" wrapText="1"/>
    </xf>
    <xf numFmtId="180" fontId="5" fillId="3" borderId="9" xfId="0" applyNumberFormat="1" applyFont="1" applyFill="1" applyBorder="1" applyAlignment="1">
      <alignment horizontal="center" vertical="center" wrapText="1"/>
    </xf>
    <xf numFmtId="176" fontId="8" fillId="3" borderId="9" xfId="0" applyNumberFormat="1" applyFont="1" applyFill="1" applyBorder="1" applyAlignment="1">
      <alignment horizontal="center" vertical="center" wrapText="1"/>
    </xf>
    <xf numFmtId="181" fontId="8" fillId="3" borderId="14" xfId="0" applyNumberFormat="1" applyFont="1" applyFill="1" applyBorder="1" applyAlignment="1">
      <alignment horizontal="center" vertical="center" wrapText="1"/>
    </xf>
    <xf numFmtId="180" fontId="9" fillId="3" borderId="9" xfId="0" applyNumberFormat="1" applyFont="1" applyFill="1" applyBorder="1" applyAlignment="1">
      <alignment horizontal="center" vertical="center" wrapText="1"/>
    </xf>
    <xf numFmtId="180" fontId="16" fillId="3" borderId="11" xfId="0" applyNumberFormat="1" applyFont="1" applyFill="1" applyBorder="1" applyAlignment="1">
      <alignment horizontal="center" vertical="center" wrapText="1"/>
    </xf>
    <xf numFmtId="0" fontId="2" fillId="19" borderId="0" xfId="0" applyFont="1" applyFill="1" applyAlignment="1">
      <alignment vertical="center" wrapText="1"/>
    </xf>
    <xf numFmtId="0" fontId="2" fillId="19" borderId="0" xfId="0" applyFont="1" applyFill="1" applyAlignment="1">
      <alignment horizontal="center" vertical="center" wrapText="1"/>
    </xf>
    <xf numFmtId="178" fontId="2" fillId="19" borderId="0" xfId="0" applyNumberFormat="1" applyFont="1" applyFill="1" applyAlignment="1">
      <alignment horizontal="center" vertical="center" wrapText="1"/>
    </xf>
    <xf numFmtId="0" fontId="2" fillId="19" borderId="6" xfId="0" applyFont="1" applyFill="1" applyBorder="1" applyAlignment="1">
      <alignment horizontal="center" vertical="center" wrapText="1"/>
    </xf>
    <xf numFmtId="0" fontId="2" fillId="19" borderId="7" xfId="0" applyFont="1" applyFill="1" applyBorder="1" applyAlignment="1">
      <alignment horizontal="center" vertical="center" wrapText="1"/>
    </xf>
    <xf numFmtId="0" fontId="2" fillId="19" borderId="14" xfId="0" applyFont="1" applyFill="1" applyBorder="1" applyAlignment="1">
      <alignment horizontal="center" vertical="center" wrapText="1"/>
    </xf>
    <xf numFmtId="0" fontId="2" fillId="19" borderId="58" xfId="0" applyFont="1" applyFill="1" applyBorder="1" applyAlignment="1">
      <alignment horizontal="center" vertical="center" wrapText="1"/>
    </xf>
    <xf numFmtId="176" fontId="5" fillId="19" borderId="10" xfId="0" applyNumberFormat="1" applyFont="1" applyFill="1" applyBorder="1" applyAlignment="1">
      <alignment horizontal="center" vertical="center" wrapText="1"/>
    </xf>
    <xf numFmtId="176" fontId="5" fillId="19" borderId="11" xfId="0" applyNumberFormat="1" applyFont="1" applyFill="1" applyBorder="1" applyAlignment="1">
      <alignment horizontal="center" vertical="center" wrapText="1"/>
    </xf>
    <xf numFmtId="176" fontId="5" fillId="19" borderId="12" xfId="0" applyNumberFormat="1" applyFont="1" applyFill="1" applyBorder="1" applyAlignment="1">
      <alignment horizontal="center" vertical="center" wrapText="1"/>
    </xf>
    <xf numFmtId="0" fontId="8" fillId="19" borderId="59" xfId="0" applyFont="1" applyFill="1" applyBorder="1" applyAlignment="1">
      <alignment horizontal="center" vertical="center" wrapText="1"/>
    </xf>
    <xf numFmtId="176" fontId="8" fillId="19" borderId="59" xfId="0" applyNumberFormat="1" applyFont="1" applyFill="1" applyBorder="1" applyAlignment="1">
      <alignment horizontal="center" vertical="center" wrapText="1"/>
    </xf>
    <xf numFmtId="176" fontId="2" fillId="19" borderId="0" xfId="0" applyNumberFormat="1" applyFont="1" applyFill="1" applyAlignment="1">
      <alignment horizontal="center" vertical="center" wrapText="1"/>
    </xf>
    <xf numFmtId="0" fontId="2" fillId="19" borderId="0" xfId="0" applyFont="1" applyFill="1" applyBorder="1" applyAlignment="1">
      <alignment vertical="center" wrapText="1"/>
    </xf>
    <xf numFmtId="178" fontId="2" fillId="19" borderId="0" xfId="0" applyNumberFormat="1" applyFont="1" applyFill="1" applyBorder="1" applyAlignment="1">
      <alignment horizontal="center" vertical="center" wrapText="1"/>
    </xf>
    <xf numFmtId="0" fontId="2" fillId="19" borderId="0" xfId="0" applyFont="1" applyFill="1">
      <alignment vertical="center"/>
    </xf>
    <xf numFmtId="0" fontId="0" fillId="19" borderId="0" xfId="0" applyFill="1">
      <alignment vertical="center"/>
    </xf>
    <xf numFmtId="182" fontId="2" fillId="19" borderId="0" xfId="0" applyNumberFormat="1" applyFont="1" applyFill="1">
      <alignment vertical="center"/>
    </xf>
    <xf numFmtId="182" fontId="2" fillId="19" borderId="0" xfId="0" applyNumberFormat="1" applyFont="1" applyFill="1" applyAlignment="1">
      <alignment vertical="center" wrapText="1"/>
    </xf>
    <xf numFmtId="0" fontId="2" fillId="19" borderId="0" xfId="0" applyFont="1" applyFill="1" applyAlignment="1">
      <alignment horizontal="left" vertical="center"/>
    </xf>
    <xf numFmtId="49" fontId="2" fillId="10" borderId="5" xfId="0" applyNumberFormat="1" applyFont="1" applyFill="1" applyBorder="1" applyAlignment="1">
      <alignment vertical="center" wrapText="1"/>
    </xf>
    <xf numFmtId="177" fontId="2" fillId="0" borderId="5" xfId="0" applyNumberFormat="1" applyFont="1" applyBorder="1" applyAlignment="1">
      <alignment horizontal="center" vertical="center" wrapText="1"/>
    </xf>
    <xf numFmtId="182" fontId="7" fillId="3" borderId="11" xfId="0" applyNumberFormat="1" applyFont="1" applyFill="1" applyBorder="1" applyAlignment="1">
      <alignment horizontal="center" vertical="center" wrapText="1"/>
    </xf>
    <xf numFmtId="180" fontId="17" fillId="3" borderId="1" xfId="0" applyNumberFormat="1" applyFont="1" applyFill="1" applyBorder="1" applyAlignment="1">
      <alignment horizontal="center" vertical="center" wrapText="1"/>
    </xf>
    <xf numFmtId="176" fontId="17" fillId="3" borderId="9" xfId="0" applyNumberFormat="1" applyFont="1" applyFill="1" applyBorder="1" applyAlignment="1">
      <alignment horizontal="center" vertical="center" wrapText="1"/>
    </xf>
    <xf numFmtId="180" fontId="17" fillId="3" borderId="47" xfId="0" applyNumberFormat="1" applyFont="1" applyFill="1" applyBorder="1" applyAlignment="1">
      <alignment horizontal="center" vertical="center"/>
    </xf>
    <xf numFmtId="0" fontId="11" fillId="19" borderId="0" xfId="0" applyFont="1" applyFill="1" applyAlignment="1">
      <alignment horizontal="justify" vertical="center" wrapText="1"/>
    </xf>
    <xf numFmtId="176" fontId="17" fillId="19" borderId="59" xfId="0" applyNumberFormat="1" applyFont="1" applyFill="1" applyBorder="1" applyAlignment="1">
      <alignment horizontal="center" vertical="center" wrapText="1"/>
    </xf>
    <xf numFmtId="0" fontId="11" fillId="19" borderId="0" xfId="0" applyFont="1" applyFill="1" applyAlignment="1">
      <alignment horizontal="left" vertical="center" wrapText="1"/>
    </xf>
    <xf numFmtId="0" fontId="11" fillId="0" borderId="0" xfId="0" applyFont="1" applyAlignment="1">
      <alignment horizontal="left" vertical="center" wrapText="1"/>
    </xf>
    <xf numFmtId="0" fontId="14" fillId="19" borderId="0" xfId="0" applyFont="1" applyFill="1" applyAlignment="1">
      <alignment horizontal="left" vertical="center" wrapText="1"/>
    </xf>
    <xf numFmtId="0" fontId="11" fillId="19" borderId="0" xfId="0" applyFont="1" applyFill="1" applyAlignment="1">
      <alignment horizontal="left" vertical="top" wrapText="1"/>
    </xf>
    <xf numFmtId="0" fontId="15" fillId="19" borderId="0" xfId="0" applyFont="1" applyFill="1" applyAlignment="1">
      <alignment horizontal="justify" vertical="center" wrapText="1"/>
    </xf>
    <xf numFmtId="0" fontId="11" fillId="0" borderId="0" xfId="0" applyFont="1" applyAlignment="1">
      <alignment horizontal="justify" vertical="center" wrapText="1"/>
    </xf>
    <xf numFmtId="180" fontId="18" fillId="3" borderId="1" xfId="0" applyNumberFormat="1" applyFont="1" applyFill="1" applyBorder="1" applyAlignment="1">
      <alignment horizontal="center" vertical="center" wrapText="1"/>
    </xf>
    <xf numFmtId="182" fontId="17" fillId="3" borderId="9" xfId="0" applyNumberFormat="1" applyFont="1" applyFill="1" applyBorder="1" applyAlignment="1">
      <alignment horizontal="center" vertical="center" wrapText="1"/>
    </xf>
    <xf numFmtId="180" fontId="17" fillId="3" borderId="8" xfId="0" applyNumberFormat="1" applyFont="1" applyFill="1" applyBorder="1" applyAlignment="1">
      <alignment horizontal="center" vertical="center"/>
    </xf>
    <xf numFmtId="179" fontId="17" fillId="19" borderId="14" xfId="0" applyNumberFormat="1" applyFont="1" applyFill="1" applyBorder="1" applyAlignment="1">
      <alignment horizontal="center" vertical="center" wrapText="1"/>
    </xf>
    <xf numFmtId="179" fontId="17" fillId="19" borderId="12" xfId="0" applyNumberFormat="1" applyFont="1" applyFill="1" applyBorder="1" applyAlignment="1">
      <alignment horizontal="center" vertical="center" wrapText="1"/>
    </xf>
    <xf numFmtId="179" fontId="17" fillId="19" borderId="59" xfId="0" applyNumberFormat="1" applyFont="1" applyFill="1" applyBorder="1" applyAlignment="1">
      <alignment horizontal="center" vertical="center" wrapText="1"/>
    </xf>
    <xf numFmtId="0" fontId="23" fillId="0" borderId="0" xfId="0" applyFont="1">
      <alignment vertical="center"/>
    </xf>
    <xf numFmtId="0" fontId="22" fillId="0" borderId="0" xfId="0" applyFont="1" applyAlignment="1">
      <alignment horizontal="center" vertical="center" wrapText="1"/>
    </xf>
    <xf numFmtId="0" fontId="2" fillId="19" borderId="54" xfId="0" applyFont="1" applyFill="1" applyBorder="1" applyAlignment="1">
      <alignment horizontal="center" vertical="center" wrapText="1"/>
    </xf>
    <xf numFmtId="0" fontId="0" fillId="19" borderId="57" xfId="0" applyFill="1" applyBorder="1" applyAlignment="1">
      <alignment horizontal="center" vertical="center" wrapText="1"/>
    </xf>
    <xf numFmtId="182" fontId="18" fillId="19" borderId="52" xfId="0" applyNumberFormat="1" applyFont="1" applyFill="1" applyBorder="1" applyAlignment="1">
      <alignment horizontal="center" vertical="center" wrapText="1"/>
    </xf>
    <xf numFmtId="182" fontId="19" fillId="19" borderId="60" xfId="0" applyNumberFormat="1" applyFont="1" applyFill="1" applyBorder="1" applyAlignment="1">
      <alignment horizontal="center" vertical="center" wrapText="1"/>
    </xf>
    <xf numFmtId="0" fontId="2" fillId="4" borderId="17" xfId="0" applyFont="1" applyFill="1" applyBorder="1" applyAlignment="1">
      <alignment horizontal="center" vertical="center"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2" fillId="18" borderId="17" xfId="0" applyFont="1" applyFill="1" applyBorder="1" applyAlignment="1">
      <alignment horizontal="center" vertical="center" wrapText="1"/>
    </xf>
    <xf numFmtId="0" fontId="2" fillId="18" borderId="18" xfId="0" applyFont="1" applyFill="1" applyBorder="1" applyAlignment="1">
      <alignment horizontal="center" vertical="center" wrapText="1"/>
    </xf>
    <xf numFmtId="0" fontId="2" fillId="18" borderId="19" xfId="0" applyFont="1" applyFill="1" applyBorder="1" applyAlignment="1">
      <alignment horizontal="center" vertical="center" wrapText="1"/>
    </xf>
    <xf numFmtId="0" fontId="2" fillId="2" borderId="17"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182" fontId="9" fillId="19" borderId="52" xfId="0" applyNumberFormat="1" applyFont="1" applyFill="1" applyBorder="1" applyAlignment="1">
      <alignment horizontal="center" vertical="center" wrapText="1"/>
    </xf>
    <xf numFmtId="182" fontId="10" fillId="19" borderId="60" xfId="0" applyNumberFormat="1" applyFont="1" applyFill="1" applyBorder="1" applyAlignment="1">
      <alignment horizontal="center" vertical="center" wrapText="1"/>
    </xf>
    <xf numFmtId="0" fontId="0" fillId="0" borderId="55" xfId="0" applyBorder="1" applyAlignment="1">
      <alignment horizontal="center" vertical="center" wrapText="1"/>
    </xf>
    <xf numFmtId="0" fontId="2" fillId="19" borderId="52" xfId="0" applyFont="1" applyFill="1" applyBorder="1" applyAlignment="1">
      <alignment horizontal="center" vertical="center" wrapText="1"/>
    </xf>
    <xf numFmtId="0" fontId="0" fillId="0" borderId="61" xfId="0" applyBorder="1" applyAlignment="1">
      <alignment horizontal="center" vertical="center" wrapText="1"/>
    </xf>
    <xf numFmtId="0" fontId="2" fillId="7" borderId="40" xfId="0" applyFont="1" applyFill="1" applyBorder="1" applyAlignment="1">
      <alignment horizontal="center" vertical="center" wrapText="1"/>
    </xf>
    <xf numFmtId="0" fontId="2" fillId="7" borderId="41" xfId="0" applyFont="1" applyFill="1" applyBorder="1" applyAlignment="1">
      <alignment horizontal="center" vertical="center" wrapText="1"/>
    </xf>
    <xf numFmtId="0" fontId="2" fillId="7" borderId="42" xfId="0" applyFont="1" applyFill="1" applyBorder="1" applyAlignment="1">
      <alignment horizontal="center" vertical="center" wrapText="1"/>
    </xf>
    <xf numFmtId="0" fontId="2" fillId="6" borderId="17" xfId="0" applyFont="1" applyFill="1" applyBorder="1" applyAlignment="1">
      <alignment horizontal="center" vertical="center" wrapText="1"/>
    </xf>
    <xf numFmtId="0" fontId="2" fillId="6" borderId="18" xfId="0" applyFont="1" applyFill="1" applyBorder="1" applyAlignment="1">
      <alignment horizontal="center" vertical="center" wrapText="1"/>
    </xf>
    <xf numFmtId="0" fontId="2" fillId="6" borderId="19" xfId="0" applyFont="1" applyFill="1" applyBorder="1" applyAlignment="1">
      <alignment horizontal="center" vertical="center" wrapText="1"/>
    </xf>
    <xf numFmtId="49" fontId="2" fillId="11" borderId="35" xfId="0" applyNumberFormat="1" applyFont="1" applyFill="1" applyBorder="1" applyAlignment="1">
      <alignment horizontal="left" vertical="center" wrapText="1"/>
    </xf>
    <xf numFmtId="0" fontId="2" fillId="0" borderId="23" xfId="0" applyFont="1" applyBorder="1" applyAlignment="1">
      <alignment horizontal="left" vertical="center" wrapText="1"/>
    </xf>
    <xf numFmtId="0" fontId="2" fillId="0" borderId="15" xfId="0" applyFont="1" applyBorder="1" applyAlignment="1">
      <alignment horizontal="left" vertical="center" wrapText="1"/>
    </xf>
    <xf numFmtId="0" fontId="2" fillId="12" borderId="8" xfId="0" applyFont="1" applyFill="1" applyBorder="1" applyAlignment="1">
      <alignment vertical="center" wrapText="1"/>
    </xf>
    <xf numFmtId="0" fontId="2" fillId="0" borderId="8" xfId="0" applyFont="1" applyBorder="1" applyAlignment="1">
      <alignment vertical="center" wrapText="1"/>
    </xf>
    <xf numFmtId="49" fontId="2" fillId="11" borderId="26" xfId="0" applyNumberFormat="1" applyFont="1" applyFill="1" applyBorder="1" applyAlignment="1">
      <alignment horizontal="left" vertical="center" wrapText="1"/>
    </xf>
    <xf numFmtId="49" fontId="2" fillId="8" borderId="26" xfId="0" applyNumberFormat="1" applyFont="1" applyFill="1" applyBorder="1" applyAlignment="1">
      <alignment vertical="center" wrapText="1"/>
    </xf>
    <xf numFmtId="0" fontId="2" fillId="0" borderId="23" xfId="0" applyFont="1" applyBorder="1" applyAlignment="1">
      <alignment vertical="center" wrapText="1"/>
    </xf>
    <xf numFmtId="0" fontId="2" fillId="0" borderId="15" xfId="0" applyFont="1" applyBorder="1" applyAlignment="1">
      <alignment vertical="center" wrapText="1"/>
    </xf>
    <xf numFmtId="0" fontId="2" fillId="0" borderId="29" xfId="0" applyFont="1" applyFill="1" applyBorder="1" applyAlignment="1">
      <alignment horizontal="center" vertical="center" wrapText="1"/>
    </xf>
    <xf numFmtId="0" fontId="2" fillId="0" borderId="29"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0" xfId="0" applyFont="1" applyBorder="1" applyAlignment="1">
      <alignment horizontal="center" vertical="center" wrapText="1"/>
    </xf>
    <xf numFmtId="0" fontId="2" fillId="0" borderId="31"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8" xfId="0" applyFont="1" applyBorder="1" applyAlignment="1">
      <alignment horizontal="center" vertical="center" wrapText="1"/>
    </xf>
    <xf numFmtId="49" fontId="2" fillId="9" borderId="26" xfId="0" applyNumberFormat="1" applyFont="1" applyFill="1" applyBorder="1" applyAlignment="1">
      <alignment vertical="center" wrapText="1"/>
    </xf>
    <xf numFmtId="49" fontId="2" fillId="10" borderId="26" xfId="0" applyNumberFormat="1" applyFont="1" applyFill="1" applyBorder="1" applyAlignment="1">
      <alignment vertical="center" wrapText="1"/>
    </xf>
    <xf numFmtId="49" fontId="2" fillId="0" borderId="23" xfId="0" applyNumberFormat="1" applyFont="1" applyBorder="1" applyAlignment="1">
      <alignment vertical="center" wrapText="1"/>
    </xf>
    <xf numFmtId="49" fontId="2" fillId="0" borderId="15" xfId="0" applyNumberFormat="1" applyFont="1" applyBorder="1" applyAlignment="1">
      <alignment vertical="center" wrapText="1"/>
    </xf>
    <xf numFmtId="49" fontId="2" fillId="8" borderId="35" xfId="0" applyNumberFormat="1" applyFont="1" applyFill="1" applyBorder="1" applyAlignment="1">
      <alignment vertical="center" wrapText="1"/>
    </xf>
    <xf numFmtId="49" fontId="2" fillId="9" borderId="35" xfId="0" applyNumberFormat="1" applyFont="1" applyFill="1" applyBorder="1" applyAlignment="1">
      <alignment vertical="center" wrapText="1"/>
    </xf>
    <xf numFmtId="49" fontId="2" fillId="10" borderId="35" xfId="0" applyNumberFormat="1" applyFont="1" applyFill="1" applyBorder="1" applyAlignment="1">
      <alignment vertical="center" wrapText="1"/>
    </xf>
    <xf numFmtId="49" fontId="2" fillId="10" borderId="23" xfId="0" applyNumberFormat="1" applyFont="1" applyFill="1" applyBorder="1" applyAlignment="1">
      <alignment vertical="center" wrapText="1"/>
    </xf>
    <xf numFmtId="49" fontId="2" fillId="10" borderId="15" xfId="0" applyNumberFormat="1" applyFont="1" applyFill="1" applyBorder="1" applyAlignment="1">
      <alignment vertical="center" wrapText="1"/>
    </xf>
    <xf numFmtId="49" fontId="2" fillId="10" borderId="36" xfId="0" applyNumberFormat="1" applyFont="1" applyFill="1" applyBorder="1" applyAlignment="1">
      <alignment horizontal="left" vertical="center" wrapText="1"/>
    </xf>
    <xf numFmtId="49" fontId="2" fillId="0" borderId="5" xfId="0" applyNumberFormat="1" applyFont="1" applyBorder="1" applyAlignment="1">
      <alignment horizontal="left" vertical="center" wrapText="1"/>
    </xf>
    <xf numFmtId="0" fontId="2" fillId="10" borderId="39" xfId="0" applyFont="1" applyFill="1" applyBorder="1" applyAlignment="1">
      <alignment horizontal="center" vertical="center" wrapText="1"/>
    </xf>
    <xf numFmtId="0" fontId="2" fillId="0" borderId="16" xfId="0" applyFont="1" applyBorder="1" applyAlignment="1">
      <alignment horizontal="center" vertical="center" wrapText="1"/>
    </xf>
    <xf numFmtId="0" fontId="2" fillId="0" borderId="24" xfId="0" applyFont="1" applyBorder="1" applyAlignment="1">
      <alignment horizontal="left" vertical="center" wrapText="1"/>
    </xf>
    <xf numFmtId="49" fontId="2" fillId="11" borderId="23" xfId="0" applyNumberFormat="1" applyFont="1" applyFill="1" applyBorder="1" applyAlignment="1">
      <alignment vertical="center" wrapText="1"/>
    </xf>
    <xf numFmtId="0" fontId="2" fillId="12" borderId="52" xfId="0" applyFont="1" applyFill="1" applyBorder="1" applyAlignment="1">
      <alignment vertical="center" wrapText="1"/>
    </xf>
    <xf numFmtId="0" fontId="0" fillId="0" borderId="53" xfId="0" applyBorder="1" applyAlignment="1">
      <alignment vertical="center" wrapText="1"/>
    </xf>
    <xf numFmtId="0" fontId="2" fillId="12" borderId="54" xfId="0" applyFont="1" applyFill="1" applyBorder="1" applyAlignment="1">
      <alignment vertical="center" wrapText="1"/>
    </xf>
    <xf numFmtId="0" fontId="0" fillId="0" borderId="55" xfId="0" applyBorder="1" applyAlignment="1">
      <alignment vertical="center" wrapText="1"/>
    </xf>
    <xf numFmtId="0" fontId="0" fillId="0" borderId="56" xfId="0" applyBorder="1" applyAlignment="1">
      <alignment vertical="center"/>
    </xf>
    <xf numFmtId="0" fontId="2" fillId="12" borderId="15" xfId="0" applyFont="1" applyFill="1" applyBorder="1" applyAlignment="1">
      <alignment vertical="center" wrapText="1"/>
    </xf>
    <xf numFmtId="0" fontId="0" fillId="0" borderId="5" xfId="0" applyBorder="1" applyAlignment="1">
      <alignment vertical="center" wrapText="1"/>
    </xf>
    <xf numFmtId="0" fontId="0" fillId="0" borderId="5" xfId="0" applyBorder="1" applyAlignment="1">
      <alignment vertical="center"/>
    </xf>
    <xf numFmtId="49" fontId="2" fillId="11" borderId="26" xfId="0" applyNumberFormat="1" applyFont="1" applyFill="1" applyBorder="1" applyAlignment="1">
      <alignment vertical="center" wrapText="1"/>
    </xf>
    <xf numFmtId="49" fontId="2" fillId="8" borderId="8" xfId="0" applyNumberFormat="1" applyFont="1" applyFill="1" applyBorder="1" applyAlignment="1">
      <alignment vertical="center" wrapText="1"/>
    </xf>
    <xf numFmtId="49" fontId="2" fillId="9" borderId="8" xfId="0" applyNumberFormat="1" applyFont="1" applyFill="1" applyBorder="1" applyAlignment="1">
      <alignment vertical="center" wrapText="1"/>
    </xf>
    <xf numFmtId="49" fontId="2" fillId="4" borderId="25" xfId="0" applyNumberFormat="1" applyFont="1" applyFill="1" applyBorder="1" applyAlignment="1">
      <alignment horizontal="center" vertical="center" wrapText="1"/>
    </xf>
    <xf numFmtId="0" fontId="2" fillId="4" borderId="20" xfId="0" applyFont="1" applyFill="1" applyBorder="1" applyAlignment="1">
      <alignment horizontal="center" vertical="center" wrapText="1"/>
    </xf>
    <xf numFmtId="0" fontId="2" fillId="4" borderId="21" xfId="0" applyFont="1" applyFill="1" applyBorder="1" applyAlignment="1">
      <alignment horizontal="center" vertical="center" wrapText="1"/>
    </xf>
    <xf numFmtId="0" fontId="2" fillId="12" borderId="26" xfId="0" applyFont="1" applyFill="1" applyBorder="1" applyAlignment="1">
      <alignment vertical="center" wrapText="1"/>
    </xf>
    <xf numFmtId="0" fontId="0" fillId="0" borderId="23" xfId="0" applyBorder="1" applyAlignment="1">
      <alignment vertical="center" wrapText="1"/>
    </xf>
    <xf numFmtId="0" fontId="0" fillId="0" borderId="15" xfId="0" applyBorder="1" applyAlignment="1">
      <alignment vertical="center" wrapText="1"/>
    </xf>
    <xf numFmtId="49" fontId="2" fillId="16" borderId="35" xfId="0" applyNumberFormat="1" applyFont="1" applyFill="1" applyBorder="1" applyAlignment="1">
      <alignment vertical="center" wrapText="1"/>
    </xf>
    <xf numFmtId="0" fontId="2" fillId="16" borderId="23" xfId="0" applyFont="1" applyFill="1" applyBorder="1" applyAlignment="1">
      <alignment vertical="center" wrapText="1"/>
    </xf>
    <xf numFmtId="0" fontId="2" fillId="16" borderId="24" xfId="0" applyFont="1" applyFill="1" applyBorder="1" applyAlignment="1">
      <alignment vertical="center" wrapText="1"/>
    </xf>
    <xf numFmtId="49" fontId="2" fillId="10" borderId="8" xfId="0" applyNumberFormat="1" applyFont="1" applyFill="1" applyBorder="1" applyAlignment="1">
      <alignment vertical="center" wrapText="1"/>
    </xf>
    <xf numFmtId="0" fontId="2" fillId="0" borderId="24" xfId="0" applyFont="1" applyBorder="1" applyAlignment="1">
      <alignment vertical="center" wrapText="1"/>
    </xf>
    <xf numFmtId="49" fontId="2" fillId="10" borderId="10" xfId="0" applyNumberFormat="1" applyFont="1" applyFill="1" applyBorder="1" applyAlignment="1">
      <alignment vertical="center" wrapText="1"/>
    </xf>
    <xf numFmtId="0" fontId="2" fillId="0" borderId="2" xfId="0" applyFont="1" applyFill="1" applyBorder="1" applyAlignment="1">
      <alignment horizontal="center" vertical="center" wrapText="1"/>
    </xf>
    <xf numFmtId="0" fontId="2" fillId="0" borderId="37" xfId="0" applyFont="1" applyBorder="1" applyAlignment="1">
      <alignment horizontal="center" vertical="center" wrapText="1"/>
    </xf>
    <xf numFmtId="0" fontId="2" fillId="0" borderId="38" xfId="0" applyFont="1" applyBorder="1" applyAlignment="1">
      <alignment horizontal="center" vertical="center" wrapText="1"/>
    </xf>
    <xf numFmtId="49" fontId="2" fillId="8" borderId="23" xfId="0" applyNumberFormat="1" applyFont="1" applyFill="1" applyBorder="1" applyAlignment="1">
      <alignment vertical="center" wrapText="1"/>
    </xf>
    <xf numFmtId="49" fontId="2" fillId="9" borderId="23" xfId="0" applyNumberFormat="1" applyFont="1" applyFill="1" applyBorder="1" applyAlignment="1">
      <alignment vertical="center" wrapText="1"/>
    </xf>
    <xf numFmtId="0" fontId="0" fillId="0" borderId="1" xfId="0" applyBorder="1" applyAlignment="1">
      <alignment vertical="center" wrapText="1"/>
    </xf>
    <xf numFmtId="0" fontId="0" fillId="0" borderId="1" xfId="0" applyBorder="1" applyAlignment="1">
      <alignment vertical="center"/>
    </xf>
    <xf numFmtId="0" fontId="0" fillId="0" borderId="34" xfId="0" applyBorder="1" applyAlignment="1">
      <alignment vertical="center" wrapText="1"/>
    </xf>
    <xf numFmtId="0" fontId="0" fillId="0" borderId="34" xfId="0" applyBorder="1" applyAlignment="1">
      <alignment vertical="center"/>
    </xf>
    <xf numFmtId="0" fontId="2" fillId="12" borderId="25" xfId="0" applyFont="1" applyFill="1" applyBorder="1" applyAlignment="1">
      <alignment horizontal="center" vertical="center" wrapText="1"/>
    </xf>
    <xf numFmtId="0" fontId="0" fillId="0" borderId="20" xfId="0" applyBorder="1" applyAlignment="1">
      <alignment horizontal="center" vertical="center" wrapText="1"/>
    </xf>
    <xf numFmtId="0" fontId="0" fillId="0" borderId="20" xfId="0" applyBorder="1" applyAlignment="1">
      <alignment horizontal="center" vertical="center"/>
    </xf>
    <xf numFmtId="0" fontId="0" fillId="0" borderId="21" xfId="0" applyBorder="1" applyAlignment="1">
      <alignment horizontal="center" vertical="center"/>
    </xf>
    <xf numFmtId="0" fontId="2" fillId="14" borderId="25" xfId="0" applyFont="1" applyFill="1" applyBorder="1" applyAlignment="1" applyProtection="1">
      <alignment horizontal="center" vertical="center" wrapText="1"/>
      <protection locked="0"/>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49" fontId="2" fillId="15" borderId="35" xfId="0" applyNumberFormat="1" applyFont="1" applyFill="1" applyBorder="1" applyAlignment="1">
      <alignment vertical="center" wrapText="1"/>
    </xf>
    <xf numFmtId="49" fontId="2" fillId="15" borderId="23" xfId="0" applyNumberFormat="1" applyFont="1" applyFill="1" applyBorder="1" applyAlignment="1">
      <alignment vertical="center" wrapText="1"/>
    </xf>
    <xf numFmtId="49" fontId="2" fillId="15" borderId="24" xfId="0" applyNumberFormat="1" applyFont="1" applyFill="1" applyBorder="1" applyAlignment="1">
      <alignment vertical="center" wrapText="1"/>
    </xf>
    <xf numFmtId="0" fontId="2" fillId="0" borderId="40" xfId="0" applyFont="1" applyFill="1" applyBorder="1" applyAlignment="1">
      <alignment vertical="center" wrapText="1"/>
    </xf>
    <xf numFmtId="0" fontId="2" fillId="0" borderId="41" xfId="0" applyFont="1" applyBorder="1" applyAlignment="1">
      <alignment vertical="center" wrapText="1"/>
    </xf>
    <xf numFmtId="0" fontId="2" fillId="0" borderId="42" xfId="0" applyFont="1" applyBorder="1" applyAlignment="1">
      <alignment vertical="center" wrapText="1"/>
    </xf>
    <xf numFmtId="0" fontId="2" fillId="0" borderId="32" xfId="0" applyFont="1" applyBorder="1" applyAlignment="1">
      <alignment vertical="center" wrapText="1"/>
    </xf>
    <xf numFmtId="0" fontId="2" fillId="0" borderId="0" xfId="0" applyFont="1" applyBorder="1" applyAlignment="1">
      <alignment vertical="center" wrapText="1"/>
    </xf>
    <xf numFmtId="0" fontId="2" fillId="0" borderId="31" xfId="0" applyFont="1" applyBorder="1" applyAlignment="1">
      <alignment vertical="center" wrapText="1"/>
    </xf>
    <xf numFmtId="0" fontId="0" fillId="0" borderId="24" xfId="0" applyBorder="1" applyAlignment="1">
      <alignment vertical="center" wrapText="1"/>
    </xf>
    <xf numFmtId="0" fontId="0" fillId="0" borderId="41" xfId="0" applyBorder="1" applyAlignment="1">
      <alignment vertical="center" wrapText="1"/>
    </xf>
    <xf numFmtId="0" fontId="0" fillId="0" borderId="42" xfId="0" applyBorder="1" applyAlignment="1">
      <alignment vertical="center" wrapText="1"/>
    </xf>
    <xf numFmtId="0" fontId="0" fillId="0" borderId="32" xfId="0" applyBorder="1" applyAlignment="1">
      <alignment vertical="center" wrapText="1"/>
    </xf>
    <xf numFmtId="0" fontId="0" fillId="0" borderId="0" xfId="0" applyBorder="1" applyAlignment="1">
      <alignment vertical="center" wrapText="1"/>
    </xf>
    <xf numFmtId="0" fontId="0" fillId="0" borderId="31" xfId="0" applyBorder="1" applyAlignment="1">
      <alignment vertical="center" wrapText="1"/>
    </xf>
    <xf numFmtId="0" fontId="0" fillId="0" borderId="33" xfId="0" applyBorder="1" applyAlignment="1">
      <alignment vertical="center" wrapText="1"/>
    </xf>
    <xf numFmtId="0" fontId="0" fillId="0" borderId="27" xfId="0" applyBorder="1" applyAlignment="1">
      <alignment vertical="center" wrapText="1"/>
    </xf>
    <xf numFmtId="0" fontId="0" fillId="0" borderId="28" xfId="0" applyBorder="1" applyAlignment="1">
      <alignment vertical="center" wrapText="1"/>
    </xf>
    <xf numFmtId="0" fontId="23" fillId="0" borderId="0" xfId="0" applyFont="1" applyAlignment="1">
      <alignment horizontal="justify" vertical="center" wrapText="1"/>
    </xf>
    <xf numFmtId="0" fontId="21" fillId="0" borderId="0" xfId="0" applyFont="1" applyAlignment="1">
      <alignment horizontal="center" vertical="center" wrapText="1"/>
    </xf>
    <xf numFmtId="0" fontId="23" fillId="0" borderId="0" xfId="0" applyFont="1" applyAlignment="1">
      <alignment horizontal="center" vertical="center" wrapText="1"/>
    </xf>
    <xf numFmtId="0" fontId="11" fillId="0" borderId="0" xfId="0" applyFont="1" applyAlignment="1">
      <alignment horizontal="center" vertical="center" wrapText="1"/>
    </xf>
    <xf numFmtId="0" fontId="23" fillId="0" borderId="0" xfId="0" applyFont="1" applyFill="1" applyAlignment="1">
      <alignment horizontal="center" vertical="center" wrapText="1"/>
    </xf>
    <xf numFmtId="0" fontId="24" fillId="0" borderId="0" xfId="0" applyFont="1" applyFill="1" applyAlignment="1">
      <alignment horizontal="center" vertical="center" wrapText="1"/>
    </xf>
    <xf numFmtId="0" fontId="2" fillId="0" borderId="32" xfId="0" applyFont="1" applyFill="1" applyBorder="1" applyAlignment="1">
      <alignment horizontal="center" vertical="center" wrapText="1"/>
    </xf>
    <xf numFmtId="0" fontId="0" fillId="0" borderId="0" xfId="0" applyAlignment="1">
      <alignment vertical="center" wrapText="1"/>
    </xf>
    <xf numFmtId="0" fontId="2" fillId="19" borderId="32" xfId="0" applyFont="1" applyFill="1" applyBorder="1" applyAlignment="1">
      <alignment vertical="center"/>
    </xf>
    <xf numFmtId="0" fontId="0" fillId="0" borderId="0" xfId="0" applyAlignment="1">
      <alignment vertical="center"/>
    </xf>
  </cellXfs>
  <cellStyles count="1">
    <cellStyle name="標準" xfId="0" builtinId="0"/>
  </cellStyles>
  <dxfs count="0"/>
  <tableStyles count="0" defaultTableStyle="TableStyleMedium2" defaultPivotStyle="PivotStyleLight16"/>
  <colors>
    <mruColors>
      <color rgb="FFFFFFCC"/>
      <color rgb="FFFFFF99"/>
      <color rgb="FF0000FF"/>
      <color rgb="FF000000"/>
      <color rgb="FF0066FF"/>
      <color rgb="FFDDEBF7"/>
      <color rgb="FFCCFFCC"/>
      <color rgb="FFFFCCFF"/>
      <color rgb="FF66FF66"/>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Weight</a:t>
            </a:r>
            <a:r>
              <a:rPr lang="en-US" altLang="ja-JP" sz="1000" baseline="0"/>
              <a:t> fraction </a:t>
            </a:r>
            <a:r>
              <a:rPr lang="en-US" altLang="ja-JP" sz="1000"/>
              <a:t>(%)</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1"/>
          <c:order val="1"/>
          <c:tx>
            <c:strRef>
              <c:f>'LIB(Gr-TMO)'!$K$35</c:f>
              <c:strCache>
                <c:ptCount val="1"/>
                <c:pt idx="0">
                  <c:v>Wt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5F5-42A8-8BD1-FAA062EC717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5F5-42A8-8BD1-FAA062EC717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5F5-42A8-8BD1-FAA062EC717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5F5-42A8-8BD1-FAA062EC717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5F5-42A8-8BD1-FAA062EC717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5F5-42A8-8BD1-FAA062EC717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5F5-42A8-8BD1-FAA062EC717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5F5-42A8-8BD1-FAA062EC717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35F5-42A8-8BD1-FAA062EC717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35F5-42A8-8BD1-FAA062EC717B}"/>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35F5-42A8-8BD1-FAA062EC717B}"/>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35F5-42A8-8BD1-FAA062EC717B}"/>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35F5-42A8-8BD1-FAA062EC717B}"/>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35F5-42A8-8BD1-FAA062EC717B}"/>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35F5-42A8-8BD1-FAA062EC717B}"/>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'LIB(Gr-TMO)'!$I$36:$I$50</c:f>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f>'LIB(Gr-TMO)'!$K$36:$K$50</c:f>
              <c:numCache>
                <c:formatCode>0.0_);[Red]\(0.0\)</c:formatCode>
                <c:ptCount val="15"/>
                <c:pt idx="0">
                  <c:v>36.209871383963311</c:v>
                </c:pt>
                <c:pt idx="1">
                  <c:v>0.75437232049923553</c:v>
                </c:pt>
                <c:pt idx="2">
                  <c:v>0.75437232049923553</c:v>
                </c:pt>
                <c:pt idx="3">
                  <c:v>3.5065682900075723</c:v>
                </c:pt>
                <c:pt idx="4">
                  <c:v>21.982492775405241</c:v>
                </c:pt>
                <c:pt idx="5">
                  <c:v>0.22546146436313069</c:v>
                </c:pt>
                <c:pt idx="6">
                  <c:v>0.33819219654469596</c:v>
                </c:pt>
                <c:pt idx="7">
                  <c:v>7.2699631662661188</c:v>
                </c:pt>
                <c:pt idx="8">
                  <c:v>2.4714288125390076</c:v>
                </c:pt>
                <c:pt idx="9">
                  <c:v>0</c:v>
                </c:pt>
                <c:pt idx="10">
                  <c:v>0</c:v>
                </c:pt>
                <c:pt idx="11">
                  <c:v>18.946815201658804</c:v>
                </c:pt>
                <c:pt idx="12">
                  <c:v>0.25424955205634781</c:v>
                </c:pt>
                <c:pt idx="13">
                  <c:v>0.80762052893314129</c:v>
                </c:pt>
                <c:pt idx="14">
                  <c:v>6.4785919872641458</c:v>
                </c:pt>
              </c:numCache>
            </c:numRef>
          </c:val>
          <c:extLst>
            <c:ext xmlns:c16="http://schemas.microsoft.com/office/drawing/2014/chart" uri="{C3380CC4-5D6E-409C-BE32-E72D297353CC}">
              <c16:uniqueId val="{0000001E-35F5-42A8-8BD1-FAA062EC717B}"/>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'LIB(Gr-TMO)'!$J$35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35F5-42A8-8BD1-FAA062EC717B}"/>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35F5-42A8-8BD1-FAA062EC717B}"/>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35F5-42A8-8BD1-FAA062EC717B}"/>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35F5-42A8-8BD1-FAA062EC717B}"/>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35F5-42A8-8BD1-FAA062EC717B}"/>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35F5-42A8-8BD1-FAA062EC717B}"/>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35F5-42A8-8BD1-FAA062EC717B}"/>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35F5-42A8-8BD1-FAA062EC717B}"/>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35F5-42A8-8BD1-FAA062EC717B}"/>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35F5-42A8-8BD1-FAA062EC717B}"/>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35F5-42A8-8BD1-FAA062EC717B}"/>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35F5-42A8-8BD1-FAA062EC717B}"/>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35F5-42A8-8BD1-FAA062EC717B}"/>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35F5-42A8-8BD1-FAA062EC717B}"/>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35F5-42A8-8BD1-FAA062EC717B}"/>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'LIB(Gr-TMO)'!$I$36:$I$50</c15:sqref>
                        </c15:formulaRef>
                      </c:ext>
                    </c:extLst>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extLst>
                      <c:ext uri="{02D57815-91ED-43cb-92C2-25804820EDAC}">
                        <c15:formulaRef>
                          <c15:sqref>'LIB(Gr-TMO)'!$J$36:$J$50</c15:sqref>
                        </c15:formulaRef>
                      </c:ext>
                    </c:extLst>
                    <c:numCache>
                      <c:formatCode>0.00_);[Red]\(0.00\)</c:formatCode>
                      <c:ptCount val="15"/>
                      <c:pt idx="0">
                        <c:v>5.2013377926421409</c:v>
                      </c:pt>
                      <c:pt idx="1">
                        <c:v>0.10836120401337793</c:v>
                      </c:pt>
                      <c:pt idx="2">
                        <c:v>0.10836120401337793</c:v>
                      </c:pt>
                      <c:pt idx="3">
                        <c:v>0.503698176</c:v>
                      </c:pt>
                      <c:pt idx="4">
                        <c:v>3.1576574585635364</c:v>
                      </c:pt>
                      <c:pt idx="5">
                        <c:v>3.2386230344241401E-2</c:v>
                      </c:pt>
                      <c:pt idx="6">
                        <c:v>4.8579345516362095E-2</c:v>
                      </c:pt>
                      <c:pt idx="7">
                        <c:v>1.0442880000000003</c:v>
                      </c:pt>
                      <c:pt idx="8">
                        <c:v>0.35500639999999994</c:v>
                      </c:pt>
                      <c:pt idx="9">
                        <c:v>0</c:v>
                      </c:pt>
                      <c:pt idx="10">
                        <c:v>0</c:v>
                      </c:pt>
                      <c:pt idx="11">
                        <c:v>2.7216000000000005</c:v>
                      </c:pt>
                      <c:pt idx="12">
                        <c:v>3.6521471999999999E-2</c:v>
                      </c:pt>
                      <c:pt idx="13">
                        <c:v>0.11600999999999999</c:v>
                      </c:pt>
                      <c:pt idx="14">
                        <c:v>0.93061212477516531</c:v>
                      </c:pt>
                    </c:numCache>
                  </c:numRef>
                </c:val>
                <c:extLst>
                  <c:ext xmlns:c16="http://schemas.microsoft.com/office/drawing/2014/chart" uri="{C3380CC4-5D6E-409C-BE32-E72D297353CC}">
                    <c16:uniqueId val="{0000003D-35F5-42A8-8BD1-FAA062EC717B}"/>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'LIB(Gr-TMO)'!$L$35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35F5-42A8-8BD1-FAA062EC717B}"/>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35F5-42A8-8BD1-FAA062EC717B}"/>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35F5-42A8-8BD1-FAA062EC717B}"/>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35F5-42A8-8BD1-FAA062EC717B}"/>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35F5-42A8-8BD1-FAA062EC717B}"/>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35F5-42A8-8BD1-FAA062EC717B}"/>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35F5-42A8-8BD1-FAA062EC717B}"/>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35F5-42A8-8BD1-FAA062EC717B}"/>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35F5-42A8-8BD1-FAA062EC717B}"/>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35F5-42A8-8BD1-FAA062EC717B}"/>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35F5-42A8-8BD1-FAA062EC717B}"/>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35F5-42A8-8BD1-FAA062EC717B}"/>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35F5-42A8-8BD1-FAA062EC717B}"/>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35F5-42A8-8BD1-FAA062EC717B}"/>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35F5-42A8-8BD1-FAA062EC717B}"/>
                    </c:ext>
                  </c:extLst>
                </c:dPt>
                <c:cat>
                  <c:strRef>
                    <c:extLst xmlns:c15="http://schemas.microsoft.com/office/drawing/2012/chart">
                      <c:ext xmlns:c15="http://schemas.microsoft.com/office/drawing/2012/chart" uri="{02D57815-91ED-43cb-92C2-25804820EDAC}">
                        <c15:formulaRef>
                          <c15:sqref>'LIB(Gr-TMO)'!$I$36:$I$50</c15:sqref>
                        </c15:formulaRef>
                      </c:ext>
                    </c:extLst>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'LIB(Gr-TMO)'!$L$36:$L$50</c15:sqref>
                        </c15:formulaRef>
                      </c:ext>
                    </c:extLst>
                    <c:numCache>
                      <c:formatCode>0.00_);[Red]\(0.00\)</c:formatCode>
                      <c:ptCount val="15"/>
                      <c:pt idx="0">
                        <c:v>1.1066676154557746</c:v>
                      </c:pt>
                      <c:pt idx="1">
                        <c:v>6.0200668896321058E-2</c:v>
                      </c:pt>
                      <c:pt idx="2">
                        <c:v>6.0877080906392093E-2</c:v>
                      </c:pt>
                      <c:pt idx="3">
                        <c:v>0.18662400000000001</c:v>
                      </c:pt>
                      <c:pt idx="4">
                        <c:v>1.4352988448016073</c:v>
                      </c:pt>
                      <c:pt idx="5">
                        <c:v>2.0241393965150876E-2</c:v>
                      </c:pt>
                      <c:pt idx="6">
                        <c:v>5.1136153175118E-2</c:v>
                      </c:pt>
                      <c:pt idx="7">
                        <c:v>0.11655000000000001</c:v>
                      </c:pt>
                      <c:pt idx="8">
                        <c:v>0.38172731182795694</c:v>
                      </c:pt>
                      <c:pt idx="9">
                        <c:v>0</c:v>
                      </c:pt>
                      <c:pt idx="10">
                        <c:v>0</c:v>
                      </c:pt>
                      <c:pt idx="11">
                        <c:v>2.474181818181818</c:v>
                      </c:pt>
                      <c:pt idx="12">
                        <c:v>7.2960000000000004E-3</c:v>
                      </c:pt>
                      <c:pt idx="13">
                        <c:v>0.02</c:v>
                      </c:pt>
                      <c:pt idx="14">
                        <c:v>0.56284444659941268</c:v>
                      </c:pt>
                    </c:numCache>
                  </c:numRef>
                </c:val>
                <c:extLst xmlns:c15="http://schemas.microsoft.com/office/drawing/2012/chart">
                  <c:ext xmlns:c16="http://schemas.microsoft.com/office/drawing/2014/chart" uri="{C3380CC4-5D6E-409C-BE32-E72D297353CC}">
                    <c16:uniqueId val="{0000005C-35F5-42A8-8BD1-FAA062EC717B}"/>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'LIB(Gr-TMO)'!$M$35</c15:sqref>
                        </c15:formulaRef>
                      </c:ext>
                    </c:extLst>
                    <c:strCache>
                      <c:ptCount val="1"/>
                      <c:pt idx="0">
                        <c:v>Vol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35F5-42A8-8BD1-FAA062EC717B}"/>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35F5-42A8-8BD1-FAA062EC717B}"/>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35F5-42A8-8BD1-FAA062EC717B}"/>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35F5-42A8-8BD1-FAA062EC717B}"/>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35F5-42A8-8BD1-FAA062EC717B}"/>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35F5-42A8-8BD1-FAA062EC717B}"/>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35F5-42A8-8BD1-FAA062EC717B}"/>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35F5-42A8-8BD1-FAA062EC717B}"/>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35F5-42A8-8BD1-FAA062EC717B}"/>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35F5-42A8-8BD1-FAA062EC717B}"/>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35F5-42A8-8BD1-FAA062EC717B}"/>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35F5-42A8-8BD1-FAA062EC717B}"/>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35F5-42A8-8BD1-FAA062EC717B}"/>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35F5-42A8-8BD1-FAA062EC717B}"/>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35F5-42A8-8BD1-FAA062EC717B}"/>
                    </c:ext>
                  </c:extLst>
                </c:dPt>
                <c:cat>
                  <c:strRef>
                    <c:extLst xmlns:c15="http://schemas.microsoft.com/office/drawing/2012/chart">
                      <c:ext xmlns:c15="http://schemas.microsoft.com/office/drawing/2012/chart" uri="{02D57815-91ED-43cb-92C2-25804820EDAC}">
                        <c15:formulaRef>
                          <c15:sqref>'LIB(Gr-TMO)'!$I$36:$I$50</c15:sqref>
                        </c15:formulaRef>
                      </c:ext>
                    </c:extLst>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'LIB(Gr-TMO)'!$M$36:$M$50</c15:sqref>
                        </c15:formulaRef>
                      </c:ext>
                    </c:extLst>
                    <c:numCache>
                      <c:formatCode>0.0_);[Red]\(0.0\)</c:formatCode>
                      <c:ptCount val="15"/>
                      <c:pt idx="0">
                        <c:v>17.068601974339295</c:v>
                      </c:pt>
                      <c:pt idx="1">
                        <c:v>0.92850033888188277</c:v>
                      </c:pt>
                      <c:pt idx="2">
                        <c:v>0.93893292695920749</c:v>
                      </c:pt>
                      <c:pt idx="3">
                        <c:v>2.8783807625446816</c:v>
                      </c:pt>
                      <c:pt idx="4">
                        <c:v>22.137220204151401</c:v>
                      </c:pt>
                      <c:pt idx="5">
                        <c:v>0.31219156698162237</c:v>
                      </c:pt>
                      <c:pt idx="6">
                        <c:v>0.78869448500620376</c:v>
                      </c:pt>
                      <c:pt idx="7">
                        <c:v>1.7975998685837977</c:v>
                      </c:pt>
                      <c:pt idx="8">
                        <c:v>5.8875415321903191</c:v>
                      </c:pt>
                      <c:pt idx="9">
                        <c:v>0</c:v>
                      </c:pt>
                      <c:pt idx="10">
                        <c:v>0</c:v>
                      </c:pt>
                      <c:pt idx="11">
                        <c:v>38.160351018584784</c:v>
                      </c:pt>
                      <c:pt idx="12">
                        <c:v>0.11252928907067684</c:v>
                      </c:pt>
                      <c:pt idx="13">
                        <c:v>0.30846844591742556</c:v>
                      </c:pt>
                      <c:pt idx="14">
                        <c:v>8.6809875867887136</c:v>
                      </c:pt>
                    </c:numCache>
                  </c:numRef>
                </c:val>
                <c:extLst xmlns:c15="http://schemas.microsoft.com/office/drawing/2012/chart">
                  <c:ext xmlns:c16="http://schemas.microsoft.com/office/drawing/2014/chart" uri="{C3380CC4-5D6E-409C-BE32-E72D297353CC}">
                    <c16:uniqueId val="{0000007B-35F5-42A8-8BD1-FAA062EC717B}"/>
                  </c:ext>
                </c:extLst>
              </c15:ser>
            </c15:filteredPieSeries>
          </c:ext>
        </c:extLst>
      </c:pieChart>
      <c:spPr>
        <a:noFill/>
        <a:ln>
          <a:noFill/>
        </a:ln>
        <a:effectLst/>
      </c:spPr>
    </c:plotArea>
    <c:legend>
      <c:legendPos val="b"/>
      <c:layout>
        <c:manualLayout>
          <c:xMode val="edge"/>
          <c:yMode val="edge"/>
          <c:x val="0.71613304878946193"/>
          <c:y val="4.108632254301546E-2"/>
          <c:w val="0.25011426771653539"/>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Volume fraction (%)</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3"/>
          <c:order val="3"/>
          <c:tx>
            <c:strRef>
              <c:f>'LMB(O2)'!$M$35</c:f>
              <c:strCache>
                <c:ptCount val="1"/>
                <c:pt idx="0">
                  <c:v>Vol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A3DA-4B5C-BE0C-8E8C59863F2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A3DA-4B5C-BE0C-8E8C59863F2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A3DA-4B5C-BE0C-8E8C59863F2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A3DA-4B5C-BE0C-8E8C59863F2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A3DA-4B5C-BE0C-8E8C59863F2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A3DA-4B5C-BE0C-8E8C59863F2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A3DA-4B5C-BE0C-8E8C59863F2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A3DA-4B5C-BE0C-8E8C59863F23}"/>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A3DA-4B5C-BE0C-8E8C59863F23}"/>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A3DA-4B5C-BE0C-8E8C59863F23}"/>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A3DA-4B5C-BE0C-8E8C59863F23}"/>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A3DA-4B5C-BE0C-8E8C59863F23}"/>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A3DA-4B5C-BE0C-8E8C59863F23}"/>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A3DA-4B5C-BE0C-8E8C59863F23}"/>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A3DA-4B5C-BE0C-8E8C59863F23}"/>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'LMB(O2)'!$I$36:$I$50</c:f>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'LMB(O2)'!$M$36:$M$50</c:f>
              <c:numCache>
                <c:formatCode>0.0_);[Red]\(0.0\)</c:formatCode>
                <c:ptCount val="15"/>
                <c:pt idx="0">
                  <c:v>8.4691524725706255</c:v>
                </c:pt>
                <c:pt idx="1">
                  <c:v>0</c:v>
                </c:pt>
                <c:pt idx="2">
                  <c:v>0</c:v>
                </c:pt>
                <c:pt idx="3">
                  <c:v>11.433355837970343</c:v>
                </c:pt>
                <c:pt idx="4">
                  <c:v>21.571020590031136</c:v>
                </c:pt>
                <c:pt idx="5">
                  <c:v>0</c:v>
                </c:pt>
                <c:pt idx="6">
                  <c:v>0</c:v>
                </c:pt>
                <c:pt idx="7">
                  <c:v>1.9040889673574584</c:v>
                </c:pt>
                <c:pt idx="8">
                  <c:v>6.2363171427767732</c:v>
                </c:pt>
                <c:pt idx="9">
                  <c:v>0</c:v>
                </c:pt>
                <c:pt idx="10">
                  <c:v>0</c:v>
                </c:pt>
                <c:pt idx="11">
                  <c:v>40.42095498272343</c:v>
                </c:pt>
                <c:pt idx="12">
                  <c:v>0.32621920635086843</c:v>
                </c:pt>
                <c:pt idx="13">
                  <c:v>0.32674199354053329</c:v>
                </c:pt>
                <c:pt idx="14">
                  <c:v>9.3121488066788167</c:v>
                </c:pt>
              </c:numCache>
            </c:numRef>
          </c:val>
          <c:extLst>
            <c:ext xmlns:c16="http://schemas.microsoft.com/office/drawing/2014/chart" uri="{C3380CC4-5D6E-409C-BE32-E72D297353CC}">
              <c16:uniqueId val="{0000001E-A3DA-4B5C-BE0C-8E8C59863F23}"/>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'LMB(O2)'!$J$35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A3DA-4B5C-BE0C-8E8C59863F23}"/>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A3DA-4B5C-BE0C-8E8C59863F23}"/>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A3DA-4B5C-BE0C-8E8C59863F23}"/>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A3DA-4B5C-BE0C-8E8C59863F23}"/>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A3DA-4B5C-BE0C-8E8C59863F23}"/>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A3DA-4B5C-BE0C-8E8C59863F23}"/>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A3DA-4B5C-BE0C-8E8C59863F23}"/>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A3DA-4B5C-BE0C-8E8C59863F23}"/>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A3DA-4B5C-BE0C-8E8C59863F23}"/>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A3DA-4B5C-BE0C-8E8C59863F23}"/>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A3DA-4B5C-BE0C-8E8C59863F23}"/>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A3DA-4B5C-BE0C-8E8C59863F23}"/>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A3DA-4B5C-BE0C-8E8C59863F23}"/>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A3DA-4B5C-BE0C-8E8C59863F23}"/>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A3DA-4B5C-BE0C-8E8C59863F2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'LMB(O2)'!$I$36:$I$50</c15:sqref>
                        </c15:formulaRef>
                      </c:ext>
                    </c:extLst>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'LMB(O2)'!$J$36:$J$50</c15:sqref>
                        </c15:formulaRef>
                      </c:ext>
                    </c:extLst>
                    <c:numCache>
                      <c:formatCode>0.00_);[Red]\(0.00\)</c:formatCode>
                      <c:ptCount val="15"/>
                      <c:pt idx="0">
                        <c:v>0.72576000000000007</c:v>
                      </c:pt>
                      <c:pt idx="1">
                        <c:v>0</c:v>
                      </c:pt>
                      <c:pt idx="2">
                        <c:v>0.64993432835820908</c:v>
                      </c:pt>
                      <c:pt idx="3">
                        <c:v>0.67884480000000003</c:v>
                      </c:pt>
                      <c:pt idx="4">
                        <c:v>0.7050777202072539</c:v>
                      </c:pt>
                      <c:pt idx="5">
                        <c:v>0</c:v>
                      </c:pt>
                      <c:pt idx="6">
                        <c:v>0</c:v>
                      </c:pt>
                      <c:pt idx="7">
                        <c:v>1.0442880000000003</c:v>
                      </c:pt>
                      <c:pt idx="8">
                        <c:v>0.35500639999999994</c:v>
                      </c:pt>
                      <c:pt idx="9">
                        <c:v>0</c:v>
                      </c:pt>
                      <c:pt idx="10">
                        <c:v>0</c:v>
                      </c:pt>
                      <c:pt idx="11">
                        <c:v>2.7216000000000005</c:v>
                      </c:pt>
                      <c:pt idx="12">
                        <c:v>4.084608E-2</c:v>
                      </c:pt>
                      <c:pt idx="13">
                        <c:v>0.17802000000000001</c:v>
                      </c:pt>
                      <c:pt idx="14">
                        <c:v>0.94244338329599997</c:v>
                      </c:pt>
                    </c:numCache>
                  </c:numRef>
                </c:val>
                <c:extLst>
                  <c:ext xmlns:c16="http://schemas.microsoft.com/office/drawing/2014/chart" uri="{C3380CC4-5D6E-409C-BE32-E72D297353CC}">
                    <c16:uniqueId val="{0000003D-A3DA-4B5C-BE0C-8E8C59863F23}"/>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'LMB(O2)'!$K$35</c15:sqref>
                        </c15:formulaRef>
                      </c:ext>
                    </c:extLst>
                    <c:strCache>
                      <c:ptCount val="1"/>
                      <c:pt idx="0">
                        <c:v>Wt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A3DA-4B5C-BE0C-8E8C59863F23}"/>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A3DA-4B5C-BE0C-8E8C59863F23}"/>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A3DA-4B5C-BE0C-8E8C59863F23}"/>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A3DA-4B5C-BE0C-8E8C59863F23}"/>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A3DA-4B5C-BE0C-8E8C59863F23}"/>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A3DA-4B5C-BE0C-8E8C59863F23}"/>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A3DA-4B5C-BE0C-8E8C59863F23}"/>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A3DA-4B5C-BE0C-8E8C59863F23}"/>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A3DA-4B5C-BE0C-8E8C59863F23}"/>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A3DA-4B5C-BE0C-8E8C59863F23}"/>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A3DA-4B5C-BE0C-8E8C59863F23}"/>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A3DA-4B5C-BE0C-8E8C59863F23}"/>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A3DA-4B5C-BE0C-8E8C59863F23}"/>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A3DA-4B5C-BE0C-8E8C59863F23}"/>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A3DA-4B5C-BE0C-8E8C59863F23}"/>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'LMB(O2)'!$I$36:$I$50</c15:sqref>
                        </c15:formulaRef>
                      </c:ext>
                    </c:extLst>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'LMB(O2)'!$K$36:$K$50</c15:sqref>
                        </c15:formulaRef>
                      </c:ext>
                    </c:extLst>
                    <c:numCache>
                      <c:formatCode>0.0_);[Red]\(0.0\)</c:formatCode>
                      <c:ptCount val="15"/>
                      <c:pt idx="0">
                        <c:v>9.0248219402544514</c:v>
                      </c:pt>
                      <c:pt idx="1">
                        <c:v>0</c:v>
                      </c:pt>
                      <c:pt idx="2">
                        <c:v>8.0819300957502556</c:v>
                      </c:pt>
                      <c:pt idx="3">
                        <c:v>8.4414316648308585</c:v>
                      </c:pt>
                      <c:pt idx="4">
                        <c:v>8.7676378953249205</c:v>
                      </c:pt>
                      <c:pt idx="5">
                        <c:v>0</c:v>
                      </c:pt>
                      <c:pt idx="6">
                        <c:v>0</c:v>
                      </c:pt>
                      <c:pt idx="7">
                        <c:v>12.985716014032796</c:v>
                      </c:pt>
                      <c:pt idx="8">
                        <c:v>4.4145027938309456</c:v>
                      </c:pt>
                      <c:pt idx="9">
                        <c:v>0</c:v>
                      </c:pt>
                      <c:pt idx="10">
                        <c:v>0</c:v>
                      </c:pt>
                      <c:pt idx="11">
                        <c:v>33.843082275954195</c:v>
                      </c:pt>
                      <c:pt idx="12">
                        <c:v>0.50792079882797136</c:v>
                      </c:pt>
                      <c:pt idx="13">
                        <c:v>2.2136778023094377</c:v>
                      </c:pt>
                      <c:pt idx="14">
                        <c:v>11.719278718884169</c:v>
                      </c:pt>
                    </c:numCache>
                  </c:numRef>
                </c:val>
                <c:extLst xmlns:c15="http://schemas.microsoft.com/office/drawing/2012/chart">
                  <c:ext xmlns:c16="http://schemas.microsoft.com/office/drawing/2014/chart" uri="{C3380CC4-5D6E-409C-BE32-E72D297353CC}">
                    <c16:uniqueId val="{0000005C-A3DA-4B5C-BE0C-8E8C59863F23}"/>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'LMB(O2)'!$L$35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A3DA-4B5C-BE0C-8E8C59863F23}"/>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A3DA-4B5C-BE0C-8E8C59863F23}"/>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A3DA-4B5C-BE0C-8E8C59863F23}"/>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A3DA-4B5C-BE0C-8E8C59863F23}"/>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A3DA-4B5C-BE0C-8E8C59863F23}"/>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A3DA-4B5C-BE0C-8E8C59863F23}"/>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A3DA-4B5C-BE0C-8E8C59863F23}"/>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A3DA-4B5C-BE0C-8E8C59863F23}"/>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A3DA-4B5C-BE0C-8E8C59863F23}"/>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A3DA-4B5C-BE0C-8E8C59863F23}"/>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A3DA-4B5C-BE0C-8E8C59863F23}"/>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A3DA-4B5C-BE0C-8E8C59863F23}"/>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A3DA-4B5C-BE0C-8E8C59863F23}"/>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A3DA-4B5C-BE0C-8E8C59863F23}"/>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A3DA-4B5C-BE0C-8E8C59863F23}"/>
                    </c:ext>
                  </c:extLst>
                </c:dPt>
                <c:cat>
                  <c:strRef>
                    <c:extLst xmlns:c15="http://schemas.microsoft.com/office/drawing/2012/chart">
                      <c:ext xmlns:c15="http://schemas.microsoft.com/office/drawing/2012/chart" uri="{02D57815-91ED-43cb-92C2-25804820EDAC}">
                        <c15:formulaRef>
                          <c15:sqref>'LMB(O2)'!$I$36:$I$50</c15:sqref>
                        </c15:formulaRef>
                      </c:ext>
                    </c:extLst>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'LMB(O2)'!$L$36:$L$50</c15:sqref>
                        </c15:formulaRef>
                      </c:ext>
                    </c:extLst>
                    <c:numCache>
                      <c:formatCode>0.00_);[Red]\(0.00\)</c:formatCode>
                      <c:ptCount val="15"/>
                      <c:pt idx="0">
                        <c:v>0.51840000000000008</c:v>
                      </c:pt>
                      <c:pt idx="1">
                        <c:v>0</c:v>
                      </c:pt>
                      <c:pt idx="2">
                        <c:v>0</c:v>
                      </c:pt>
                      <c:pt idx="3">
                        <c:v>0.69984000000000002</c:v>
                      </c:pt>
                      <c:pt idx="4">
                        <c:v>1.3203702625604006</c:v>
                      </c:pt>
                      <c:pt idx="5">
                        <c:v>0</c:v>
                      </c:pt>
                      <c:pt idx="6">
                        <c:v>0</c:v>
                      </c:pt>
                      <c:pt idx="7">
                        <c:v>0.11655000000000001</c:v>
                      </c:pt>
                      <c:pt idx="8">
                        <c:v>0.38172731182795694</c:v>
                      </c:pt>
                      <c:pt idx="9">
                        <c:v>0</c:v>
                      </c:pt>
                      <c:pt idx="10">
                        <c:v>0</c:v>
                      </c:pt>
                      <c:pt idx="11">
                        <c:v>2.474181818181818</c:v>
                      </c:pt>
                      <c:pt idx="12">
                        <c:v>1.9967999999999996E-2</c:v>
                      </c:pt>
                      <c:pt idx="13">
                        <c:v>0.02</c:v>
                      </c:pt>
                      <c:pt idx="14">
                        <c:v>0.57000012185599991</c:v>
                      </c:pt>
                    </c:numCache>
                  </c:numRef>
                </c:val>
                <c:extLst xmlns:c15="http://schemas.microsoft.com/office/drawing/2012/chart">
                  <c:ext xmlns:c16="http://schemas.microsoft.com/office/drawing/2014/chart" uri="{C3380CC4-5D6E-409C-BE32-E72D297353CC}">
                    <c16:uniqueId val="{0000007B-A3DA-4B5C-BE0C-8E8C59863F23}"/>
                  </c:ext>
                </c:extLst>
              </c15:ser>
            </c15:filteredPieSeries>
          </c:ext>
        </c:extLst>
      </c:pieChart>
      <c:spPr>
        <a:noFill/>
        <a:ln>
          <a:noFill/>
        </a:ln>
        <a:effectLst/>
      </c:spPr>
    </c:plotArea>
    <c:legend>
      <c:legendPos val="b"/>
      <c:layout>
        <c:manualLayout>
          <c:xMode val="edge"/>
          <c:yMode val="edge"/>
          <c:x val="0.71613304878946193"/>
          <c:y val="4.108632254301546E-2"/>
          <c:w val="0.25104918703343898"/>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Volume fraction (%)</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3"/>
          <c:order val="3"/>
          <c:tx>
            <c:strRef>
              <c:f>'LIB(Gr-TMO)'!$M$35</c:f>
              <c:strCache>
                <c:ptCount val="1"/>
                <c:pt idx="0">
                  <c:v>Vol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C87-46C2-8498-5E581A83C6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C87-46C2-8498-5E581A83C65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C87-46C2-8498-5E581A83C65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C87-46C2-8498-5E581A83C65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C87-46C2-8498-5E581A83C65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C87-46C2-8498-5E581A83C65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C87-46C2-8498-5E581A83C65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C87-46C2-8498-5E581A83C65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3C87-46C2-8498-5E581A83C65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3C87-46C2-8498-5E581A83C655}"/>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3C87-46C2-8498-5E581A83C655}"/>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3C87-46C2-8498-5E581A83C655}"/>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3C87-46C2-8498-5E581A83C655}"/>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3C87-46C2-8498-5E581A83C655}"/>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3C87-46C2-8498-5E581A83C655}"/>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'LIB(Gr-TMO)'!$I$36:$I$50</c:f>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f>'LIB(Gr-TMO)'!$M$36:$M$50</c:f>
              <c:numCache>
                <c:formatCode>0.0_);[Red]\(0.0\)</c:formatCode>
                <c:ptCount val="15"/>
                <c:pt idx="0">
                  <c:v>17.068601974339295</c:v>
                </c:pt>
                <c:pt idx="1">
                  <c:v>0.92850033888188277</c:v>
                </c:pt>
                <c:pt idx="2">
                  <c:v>0.93893292695920749</c:v>
                </c:pt>
                <c:pt idx="3">
                  <c:v>2.8783807625446816</c:v>
                </c:pt>
                <c:pt idx="4">
                  <c:v>22.137220204151401</c:v>
                </c:pt>
                <c:pt idx="5">
                  <c:v>0.31219156698162237</c:v>
                </c:pt>
                <c:pt idx="6">
                  <c:v>0.78869448500620376</c:v>
                </c:pt>
                <c:pt idx="7">
                  <c:v>1.7975998685837977</c:v>
                </c:pt>
                <c:pt idx="8">
                  <c:v>5.8875415321903191</c:v>
                </c:pt>
                <c:pt idx="9">
                  <c:v>0</c:v>
                </c:pt>
                <c:pt idx="10">
                  <c:v>0</c:v>
                </c:pt>
                <c:pt idx="11">
                  <c:v>38.160351018584784</c:v>
                </c:pt>
                <c:pt idx="12">
                  <c:v>0.11252928907067684</c:v>
                </c:pt>
                <c:pt idx="13">
                  <c:v>0.30846844591742556</c:v>
                </c:pt>
                <c:pt idx="14">
                  <c:v>8.6809875867887136</c:v>
                </c:pt>
              </c:numCache>
            </c:numRef>
          </c:val>
          <c:extLst>
            <c:ext xmlns:c16="http://schemas.microsoft.com/office/drawing/2014/chart" uri="{C3380CC4-5D6E-409C-BE32-E72D297353CC}">
              <c16:uniqueId val="{0000001E-3C87-46C2-8498-5E581A83C655}"/>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'LIB(Gr-TMO)'!$J$35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3C87-46C2-8498-5E581A83C655}"/>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3C87-46C2-8498-5E581A83C655}"/>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3C87-46C2-8498-5E581A83C655}"/>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3C87-46C2-8498-5E581A83C655}"/>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3C87-46C2-8498-5E581A83C655}"/>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3C87-46C2-8498-5E581A83C655}"/>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3C87-46C2-8498-5E581A83C655}"/>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3C87-46C2-8498-5E581A83C655}"/>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3C87-46C2-8498-5E581A83C655}"/>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3C87-46C2-8498-5E581A83C655}"/>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3C87-46C2-8498-5E581A83C655}"/>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3C87-46C2-8498-5E581A83C655}"/>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3C87-46C2-8498-5E581A83C655}"/>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3C87-46C2-8498-5E581A83C655}"/>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3C87-46C2-8498-5E581A83C65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'LIB(Gr-TMO)'!$I$36:$I$50</c15:sqref>
                        </c15:formulaRef>
                      </c:ext>
                    </c:extLst>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extLst>
                      <c:ext uri="{02D57815-91ED-43cb-92C2-25804820EDAC}">
                        <c15:formulaRef>
                          <c15:sqref>'LIB(Gr-TMO)'!$J$36:$J$50</c15:sqref>
                        </c15:formulaRef>
                      </c:ext>
                    </c:extLst>
                    <c:numCache>
                      <c:formatCode>0.00_);[Red]\(0.00\)</c:formatCode>
                      <c:ptCount val="15"/>
                      <c:pt idx="0">
                        <c:v>5.2013377926421409</c:v>
                      </c:pt>
                      <c:pt idx="1">
                        <c:v>0.10836120401337793</c:v>
                      </c:pt>
                      <c:pt idx="2">
                        <c:v>0.10836120401337793</c:v>
                      </c:pt>
                      <c:pt idx="3">
                        <c:v>0.503698176</c:v>
                      </c:pt>
                      <c:pt idx="4">
                        <c:v>3.1576574585635364</c:v>
                      </c:pt>
                      <c:pt idx="5">
                        <c:v>3.2386230344241401E-2</c:v>
                      </c:pt>
                      <c:pt idx="6">
                        <c:v>4.8579345516362095E-2</c:v>
                      </c:pt>
                      <c:pt idx="7">
                        <c:v>1.0442880000000003</c:v>
                      </c:pt>
                      <c:pt idx="8">
                        <c:v>0.35500639999999994</c:v>
                      </c:pt>
                      <c:pt idx="9">
                        <c:v>0</c:v>
                      </c:pt>
                      <c:pt idx="10">
                        <c:v>0</c:v>
                      </c:pt>
                      <c:pt idx="11">
                        <c:v>2.7216000000000005</c:v>
                      </c:pt>
                      <c:pt idx="12">
                        <c:v>3.6521471999999999E-2</c:v>
                      </c:pt>
                      <c:pt idx="13">
                        <c:v>0.11600999999999999</c:v>
                      </c:pt>
                      <c:pt idx="14">
                        <c:v>0.93061212477516531</c:v>
                      </c:pt>
                    </c:numCache>
                  </c:numRef>
                </c:val>
                <c:extLst>
                  <c:ext xmlns:c16="http://schemas.microsoft.com/office/drawing/2014/chart" uri="{C3380CC4-5D6E-409C-BE32-E72D297353CC}">
                    <c16:uniqueId val="{0000003D-3C87-46C2-8498-5E581A83C655}"/>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'LIB(Gr-TMO)'!$K$35</c15:sqref>
                        </c15:formulaRef>
                      </c:ext>
                    </c:extLst>
                    <c:strCache>
                      <c:ptCount val="1"/>
                      <c:pt idx="0">
                        <c:v>Wt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3C87-46C2-8498-5E581A83C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3C87-46C2-8498-5E581A83C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3C87-46C2-8498-5E581A83C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3C87-46C2-8498-5E581A83C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3C87-46C2-8498-5E581A83C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3C87-46C2-8498-5E581A83C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3C87-46C2-8498-5E581A83C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3C87-46C2-8498-5E581A83C655}"/>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3C87-46C2-8498-5E581A83C655}"/>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3C87-46C2-8498-5E581A83C655}"/>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3C87-46C2-8498-5E581A83C655}"/>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3C87-46C2-8498-5E581A83C655}"/>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3C87-46C2-8498-5E581A83C655}"/>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3C87-46C2-8498-5E581A83C655}"/>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3C87-46C2-8498-5E581A83C655}"/>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'LIB(Gr-TMO)'!$I$36:$I$50</c15:sqref>
                        </c15:formulaRef>
                      </c:ext>
                    </c:extLst>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'LIB(Gr-TMO)'!$K$36:$K$50</c15:sqref>
                        </c15:formulaRef>
                      </c:ext>
                    </c:extLst>
                    <c:numCache>
                      <c:formatCode>0.0_);[Red]\(0.0\)</c:formatCode>
                      <c:ptCount val="15"/>
                      <c:pt idx="0">
                        <c:v>36.209871383963311</c:v>
                      </c:pt>
                      <c:pt idx="1">
                        <c:v>0.75437232049923553</c:v>
                      </c:pt>
                      <c:pt idx="2">
                        <c:v>0.75437232049923553</c:v>
                      </c:pt>
                      <c:pt idx="3">
                        <c:v>3.5065682900075723</c:v>
                      </c:pt>
                      <c:pt idx="4">
                        <c:v>21.982492775405241</c:v>
                      </c:pt>
                      <c:pt idx="5">
                        <c:v>0.22546146436313069</c:v>
                      </c:pt>
                      <c:pt idx="6">
                        <c:v>0.33819219654469596</c:v>
                      </c:pt>
                      <c:pt idx="7">
                        <c:v>7.2699631662661188</c:v>
                      </c:pt>
                      <c:pt idx="8">
                        <c:v>2.4714288125390076</c:v>
                      </c:pt>
                      <c:pt idx="9">
                        <c:v>0</c:v>
                      </c:pt>
                      <c:pt idx="10">
                        <c:v>0</c:v>
                      </c:pt>
                      <c:pt idx="11">
                        <c:v>18.946815201658804</c:v>
                      </c:pt>
                      <c:pt idx="12">
                        <c:v>0.25424955205634781</c:v>
                      </c:pt>
                      <c:pt idx="13">
                        <c:v>0.80762052893314129</c:v>
                      </c:pt>
                      <c:pt idx="14">
                        <c:v>6.4785919872641458</c:v>
                      </c:pt>
                    </c:numCache>
                  </c:numRef>
                </c:val>
                <c:extLst xmlns:c15="http://schemas.microsoft.com/office/drawing/2012/chart">
                  <c:ext xmlns:c16="http://schemas.microsoft.com/office/drawing/2014/chart" uri="{C3380CC4-5D6E-409C-BE32-E72D297353CC}">
                    <c16:uniqueId val="{0000005C-3C87-46C2-8498-5E581A83C655}"/>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'LIB(Gr-TMO)'!$L$35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3C87-46C2-8498-5E581A83C655}"/>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3C87-46C2-8498-5E581A83C655}"/>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3C87-46C2-8498-5E581A83C655}"/>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3C87-46C2-8498-5E581A83C655}"/>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3C87-46C2-8498-5E581A83C655}"/>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3C87-46C2-8498-5E581A83C655}"/>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3C87-46C2-8498-5E581A83C655}"/>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3C87-46C2-8498-5E581A83C655}"/>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3C87-46C2-8498-5E581A83C655}"/>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3C87-46C2-8498-5E581A83C655}"/>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3C87-46C2-8498-5E581A83C655}"/>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3C87-46C2-8498-5E581A83C655}"/>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3C87-46C2-8498-5E581A83C655}"/>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3C87-46C2-8498-5E581A83C655}"/>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3C87-46C2-8498-5E581A83C655}"/>
                    </c:ext>
                  </c:extLst>
                </c:dPt>
                <c:cat>
                  <c:strRef>
                    <c:extLst xmlns:c15="http://schemas.microsoft.com/office/drawing/2012/chart">
                      <c:ext xmlns:c15="http://schemas.microsoft.com/office/drawing/2012/chart" uri="{02D57815-91ED-43cb-92C2-25804820EDAC}">
                        <c15:formulaRef>
                          <c15:sqref>'LIB(Gr-TMO)'!$I$36:$I$50</c15:sqref>
                        </c15:formulaRef>
                      </c:ext>
                    </c:extLst>
                    <c:strCache>
                      <c:ptCount val="15"/>
                      <c:pt idx="0">
                        <c:v>NCM811</c:v>
                      </c:pt>
                      <c:pt idx="1">
                        <c:v>AB</c:v>
                      </c:pt>
                      <c:pt idx="2">
                        <c:v>PVDF</c:v>
                      </c:pt>
                      <c:pt idx="3">
                        <c:v>Substrate (Al)</c:v>
                      </c:pt>
                      <c:pt idx="4">
                        <c:v>Graphite</c:v>
                      </c:pt>
                      <c:pt idx="5">
                        <c:v>CMC</c:v>
                      </c:pt>
                      <c:pt idx="6">
                        <c:v>SBR</c:v>
                      </c:pt>
                      <c:pt idx="7">
                        <c:v>Substrate  (Cu)</c:v>
                      </c:pt>
                      <c:pt idx="8">
                        <c:v>PE</c:v>
                      </c:pt>
                      <c:pt idx="9">
                        <c:v>Alumina</c:v>
                      </c:pt>
                      <c:pt idx="10">
                        <c:v>PVDF-HFP</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'LIB(Gr-TMO)'!$L$36:$L$50</c15:sqref>
                        </c15:formulaRef>
                      </c:ext>
                    </c:extLst>
                    <c:numCache>
                      <c:formatCode>0.00_);[Red]\(0.00\)</c:formatCode>
                      <c:ptCount val="15"/>
                      <c:pt idx="0">
                        <c:v>1.1066676154557746</c:v>
                      </c:pt>
                      <c:pt idx="1">
                        <c:v>6.0200668896321058E-2</c:v>
                      </c:pt>
                      <c:pt idx="2">
                        <c:v>6.0877080906392093E-2</c:v>
                      </c:pt>
                      <c:pt idx="3">
                        <c:v>0.18662400000000001</c:v>
                      </c:pt>
                      <c:pt idx="4">
                        <c:v>1.4352988448016073</c:v>
                      </c:pt>
                      <c:pt idx="5">
                        <c:v>2.0241393965150876E-2</c:v>
                      </c:pt>
                      <c:pt idx="6">
                        <c:v>5.1136153175118E-2</c:v>
                      </c:pt>
                      <c:pt idx="7">
                        <c:v>0.11655000000000001</c:v>
                      </c:pt>
                      <c:pt idx="8">
                        <c:v>0.38172731182795694</c:v>
                      </c:pt>
                      <c:pt idx="9">
                        <c:v>0</c:v>
                      </c:pt>
                      <c:pt idx="10">
                        <c:v>0</c:v>
                      </c:pt>
                      <c:pt idx="11">
                        <c:v>2.474181818181818</c:v>
                      </c:pt>
                      <c:pt idx="12">
                        <c:v>7.2960000000000004E-3</c:v>
                      </c:pt>
                      <c:pt idx="13">
                        <c:v>0.02</c:v>
                      </c:pt>
                      <c:pt idx="14">
                        <c:v>0.56284444659941268</c:v>
                      </c:pt>
                    </c:numCache>
                  </c:numRef>
                </c:val>
                <c:extLst xmlns:c15="http://schemas.microsoft.com/office/drawing/2012/chart">
                  <c:ext xmlns:c16="http://schemas.microsoft.com/office/drawing/2014/chart" uri="{C3380CC4-5D6E-409C-BE32-E72D297353CC}">
                    <c16:uniqueId val="{0000007B-3C87-46C2-8498-5E581A83C655}"/>
                  </c:ext>
                </c:extLst>
              </c15:ser>
            </c15:filteredPieSeries>
          </c:ext>
        </c:extLst>
      </c:pieChart>
      <c:spPr>
        <a:noFill/>
        <a:ln>
          <a:noFill/>
        </a:ln>
        <a:effectLst/>
      </c:spPr>
    </c:plotArea>
    <c:legend>
      <c:legendPos val="b"/>
      <c:layout>
        <c:manualLayout>
          <c:xMode val="edge"/>
          <c:yMode val="edge"/>
          <c:x val="0.71613304878946193"/>
          <c:y val="4.108632254301546E-2"/>
          <c:w val="0.25104918703343898"/>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Weight</a:t>
            </a:r>
            <a:r>
              <a:rPr lang="en-US" altLang="ja-JP" sz="1000" baseline="0"/>
              <a:t> fraction </a:t>
            </a:r>
            <a:r>
              <a:rPr lang="en-US" altLang="ja-JP" sz="1000"/>
              <a:t>(%)</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1"/>
          <c:order val="1"/>
          <c:tx>
            <c:strRef>
              <c:f>'LMB(NCM622)'!$K$35</c:f>
              <c:strCache>
                <c:ptCount val="1"/>
                <c:pt idx="0">
                  <c:v>Wt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8CE-46A4-AA5F-5EE141476F3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8CE-46A4-AA5F-5EE141476F3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8CE-46A4-AA5F-5EE141476F3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8CE-46A4-AA5F-5EE141476F3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8CE-46A4-AA5F-5EE141476F3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8CE-46A4-AA5F-5EE141476F3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8CE-46A4-AA5F-5EE141476F3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8CE-46A4-AA5F-5EE141476F3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8CE-46A4-AA5F-5EE141476F3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18CE-46A4-AA5F-5EE141476F3A}"/>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18CE-46A4-AA5F-5EE141476F3A}"/>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18CE-46A4-AA5F-5EE141476F3A}"/>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18CE-46A4-AA5F-5EE141476F3A}"/>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18CE-46A4-AA5F-5EE141476F3A}"/>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18CE-46A4-AA5F-5EE141476F3A}"/>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'LMB(NCM622)'!$I$36:$I$50</c:f>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'LMB(NCM622)'!$K$36:$K$50</c:f>
              <c:numCache>
                <c:formatCode>0.0_);[Red]\(0.0\)</c:formatCode>
                <c:ptCount val="15"/>
                <c:pt idx="0">
                  <c:v>43.506272881834711</c:v>
                </c:pt>
                <c:pt idx="1">
                  <c:v>0.90638068503822322</c:v>
                </c:pt>
                <c:pt idx="2">
                  <c:v>0.90638068503822322</c:v>
                </c:pt>
                <c:pt idx="3">
                  <c:v>4.7675678552149492</c:v>
                </c:pt>
                <c:pt idx="4">
                  <c:v>6.0863697813965656</c:v>
                </c:pt>
                <c:pt idx="5">
                  <c:v>0</c:v>
                </c:pt>
                <c:pt idx="6">
                  <c:v>0</c:v>
                </c:pt>
                <c:pt idx="7">
                  <c:v>7.9074559132597866</c:v>
                </c:pt>
                <c:pt idx="8">
                  <c:v>2.6881448957807308</c:v>
                </c:pt>
                <c:pt idx="9">
                  <c:v>0</c:v>
                </c:pt>
                <c:pt idx="10">
                  <c:v>0</c:v>
                </c:pt>
                <c:pt idx="11">
                  <c:v>23.493387356190745</c:v>
                </c:pt>
                <c:pt idx="12">
                  <c:v>0.30008787921602353</c:v>
                </c:pt>
                <c:pt idx="13">
                  <c:v>0.87843962632651851</c:v>
                </c:pt>
                <c:pt idx="14">
                  <c:v>8.5595124407035108</c:v>
                </c:pt>
              </c:numCache>
            </c:numRef>
          </c:val>
          <c:extLst>
            <c:ext xmlns:c16="http://schemas.microsoft.com/office/drawing/2014/chart" uri="{C3380CC4-5D6E-409C-BE32-E72D297353CC}">
              <c16:uniqueId val="{0000001E-18CE-46A4-AA5F-5EE141476F3A}"/>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'LMB(NCM622)'!$J$35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18CE-46A4-AA5F-5EE141476F3A}"/>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18CE-46A4-AA5F-5EE141476F3A}"/>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18CE-46A4-AA5F-5EE141476F3A}"/>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18CE-46A4-AA5F-5EE141476F3A}"/>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18CE-46A4-AA5F-5EE141476F3A}"/>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18CE-46A4-AA5F-5EE141476F3A}"/>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18CE-46A4-AA5F-5EE141476F3A}"/>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18CE-46A4-AA5F-5EE141476F3A}"/>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18CE-46A4-AA5F-5EE141476F3A}"/>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18CE-46A4-AA5F-5EE141476F3A}"/>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18CE-46A4-AA5F-5EE141476F3A}"/>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18CE-46A4-AA5F-5EE141476F3A}"/>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18CE-46A4-AA5F-5EE141476F3A}"/>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18CE-46A4-AA5F-5EE141476F3A}"/>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18CE-46A4-AA5F-5EE141476F3A}"/>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'LMB(NCM622)'!$I$36:$I$50</c15:sqref>
                        </c15:formulaRef>
                      </c:ext>
                    </c:extLst>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'LMB(NCM622)'!$J$36:$J$50</c15:sqref>
                        </c15:formulaRef>
                      </c:ext>
                    </c:extLst>
                    <c:numCache>
                      <c:formatCode>0.00_);[Red]\(0.00\)</c:formatCode>
                      <c:ptCount val="15"/>
                      <c:pt idx="0">
                        <c:v>5.7455999999999996</c:v>
                      </c:pt>
                      <c:pt idx="1">
                        <c:v>0.1197</c:v>
                      </c:pt>
                      <c:pt idx="2">
                        <c:v>0.1197</c:v>
                      </c:pt>
                      <c:pt idx="3">
                        <c:v>0.62962271999999997</c:v>
                      </c:pt>
                      <c:pt idx="4">
                        <c:v>0.80378860103626937</c:v>
                      </c:pt>
                      <c:pt idx="5">
                        <c:v>0</c:v>
                      </c:pt>
                      <c:pt idx="6">
                        <c:v>0</c:v>
                      </c:pt>
                      <c:pt idx="7">
                        <c:v>1.0442880000000003</c:v>
                      </c:pt>
                      <c:pt idx="8">
                        <c:v>0.35500639999999994</c:v>
                      </c:pt>
                      <c:pt idx="9">
                        <c:v>0</c:v>
                      </c:pt>
                      <c:pt idx="10">
                        <c:v>0</c:v>
                      </c:pt>
                      <c:pt idx="11">
                        <c:v>3.1026239999999996</c:v>
                      </c:pt>
                      <c:pt idx="12">
                        <c:v>3.9630720000000001E-2</c:v>
                      </c:pt>
                      <c:pt idx="13">
                        <c:v>0.11600999999999999</c:v>
                      </c:pt>
                      <c:pt idx="14">
                        <c:v>1.1304010070658144</c:v>
                      </c:pt>
                    </c:numCache>
                  </c:numRef>
                </c:val>
                <c:extLst>
                  <c:ext xmlns:c16="http://schemas.microsoft.com/office/drawing/2014/chart" uri="{C3380CC4-5D6E-409C-BE32-E72D297353CC}">
                    <c16:uniqueId val="{0000003D-18CE-46A4-AA5F-5EE141476F3A}"/>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'LMB(NCM622)'!$L$35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18CE-46A4-AA5F-5EE141476F3A}"/>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18CE-46A4-AA5F-5EE141476F3A}"/>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18CE-46A4-AA5F-5EE141476F3A}"/>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18CE-46A4-AA5F-5EE141476F3A}"/>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18CE-46A4-AA5F-5EE141476F3A}"/>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18CE-46A4-AA5F-5EE141476F3A}"/>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18CE-46A4-AA5F-5EE141476F3A}"/>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18CE-46A4-AA5F-5EE141476F3A}"/>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18CE-46A4-AA5F-5EE141476F3A}"/>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18CE-46A4-AA5F-5EE141476F3A}"/>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18CE-46A4-AA5F-5EE141476F3A}"/>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18CE-46A4-AA5F-5EE141476F3A}"/>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18CE-46A4-AA5F-5EE141476F3A}"/>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18CE-46A4-AA5F-5EE141476F3A}"/>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18CE-46A4-AA5F-5EE141476F3A}"/>
                    </c:ext>
                  </c:extLst>
                </c:dPt>
                <c:cat>
                  <c:strRef>
                    <c:extLst xmlns:c15="http://schemas.microsoft.com/office/drawing/2012/chart">
                      <c:ext xmlns:c15="http://schemas.microsoft.com/office/drawing/2012/chart" uri="{02D57815-91ED-43cb-92C2-25804820EDAC}">
                        <c15:formulaRef>
                          <c15:sqref>'LMB(NCM622)'!$I$36:$I$50</c15:sqref>
                        </c15:formulaRef>
                      </c:ext>
                    </c:extLst>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'LMB(NCM622)'!$L$36:$L$50</c15:sqref>
                        </c15:formulaRef>
                      </c:ext>
                    </c:extLst>
                    <c:numCache>
                      <c:formatCode>0.00_);[Red]\(0.00\)</c:formatCode>
                      <c:ptCount val="15"/>
                      <c:pt idx="0">
                        <c:v>1.2224680851063829</c:v>
                      </c:pt>
                      <c:pt idx="1">
                        <c:v>6.6500000000000004E-2</c:v>
                      </c:pt>
                      <c:pt idx="2">
                        <c:v>6.7247191011235954E-2</c:v>
                      </c:pt>
                      <c:pt idx="3">
                        <c:v>0.23328000000000002</c:v>
                      </c:pt>
                      <c:pt idx="4">
                        <c:v>1.5052220993188565</c:v>
                      </c:pt>
                      <c:pt idx="5">
                        <c:v>0</c:v>
                      </c:pt>
                      <c:pt idx="6">
                        <c:v>0</c:v>
                      </c:pt>
                      <c:pt idx="7">
                        <c:v>0.11655000000000001</c:v>
                      </c:pt>
                      <c:pt idx="8">
                        <c:v>0.38172731182795694</c:v>
                      </c:pt>
                      <c:pt idx="9">
                        <c:v>0</c:v>
                      </c:pt>
                      <c:pt idx="10">
                        <c:v>0</c:v>
                      </c:pt>
                      <c:pt idx="11">
                        <c:v>2.8205672727272724</c:v>
                      </c:pt>
                      <c:pt idx="12">
                        <c:v>8.4479999999999989E-3</c:v>
                      </c:pt>
                      <c:pt idx="13">
                        <c:v>0.02</c:v>
                      </c:pt>
                      <c:pt idx="14">
                        <c:v>0.74283494750039236</c:v>
                      </c:pt>
                    </c:numCache>
                  </c:numRef>
                </c:val>
                <c:extLst xmlns:c15="http://schemas.microsoft.com/office/drawing/2012/chart">
                  <c:ext xmlns:c16="http://schemas.microsoft.com/office/drawing/2014/chart" uri="{C3380CC4-5D6E-409C-BE32-E72D297353CC}">
                    <c16:uniqueId val="{0000005C-18CE-46A4-AA5F-5EE141476F3A}"/>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'LMB(NCM622)'!$M$35</c15:sqref>
                        </c15:formulaRef>
                      </c:ext>
                    </c:extLst>
                    <c:strCache>
                      <c:ptCount val="1"/>
                      <c:pt idx="0">
                        <c:v>Vol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18CE-46A4-AA5F-5EE141476F3A}"/>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18CE-46A4-AA5F-5EE141476F3A}"/>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18CE-46A4-AA5F-5EE141476F3A}"/>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18CE-46A4-AA5F-5EE141476F3A}"/>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18CE-46A4-AA5F-5EE141476F3A}"/>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18CE-46A4-AA5F-5EE141476F3A}"/>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18CE-46A4-AA5F-5EE141476F3A}"/>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18CE-46A4-AA5F-5EE141476F3A}"/>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18CE-46A4-AA5F-5EE141476F3A}"/>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18CE-46A4-AA5F-5EE141476F3A}"/>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18CE-46A4-AA5F-5EE141476F3A}"/>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18CE-46A4-AA5F-5EE141476F3A}"/>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18CE-46A4-AA5F-5EE141476F3A}"/>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18CE-46A4-AA5F-5EE141476F3A}"/>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18CE-46A4-AA5F-5EE141476F3A}"/>
                    </c:ext>
                  </c:extLst>
                </c:dPt>
                <c:cat>
                  <c:strRef>
                    <c:extLst xmlns:c15="http://schemas.microsoft.com/office/drawing/2012/chart">
                      <c:ext xmlns:c15="http://schemas.microsoft.com/office/drawing/2012/chart" uri="{02D57815-91ED-43cb-92C2-25804820EDAC}">
                        <c15:formulaRef>
                          <c15:sqref>'LMB(NCM622)'!$I$36:$I$50</c15:sqref>
                        </c15:formulaRef>
                      </c:ext>
                    </c:extLst>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'LMB(NCM622)'!$M$36:$M$50</c15:sqref>
                        </c15:formulaRef>
                      </c:ext>
                    </c:extLst>
                    <c:numCache>
                      <c:formatCode>0.0_);[Red]\(0.0\)</c:formatCode>
                      <c:ptCount val="15"/>
                      <c:pt idx="0">
                        <c:v>17.014536859823341</c:v>
                      </c:pt>
                      <c:pt idx="1">
                        <c:v>0.92555929677279758</c:v>
                      </c:pt>
                      <c:pt idx="2">
                        <c:v>0.93595883943316593</c:v>
                      </c:pt>
                      <c:pt idx="3">
                        <c:v>3.2468341767091458</c:v>
                      </c:pt>
                      <c:pt idx="4">
                        <c:v>20.949959514773457</c:v>
                      </c:pt>
                      <c:pt idx="5">
                        <c:v>0</c:v>
                      </c:pt>
                      <c:pt idx="6">
                        <c:v>0</c:v>
                      </c:pt>
                      <c:pt idx="7">
                        <c:v>1.6221644517123242</c:v>
                      </c:pt>
                      <c:pt idx="8">
                        <c:v>5.3129513126985595</c:v>
                      </c:pt>
                      <c:pt idx="9">
                        <c:v>0</c:v>
                      </c:pt>
                      <c:pt idx="10">
                        <c:v>0</c:v>
                      </c:pt>
                      <c:pt idx="11">
                        <c:v>39.257176863846936</c:v>
                      </c:pt>
                      <c:pt idx="12">
                        <c:v>0.11758082615242996</c:v>
                      </c:pt>
                      <c:pt idx="13">
                        <c:v>0.27836369827753304</c:v>
                      </c:pt>
                      <c:pt idx="14">
                        <c:v>10.338914159800316</c:v>
                      </c:pt>
                    </c:numCache>
                  </c:numRef>
                </c:val>
                <c:extLst xmlns:c15="http://schemas.microsoft.com/office/drawing/2012/chart">
                  <c:ext xmlns:c16="http://schemas.microsoft.com/office/drawing/2014/chart" uri="{C3380CC4-5D6E-409C-BE32-E72D297353CC}">
                    <c16:uniqueId val="{0000007B-18CE-46A4-AA5F-5EE141476F3A}"/>
                  </c:ext>
                </c:extLst>
              </c15:ser>
            </c15:filteredPieSeries>
          </c:ext>
        </c:extLst>
      </c:pieChart>
      <c:spPr>
        <a:noFill/>
        <a:ln>
          <a:noFill/>
        </a:ln>
        <a:effectLst/>
      </c:spPr>
    </c:plotArea>
    <c:legend>
      <c:legendPos val="b"/>
      <c:layout>
        <c:manualLayout>
          <c:xMode val="edge"/>
          <c:yMode val="edge"/>
          <c:x val="0.71613304878946193"/>
          <c:y val="4.108632254301546E-2"/>
          <c:w val="0.25011426771653539"/>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Volume fraction (%)</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3"/>
          <c:order val="3"/>
          <c:tx>
            <c:strRef>
              <c:f>'LMB(NCM622)'!$M$35</c:f>
              <c:strCache>
                <c:ptCount val="1"/>
                <c:pt idx="0">
                  <c:v>Vol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60D-4697-82B7-751ECAFDC1A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60D-4697-82B7-751ECAFDC1A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60D-4697-82B7-751ECAFDC1A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60D-4697-82B7-751ECAFDC1A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60D-4697-82B7-751ECAFDC1A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60D-4697-82B7-751ECAFDC1A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60D-4697-82B7-751ECAFDC1A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60D-4697-82B7-751ECAFDC1A0}"/>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460D-4697-82B7-751ECAFDC1A0}"/>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460D-4697-82B7-751ECAFDC1A0}"/>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460D-4697-82B7-751ECAFDC1A0}"/>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460D-4697-82B7-751ECAFDC1A0}"/>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460D-4697-82B7-751ECAFDC1A0}"/>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460D-4697-82B7-751ECAFDC1A0}"/>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460D-4697-82B7-751ECAFDC1A0}"/>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'LMB(NCM622)'!$I$36:$I$50</c:f>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'LMB(NCM622)'!$M$36:$M$50</c:f>
              <c:numCache>
                <c:formatCode>0.0_);[Red]\(0.0\)</c:formatCode>
                <c:ptCount val="15"/>
                <c:pt idx="0">
                  <c:v>17.014536859823341</c:v>
                </c:pt>
                <c:pt idx="1">
                  <c:v>0.92555929677279758</c:v>
                </c:pt>
                <c:pt idx="2">
                  <c:v>0.93595883943316593</c:v>
                </c:pt>
                <c:pt idx="3">
                  <c:v>3.2468341767091458</c:v>
                </c:pt>
                <c:pt idx="4">
                  <c:v>20.949959514773457</c:v>
                </c:pt>
                <c:pt idx="5">
                  <c:v>0</c:v>
                </c:pt>
                <c:pt idx="6">
                  <c:v>0</c:v>
                </c:pt>
                <c:pt idx="7">
                  <c:v>1.6221644517123242</c:v>
                </c:pt>
                <c:pt idx="8">
                  <c:v>5.3129513126985595</c:v>
                </c:pt>
                <c:pt idx="9">
                  <c:v>0</c:v>
                </c:pt>
                <c:pt idx="10">
                  <c:v>0</c:v>
                </c:pt>
                <c:pt idx="11">
                  <c:v>39.257176863846936</c:v>
                </c:pt>
                <c:pt idx="12">
                  <c:v>0.11758082615242996</c:v>
                </c:pt>
                <c:pt idx="13">
                  <c:v>0.27836369827753304</c:v>
                </c:pt>
                <c:pt idx="14">
                  <c:v>10.338914159800316</c:v>
                </c:pt>
              </c:numCache>
            </c:numRef>
          </c:val>
          <c:extLst>
            <c:ext xmlns:c16="http://schemas.microsoft.com/office/drawing/2014/chart" uri="{C3380CC4-5D6E-409C-BE32-E72D297353CC}">
              <c16:uniqueId val="{0000001E-460D-4697-82B7-751ECAFDC1A0}"/>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'LMB(NCM622)'!$J$35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460D-4697-82B7-751ECAFDC1A0}"/>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460D-4697-82B7-751ECAFDC1A0}"/>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460D-4697-82B7-751ECAFDC1A0}"/>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460D-4697-82B7-751ECAFDC1A0}"/>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460D-4697-82B7-751ECAFDC1A0}"/>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460D-4697-82B7-751ECAFDC1A0}"/>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460D-4697-82B7-751ECAFDC1A0}"/>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460D-4697-82B7-751ECAFDC1A0}"/>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460D-4697-82B7-751ECAFDC1A0}"/>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460D-4697-82B7-751ECAFDC1A0}"/>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460D-4697-82B7-751ECAFDC1A0}"/>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460D-4697-82B7-751ECAFDC1A0}"/>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460D-4697-82B7-751ECAFDC1A0}"/>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460D-4697-82B7-751ECAFDC1A0}"/>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460D-4697-82B7-751ECAFDC1A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'LMB(NCM622)'!$I$36:$I$50</c15:sqref>
                        </c15:formulaRef>
                      </c:ext>
                    </c:extLst>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'LMB(NCM622)'!$J$36:$J$50</c15:sqref>
                        </c15:formulaRef>
                      </c:ext>
                    </c:extLst>
                    <c:numCache>
                      <c:formatCode>0.00_);[Red]\(0.00\)</c:formatCode>
                      <c:ptCount val="15"/>
                      <c:pt idx="0">
                        <c:v>5.7455999999999996</c:v>
                      </c:pt>
                      <c:pt idx="1">
                        <c:v>0.1197</c:v>
                      </c:pt>
                      <c:pt idx="2">
                        <c:v>0.1197</c:v>
                      </c:pt>
                      <c:pt idx="3">
                        <c:v>0.62962271999999997</c:v>
                      </c:pt>
                      <c:pt idx="4">
                        <c:v>0.80378860103626937</c:v>
                      </c:pt>
                      <c:pt idx="5">
                        <c:v>0</c:v>
                      </c:pt>
                      <c:pt idx="6">
                        <c:v>0</c:v>
                      </c:pt>
                      <c:pt idx="7">
                        <c:v>1.0442880000000003</c:v>
                      </c:pt>
                      <c:pt idx="8">
                        <c:v>0.35500639999999994</c:v>
                      </c:pt>
                      <c:pt idx="9">
                        <c:v>0</c:v>
                      </c:pt>
                      <c:pt idx="10">
                        <c:v>0</c:v>
                      </c:pt>
                      <c:pt idx="11">
                        <c:v>3.1026239999999996</c:v>
                      </c:pt>
                      <c:pt idx="12">
                        <c:v>3.9630720000000001E-2</c:v>
                      </c:pt>
                      <c:pt idx="13">
                        <c:v>0.11600999999999999</c:v>
                      </c:pt>
                      <c:pt idx="14">
                        <c:v>1.1304010070658144</c:v>
                      </c:pt>
                    </c:numCache>
                  </c:numRef>
                </c:val>
                <c:extLst>
                  <c:ext xmlns:c16="http://schemas.microsoft.com/office/drawing/2014/chart" uri="{C3380CC4-5D6E-409C-BE32-E72D297353CC}">
                    <c16:uniqueId val="{0000003D-460D-4697-82B7-751ECAFDC1A0}"/>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'LMB(NCM622)'!$K$35</c15:sqref>
                        </c15:formulaRef>
                      </c:ext>
                    </c:extLst>
                    <c:strCache>
                      <c:ptCount val="1"/>
                      <c:pt idx="0">
                        <c:v>Wt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460D-4697-82B7-751ECAFDC1A0}"/>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460D-4697-82B7-751ECAFDC1A0}"/>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460D-4697-82B7-751ECAFDC1A0}"/>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460D-4697-82B7-751ECAFDC1A0}"/>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460D-4697-82B7-751ECAFDC1A0}"/>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460D-4697-82B7-751ECAFDC1A0}"/>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460D-4697-82B7-751ECAFDC1A0}"/>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460D-4697-82B7-751ECAFDC1A0}"/>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460D-4697-82B7-751ECAFDC1A0}"/>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460D-4697-82B7-751ECAFDC1A0}"/>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460D-4697-82B7-751ECAFDC1A0}"/>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460D-4697-82B7-751ECAFDC1A0}"/>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460D-4697-82B7-751ECAFDC1A0}"/>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460D-4697-82B7-751ECAFDC1A0}"/>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460D-4697-82B7-751ECAFDC1A0}"/>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'LMB(NCM622)'!$I$36:$I$50</c15:sqref>
                        </c15:formulaRef>
                      </c:ext>
                    </c:extLst>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'LMB(NCM622)'!$K$36:$K$50</c15:sqref>
                        </c15:formulaRef>
                      </c:ext>
                    </c:extLst>
                    <c:numCache>
                      <c:formatCode>0.0_);[Red]\(0.0\)</c:formatCode>
                      <c:ptCount val="15"/>
                      <c:pt idx="0">
                        <c:v>43.506272881834711</c:v>
                      </c:pt>
                      <c:pt idx="1">
                        <c:v>0.90638068503822322</c:v>
                      </c:pt>
                      <c:pt idx="2">
                        <c:v>0.90638068503822322</c:v>
                      </c:pt>
                      <c:pt idx="3">
                        <c:v>4.7675678552149492</c:v>
                      </c:pt>
                      <c:pt idx="4">
                        <c:v>6.0863697813965656</c:v>
                      </c:pt>
                      <c:pt idx="5">
                        <c:v>0</c:v>
                      </c:pt>
                      <c:pt idx="6">
                        <c:v>0</c:v>
                      </c:pt>
                      <c:pt idx="7">
                        <c:v>7.9074559132597866</c:v>
                      </c:pt>
                      <c:pt idx="8">
                        <c:v>2.6881448957807308</c:v>
                      </c:pt>
                      <c:pt idx="9">
                        <c:v>0</c:v>
                      </c:pt>
                      <c:pt idx="10">
                        <c:v>0</c:v>
                      </c:pt>
                      <c:pt idx="11">
                        <c:v>23.493387356190745</c:v>
                      </c:pt>
                      <c:pt idx="12">
                        <c:v>0.30008787921602353</c:v>
                      </c:pt>
                      <c:pt idx="13">
                        <c:v>0.87843962632651851</c:v>
                      </c:pt>
                      <c:pt idx="14">
                        <c:v>8.5595124407035108</c:v>
                      </c:pt>
                    </c:numCache>
                  </c:numRef>
                </c:val>
                <c:extLst xmlns:c15="http://schemas.microsoft.com/office/drawing/2012/chart">
                  <c:ext xmlns:c16="http://schemas.microsoft.com/office/drawing/2014/chart" uri="{C3380CC4-5D6E-409C-BE32-E72D297353CC}">
                    <c16:uniqueId val="{0000005C-460D-4697-82B7-751ECAFDC1A0}"/>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'LMB(NCM622)'!$L$35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460D-4697-82B7-751ECAFDC1A0}"/>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460D-4697-82B7-751ECAFDC1A0}"/>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460D-4697-82B7-751ECAFDC1A0}"/>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460D-4697-82B7-751ECAFDC1A0}"/>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460D-4697-82B7-751ECAFDC1A0}"/>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460D-4697-82B7-751ECAFDC1A0}"/>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460D-4697-82B7-751ECAFDC1A0}"/>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460D-4697-82B7-751ECAFDC1A0}"/>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460D-4697-82B7-751ECAFDC1A0}"/>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460D-4697-82B7-751ECAFDC1A0}"/>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460D-4697-82B7-751ECAFDC1A0}"/>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460D-4697-82B7-751ECAFDC1A0}"/>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460D-4697-82B7-751ECAFDC1A0}"/>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460D-4697-82B7-751ECAFDC1A0}"/>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460D-4697-82B7-751ECAFDC1A0}"/>
                    </c:ext>
                  </c:extLst>
                </c:dPt>
                <c:cat>
                  <c:strRef>
                    <c:extLst xmlns:c15="http://schemas.microsoft.com/office/drawing/2012/chart">
                      <c:ext xmlns:c15="http://schemas.microsoft.com/office/drawing/2012/chart" uri="{02D57815-91ED-43cb-92C2-25804820EDAC}">
                        <c15:formulaRef>
                          <c15:sqref>'LMB(NCM622)'!$I$36:$I$50</c15:sqref>
                        </c15:formulaRef>
                      </c:ext>
                    </c:extLst>
                    <c:strCache>
                      <c:ptCount val="15"/>
                      <c:pt idx="0">
                        <c:v>NCM622</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'LMB(NCM622)'!$L$36:$L$50</c15:sqref>
                        </c15:formulaRef>
                      </c:ext>
                    </c:extLst>
                    <c:numCache>
                      <c:formatCode>0.00_);[Red]\(0.00\)</c:formatCode>
                      <c:ptCount val="15"/>
                      <c:pt idx="0">
                        <c:v>1.2224680851063829</c:v>
                      </c:pt>
                      <c:pt idx="1">
                        <c:v>6.6500000000000004E-2</c:v>
                      </c:pt>
                      <c:pt idx="2">
                        <c:v>6.7247191011235954E-2</c:v>
                      </c:pt>
                      <c:pt idx="3">
                        <c:v>0.23328000000000002</c:v>
                      </c:pt>
                      <c:pt idx="4">
                        <c:v>1.5052220993188565</c:v>
                      </c:pt>
                      <c:pt idx="5">
                        <c:v>0</c:v>
                      </c:pt>
                      <c:pt idx="6">
                        <c:v>0</c:v>
                      </c:pt>
                      <c:pt idx="7">
                        <c:v>0.11655000000000001</c:v>
                      </c:pt>
                      <c:pt idx="8">
                        <c:v>0.38172731182795694</c:v>
                      </c:pt>
                      <c:pt idx="9">
                        <c:v>0</c:v>
                      </c:pt>
                      <c:pt idx="10">
                        <c:v>0</c:v>
                      </c:pt>
                      <c:pt idx="11">
                        <c:v>2.8205672727272724</c:v>
                      </c:pt>
                      <c:pt idx="12">
                        <c:v>8.4479999999999989E-3</c:v>
                      </c:pt>
                      <c:pt idx="13">
                        <c:v>0.02</c:v>
                      </c:pt>
                      <c:pt idx="14">
                        <c:v>0.74283494750039236</c:v>
                      </c:pt>
                    </c:numCache>
                  </c:numRef>
                </c:val>
                <c:extLst xmlns:c15="http://schemas.microsoft.com/office/drawing/2012/chart">
                  <c:ext xmlns:c16="http://schemas.microsoft.com/office/drawing/2014/chart" uri="{C3380CC4-5D6E-409C-BE32-E72D297353CC}">
                    <c16:uniqueId val="{0000007B-460D-4697-82B7-751ECAFDC1A0}"/>
                  </c:ext>
                </c:extLst>
              </c15:ser>
            </c15:filteredPieSeries>
          </c:ext>
        </c:extLst>
      </c:pieChart>
      <c:spPr>
        <a:noFill/>
        <a:ln>
          <a:noFill/>
        </a:ln>
        <a:effectLst/>
      </c:spPr>
    </c:plotArea>
    <c:legend>
      <c:legendPos val="b"/>
      <c:layout>
        <c:manualLayout>
          <c:xMode val="edge"/>
          <c:yMode val="edge"/>
          <c:x val="0.71613304878946193"/>
          <c:y val="4.108632254301546E-2"/>
          <c:w val="0.25104918703343898"/>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Weight</a:t>
            </a:r>
            <a:r>
              <a:rPr lang="en-US" altLang="ja-JP" sz="1000" baseline="0"/>
              <a:t> fraction </a:t>
            </a:r>
            <a:r>
              <a:rPr lang="en-US" altLang="ja-JP" sz="1000"/>
              <a:t>(%)</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1"/>
          <c:order val="1"/>
          <c:tx>
            <c:strRef>
              <c:f>'LMB(NCM811)'!$K$35</c:f>
              <c:strCache>
                <c:ptCount val="1"/>
                <c:pt idx="0">
                  <c:v>Wt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3D06-4059-AA1E-6FBAABC87C1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3D06-4059-AA1E-6FBAABC87C1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3D06-4059-AA1E-6FBAABC87C1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3D06-4059-AA1E-6FBAABC87C1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3D06-4059-AA1E-6FBAABC87C1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3D06-4059-AA1E-6FBAABC87C1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3D06-4059-AA1E-6FBAABC87C1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3D06-4059-AA1E-6FBAABC87C12}"/>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3D06-4059-AA1E-6FBAABC87C12}"/>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3D06-4059-AA1E-6FBAABC87C12}"/>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3D06-4059-AA1E-6FBAABC87C12}"/>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3D06-4059-AA1E-6FBAABC87C12}"/>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3D06-4059-AA1E-6FBAABC87C12}"/>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3D06-4059-AA1E-6FBAABC87C12}"/>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CCE3-468E-B678-1A44ED584CA8}"/>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'LMB(NCM811)'!$I$36:$I$50</c:f>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'LMB(NCM811)'!$K$36:$K$50</c:f>
              <c:numCache>
                <c:formatCode>0.0_);[Red]\(0.0\)</c:formatCode>
                <c:ptCount val="15"/>
                <c:pt idx="0">
                  <c:v>43.973529298394752</c:v>
                </c:pt>
                <c:pt idx="1">
                  <c:v>0.91611519371655714</c:v>
                </c:pt>
                <c:pt idx="2">
                  <c:v>0.91611519371655714</c:v>
                </c:pt>
                <c:pt idx="3">
                  <c:v>4.2584018540800637</c:v>
                </c:pt>
                <c:pt idx="4">
                  <c:v>5.9609194832603762</c:v>
                </c:pt>
                <c:pt idx="5">
                  <c:v>0</c:v>
                </c:pt>
                <c:pt idx="6">
                  <c:v>0</c:v>
                </c:pt>
                <c:pt idx="7">
                  <c:v>8.8286957691773775</c:v>
                </c:pt>
                <c:pt idx="8">
                  <c:v>3.0013209973789707</c:v>
                </c:pt>
                <c:pt idx="9">
                  <c:v>0</c:v>
                </c:pt>
                <c:pt idx="10">
                  <c:v>0</c:v>
                </c:pt>
                <c:pt idx="11">
                  <c:v>23.009149205385054</c:v>
                </c:pt>
                <c:pt idx="12">
                  <c:v>0.30876249208123618</c:v>
                </c:pt>
                <c:pt idx="13">
                  <c:v>0.98078020257081122</c:v>
                </c:pt>
                <c:pt idx="14">
                  <c:v>7.8462103102382263</c:v>
                </c:pt>
              </c:numCache>
            </c:numRef>
          </c:val>
          <c:extLst>
            <c:ext xmlns:c16="http://schemas.microsoft.com/office/drawing/2014/chart" uri="{C3380CC4-5D6E-409C-BE32-E72D297353CC}">
              <c16:uniqueId val="{0000001C-3D06-4059-AA1E-6FBAABC87C12}"/>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'LMB(NCM811)'!$J$35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E-3D06-4059-AA1E-6FBAABC87C1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0-3D06-4059-AA1E-6FBAABC87C1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2-3D06-4059-AA1E-6FBAABC87C1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4-3D06-4059-AA1E-6FBAABC87C1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6-3D06-4059-AA1E-6FBAABC87C1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8-3D06-4059-AA1E-6FBAABC87C1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A-3D06-4059-AA1E-6FBAABC87C1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C-3D06-4059-AA1E-6FBAABC87C12}"/>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E-3D06-4059-AA1E-6FBAABC87C12}"/>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0-3D06-4059-AA1E-6FBAABC87C12}"/>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2-3D06-4059-AA1E-6FBAABC87C12}"/>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4-3D06-4059-AA1E-6FBAABC87C12}"/>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6-3D06-4059-AA1E-6FBAABC87C12}"/>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8-3D06-4059-AA1E-6FBAABC87C12}"/>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B-CCE3-468E-B678-1A44ED584CA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'LMB(NCM811)'!$I$36:$I$50</c15:sqref>
                        </c15:formulaRef>
                      </c:ext>
                    </c:extLst>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'LMB(NCM811)'!$J$36:$J$50</c15:sqref>
                        </c15:formulaRef>
                      </c:ext>
                    </c:extLst>
                    <c:numCache>
                      <c:formatCode>0.00_);[Red]\(0.00\)</c:formatCode>
                      <c:ptCount val="15"/>
                      <c:pt idx="0">
                        <c:v>5.2013377926421409</c:v>
                      </c:pt>
                      <c:pt idx="1">
                        <c:v>0.10836120401337793</c:v>
                      </c:pt>
                      <c:pt idx="2">
                        <c:v>0.10836120401337793</c:v>
                      </c:pt>
                      <c:pt idx="3">
                        <c:v>0.503698176</c:v>
                      </c:pt>
                      <c:pt idx="4">
                        <c:v>0.7050777202072539</c:v>
                      </c:pt>
                      <c:pt idx="5">
                        <c:v>0</c:v>
                      </c:pt>
                      <c:pt idx="6">
                        <c:v>0</c:v>
                      </c:pt>
                      <c:pt idx="7">
                        <c:v>1.0442880000000003</c:v>
                      </c:pt>
                      <c:pt idx="8">
                        <c:v>0.35500639999999994</c:v>
                      </c:pt>
                      <c:pt idx="9">
                        <c:v>0</c:v>
                      </c:pt>
                      <c:pt idx="10">
                        <c:v>0</c:v>
                      </c:pt>
                      <c:pt idx="11">
                        <c:v>2.7216000000000005</c:v>
                      </c:pt>
                      <c:pt idx="12">
                        <c:v>3.6521471999999999E-2</c:v>
                      </c:pt>
                      <c:pt idx="13">
                        <c:v>0.11600999999999999</c:v>
                      </c:pt>
                      <c:pt idx="14">
                        <c:v>0.92807629650846102</c:v>
                      </c:pt>
                    </c:numCache>
                  </c:numRef>
                </c:val>
                <c:extLst>
                  <c:ext xmlns:c16="http://schemas.microsoft.com/office/drawing/2014/chart" uri="{C3380CC4-5D6E-409C-BE32-E72D297353CC}">
                    <c16:uniqueId val="{00000039-3D06-4059-AA1E-6FBAABC87C12}"/>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'LMB(NCM811)'!$L$35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B-3D06-4059-AA1E-6FBAABC87C12}"/>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3D-3D06-4059-AA1E-6FBAABC87C12}"/>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3F-3D06-4059-AA1E-6FBAABC87C12}"/>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1-3D06-4059-AA1E-6FBAABC87C12}"/>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3-3D06-4059-AA1E-6FBAABC87C12}"/>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5-3D06-4059-AA1E-6FBAABC87C12}"/>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7-3D06-4059-AA1E-6FBAABC87C12}"/>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9-3D06-4059-AA1E-6FBAABC87C12}"/>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3D06-4059-AA1E-6FBAABC87C12}"/>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3D06-4059-AA1E-6FBAABC87C12}"/>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3D06-4059-AA1E-6FBAABC87C12}"/>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3D06-4059-AA1E-6FBAABC87C12}"/>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3-3D06-4059-AA1E-6FBAABC87C12}"/>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5-3D06-4059-AA1E-6FBAABC87C12}"/>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CCE3-468E-B678-1A44ED584CA8}"/>
                    </c:ext>
                  </c:extLst>
                </c:dPt>
                <c:cat>
                  <c:strRef>
                    <c:extLst xmlns:c15="http://schemas.microsoft.com/office/drawing/2012/chart">
                      <c:ext xmlns:c15="http://schemas.microsoft.com/office/drawing/2012/chart" uri="{02D57815-91ED-43cb-92C2-25804820EDAC}">
                        <c15:formulaRef>
                          <c15:sqref>'LMB(NCM811)'!$I$36:$I$50</c15:sqref>
                        </c15:formulaRef>
                      </c:ext>
                    </c:extLst>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'LMB(NCM811)'!$L$36:$L$50</c15:sqref>
                        </c15:formulaRef>
                      </c:ext>
                    </c:extLst>
                    <c:numCache>
                      <c:formatCode>0.00_);[Red]\(0.00\)</c:formatCode>
                      <c:ptCount val="15"/>
                      <c:pt idx="0">
                        <c:v>1.1066676154557746</c:v>
                      </c:pt>
                      <c:pt idx="1">
                        <c:v>6.0200668896321058E-2</c:v>
                      </c:pt>
                      <c:pt idx="2">
                        <c:v>6.0877080906392093E-2</c:v>
                      </c:pt>
                      <c:pt idx="3">
                        <c:v>0.18662400000000001</c:v>
                      </c:pt>
                      <c:pt idx="4">
                        <c:v>1.3203702625604006</c:v>
                      </c:pt>
                      <c:pt idx="5">
                        <c:v>0</c:v>
                      </c:pt>
                      <c:pt idx="6">
                        <c:v>0</c:v>
                      </c:pt>
                      <c:pt idx="7">
                        <c:v>0.11655000000000001</c:v>
                      </c:pt>
                      <c:pt idx="8">
                        <c:v>0.38172731182795694</c:v>
                      </c:pt>
                      <c:pt idx="9">
                        <c:v>0</c:v>
                      </c:pt>
                      <c:pt idx="10">
                        <c:v>0</c:v>
                      </c:pt>
                      <c:pt idx="11">
                        <c:v>2.474181818181818</c:v>
                      </c:pt>
                      <c:pt idx="12">
                        <c:v>7.2960000000000004E-3</c:v>
                      </c:pt>
                      <c:pt idx="13">
                        <c:v>0.02</c:v>
                      </c:pt>
                      <c:pt idx="14">
                        <c:v>0.56131074977831308</c:v>
                      </c:pt>
                    </c:numCache>
                  </c:numRef>
                </c:val>
                <c:extLst xmlns:c15="http://schemas.microsoft.com/office/drawing/2012/chart">
                  <c:ext xmlns:c16="http://schemas.microsoft.com/office/drawing/2014/chart" uri="{C3380CC4-5D6E-409C-BE32-E72D297353CC}">
                    <c16:uniqueId val="{00000056-3D06-4059-AA1E-6FBAABC87C12}"/>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'LMB(NCM811)'!$M$35</c15:sqref>
                        </c15:formulaRef>
                      </c:ext>
                    </c:extLst>
                    <c:strCache>
                      <c:ptCount val="1"/>
                      <c:pt idx="0">
                        <c:v>Vol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8-3D06-4059-AA1E-6FBAABC87C12}"/>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5A-3D06-4059-AA1E-6FBAABC87C12}"/>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5C-3D06-4059-AA1E-6FBAABC87C12}"/>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5E-3D06-4059-AA1E-6FBAABC87C12}"/>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0-3D06-4059-AA1E-6FBAABC87C12}"/>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2-3D06-4059-AA1E-6FBAABC87C12}"/>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4-3D06-4059-AA1E-6FBAABC87C12}"/>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6-3D06-4059-AA1E-6FBAABC87C12}"/>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8-3D06-4059-AA1E-6FBAABC87C12}"/>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3D06-4059-AA1E-6FBAABC87C12}"/>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3D06-4059-AA1E-6FBAABC87C12}"/>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3D06-4059-AA1E-6FBAABC87C12}"/>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0-3D06-4059-AA1E-6FBAABC87C12}"/>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2-3D06-4059-AA1E-6FBAABC87C12}"/>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7-CCE3-468E-B678-1A44ED584CA8}"/>
                    </c:ext>
                  </c:extLst>
                </c:dPt>
                <c:cat>
                  <c:strRef>
                    <c:extLst xmlns:c15="http://schemas.microsoft.com/office/drawing/2012/chart">
                      <c:ext xmlns:c15="http://schemas.microsoft.com/office/drawing/2012/chart" uri="{02D57815-91ED-43cb-92C2-25804820EDAC}">
                        <c15:formulaRef>
                          <c15:sqref>'LMB(NCM811)'!$I$36:$I$50</c15:sqref>
                        </c15:formulaRef>
                      </c:ext>
                    </c:extLst>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'LMB(NCM811)'!$M$36:$M$50</c15:sqref>
                        </c15:formulaRef>
                      </c:ext>
                    </c:extLst>
                    <c:numCache>
                      <c:formatCode>0.0_);[Red]\(0.0\)</c:formatCode>
                      <c:ptCount val="15"/>
                      <c:pt idx="0">
                        <c:v>17.577855829863729</c:v>
                      </c:pt>
                      <c:pt idx="1">
                        <c:v>0.95620280555971637</c:v>
                      </c:pt>
                      <c:pt idx="2">
                        <c:v>0.96694665730757867</c:v>
                      </c:pt>
                      <c:pt idx="3">
                        <c:v>2.9642592957248999</c:v>
                      </c:pt>
                      <c:pt idx="4">
                        <c:v>20.972221282329144</c:v>
                      </c:pt>
                      <c:pt idx="5">
                        <c:v>0</c:v>
                      </c:pt>
                      <c:pt idx="6">
                        <c:v>0</c:v>
                      </c:pt>
                      <c:pt idx="7">
                        <c:v>1.8512325366337505</c:v>
                      </c:pt>
                      <c:pt idx="8">
                        <c:v>6.0632005128927613</c:v>
                      </c:pt>
                      <c:pt idx="9">
                        <c:v>0</c:v>
                      </c:pt>
                      <c:pt idx="10">
                        <c:v>0</c:v>
                      </c:pt>
                      <c:pt idx="11">
                        <c:v>39.298892178171016</c:v>
                      </c:pt>
                      <c:pt idx="12">
                        <c:v>0.11588668028554133</c:v>
                      </c:pt>
                      <c:pt idx="13">
                        <c:v>0.31767182095817253</c:v>
                      </c:pt>
                      <c:pt idx="14">
                        <c:v>8.9156304002736935</c:v>
                      </c:pt>
                    </c:numCache>
                  </c:numRef>
                </c:val>
                <c:extLst xmlns:c15="http://schemas.microsoft.com/office/drawing/2012/chart">
                  <c:ext xmlns:c16="http://schemas.microsoft.com/office/drawing/2014/chart" uri="{C3380CC4-5D6E-409C-BE32-E72D297353CC}">
                    <c16:uniqueId val="{00000073-3D06-4059-AA1E-6FBAABC87C12}"/>
                  </c:ext>
                </c:extLst>
              </c15:ser>
            </c15:filteredPieSeries>
          </c:ext>
        </c:extLst>
      </c:pieChart>
      <c:spPr>
        <a:noFill/>
        <a:ln>
          <a:noFill/>
        </a:ln>
        <a:effectLst/>
      </c:spPr>
    </c:plotArea>
    <c:legend>
      <c:legendPos val="b"/>
      <c:layout>
        <c:manualLayout>
          <c:xMode val="edge"/>
          <c:yMode val="edge"/>
          <c:x val="0.71613304878946193"/>
          <c:y val="4.108632254301546E-2"/>
          <c:w val="0.25011426771653539"/>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Volume fraction (%)</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3"/>
          <c:order val="3"/>
          <c:tx>
            <c:strRef>
              <c:f>'LMB(NCM811)'!$M$35</c:f>
              <c:strCache>
                <c:ptCount val="1"/>
                <c:pt idx="0">
                  <c:v>Vol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1E3E-4E62-B02E-42FF6CB0308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1E3E-4E62-B02E-42FF6CB0308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1E3E-4E62-B02E-42FF6CB0308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1E3E-4E62-B02E-42FF6CB0308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1E3E-4E62-B02E-42FF6CB0308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1E3E-4E62-B02E-42FF6CB0308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1E3E-4E62-B02E-42FF6CB0308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1E3E-4E62-B02E-42FF6CB03084}"/>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1E3E-4E62-B02E-42FF6CB03084}"/>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1E3E-4E62-B02E-42FF6CB03084}"/>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1E3E-4E62-B02E-42FF6CB03084}"/>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1E3E-4E62-B02E-42FF6CB03084}"/>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1E3E-4E62-B02E-42FF6CB03084}"/>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1E3E-4E62-B02E-42FF6CB03084}"/>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78D6-48DD-B091-DE46D642CA07}"/>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'LMB(NCM811)'!$I$36:$I$50</c:f>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'LMB(NCM811)'!$M$36:$M$50</c:f>
              <c:numCache>
                <c:formatCode>0.0_);[Red]\(0.0\)</c:formatCode>
                <c:ptCount val="15"/>
                <c:pt idx="0">
                  <c:v>17.577855829863729</c:v>
                </c:pt>
                <c:pt idx="1">
                  <c:v>0.95620280555971637</c:v>
                </c:pt>
                <c:pt idx="2">
                  <c:v>0.96694665730757867</c:v>
                </c:pt>
                <c:pt idx="3">
                  <c:v>2.9642592957248999</c:v>
                </c:pt>
                <c:pt idx="4">
                  <c:v>20.972221282329144</c:v>
                </c:pt>
                <c:pt idx="5">
                  <c:v>0</c:v>
                </c:pt>
                <c:pt idx="6">
                  <c:v>0</c:v>
                </c:pt>
                <c:pt idx="7">
                  <c:v>1.8512325366337505</c:v>
                </c:pt>
                <c:pt idx="8">
                  <c:v>6.0632005128927613</c:v>
                </c:pt>
                <c:pt idx="9">
                  <c:v>0</c:v>
                </c:pt>
                <c:pt idx="10">
                  <c:v>0</c:v>
                </c:pt>
                <c:pt idx="11">
                  <c:v>39.298892178171016</c:v>
                </c:pt>
                <c:pt idx="12">
                  <c:v>0.11588668028554133</c:v>
                </c:pt>
                <c:pt idx="13">
                  <c:v>0.31767182095817253</c:v>
                </c:pt>
                <c:pt idx="14">
                  <c:v>8.9156304002736935</c:v>
                </c:pt>
              </c:numCache>
            </c:numRef>
          </c:val>
          <c:extLst>
            <c:ext xmlns:c16="http://schemas.microsoft.com/office/drawing/2014/chart" uri="{C3380CC4-5D6E-409C-BE32-E72D297353CC}">
              <c16:uniqueId val="{0000001C-1E3E-4E62-B02E-42FF6CB03084}"/>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'LMB(NCM811)'!$J$35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1E-1E3E-4E62-B02E-42FF6CB0308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0-1E3E-4E62-B02E-42FF6CB0308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2-1E3E-4E62-B02E-42FF6CB0308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4-1E3E-4E62-B02E-42FF6CB0308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6-1E3E-4E62-B02E-42FF6CB0308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8-1E3E-4E62-B02E-42FF6CB03084}"/>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A-1E3E-4E62-B02E-42FF6CB03084}"/>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C-1E3E-4E62-B02E-42FF6CB03084}"/>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2E-1E3E-4E62-B02E-42FF6CB03084}"/>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0-1E3E-4E62-B02E-42FF6CB03084}"/>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2-1E3E-4E62-B02E-42FF6CB03084}"/>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4-1E3E-4E62-B02E-42FF6CB03084}"/>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6-1E3E-4E62-B02E-42FF6CB03084}"/>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8-1E3E-4E62-B02E-42FF6CB03084}"/>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B-78D6-48DD-B091-DE46D642CA0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'LMB(NCM811)'!$I$36:$I$50</c15:sqref>
                        </c15:formulaRef>
                      </c:ext>
                    </c:extLst>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'LMB(NCM811)'!$J$36:$J$50</c15:sqref>
                        </c15:formulaRef>
                      </c:ext>
                    </c:extLst>
                    <c:numCache>
                      <c:formatCode>0.00_);[Red]\(0.00\)</c:formatCode>
                      <c:ptCount val="15"/>
                      <c:pt idx="0">
                        <c:v>5.2013377926421409</c:v>
                      </c:pt>
                      <c:pt idx="1">
                        <c:v>0.10836120401337793</c:v>
                      </c:pt>
                      <c:pt idx="2">
                        <c:v>0.10836120401337793</c:v>
                      </c:pt>
                      <c:pt idx="3">
                        <c:v>0.503698176</c:v>
                      </c:pt>
                      <c:pt idx="4">
                        <c:v>0.7050777202072539</c:v>
                      </c:pt>
                      <c:pt idx="5">
                        <c:v>0</c:v>
                      </c:pt>
                      <c:pt idx="6">
                        <c:v>0</c:v>
                      </c:pt>
                      <c:pt idx="7">
                        <c:v>1.0442880000000003</c:v>
                      </c:pt>
                      <c:pt idx="8">
                        <c:v>0.35500639999999994</c:v>
                      </c:pt>
                      <c:pt idx="9">
                        <c:v>0</c:v>
                      </c:pt>
                      <c:pt idx="10">
                        <c:v>0</c:v>
                      </c:pt>
                      <c:pt idx="11">
                        <c:v>2.7216000000000005</c:v>
                      </c:pt>
                      <c:pt idx="12">
                        <c:v>3.6521471999999999E-2</c:v>
                      </c:pt>
                      <c:pt idx="13">
                        <c:v>0.11600999999999999</c:v>
                      </c:pt>
                      <c:pt idx="14">
                        <c:v>0.92807629650846102</c:v>
                      </c:pt>
                    </c:numCache>
                  </c:numRef>
                </c:val>
                <c:extLst>
                  <c:ext xmlns:c16="http://schemas.microsoft.com/office/drawing/2014/chart" uri="{C3380CC4-5D6E-409C-BE32-E72D297353CC}">
                    <c16:uniqueId val="{00000039-1E3E-4E62-B02E-42FF6CB03084}"/>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'LMB(NCM811)'!$K$35</c15:sqref>
                        </c15:formulaRef>
                      </c:ext>
                    </c:extLst>
                    <c:strCache>
                      <c:ptCount val="1"/>
                      <c:pt idx="0">
                        <c:v>Wt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B-1E3E-4E62-B02E-42FF6CB03084}"/>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3D-1E3E-4E62-B02E-42FF6CB03084}"/>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3F-1E3E-4E62-B02E-42FF6CB03084}"/>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1-1E3E-4E62-B02E-42FF6CB03084}"/>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3-1E3E-4E62-B02E-42FF6CB03084}"/>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5-1E3E-4E62-B02E-42FF6CB03084}"/>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7-1E3E-4E62-B02E-42FF6CB03084}"/>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9-1E3E-4E62-B02E-42FF6CB03084}"/>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1E3E-4E62-B02E-42FF6CB03084}"/>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1E3E-4E62-B02E-42FF6CB03084}"/>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1E3E-4E62-B02E-42FF6CB03084}"/>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1E3E-4E62-B02E-42FF6CB03084}"/>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3-1E3E-4E62-B02E-42FF6CB03084}"/>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5-1E3E-4E62-B02E-42FF6CB03084}"/>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78D6-48DD-B091-DE46D642CA07}"/>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'LMB(NCM811)'!$I$36:$I$50</c15:sqref>
                        </c15:formulaRef>
                      </c:ext>
                    </c:extLst>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'LMB(NCM811)'!$K$36:$K$50</c15:sqref>
                        </c15:formulaRef>
                      </c:ext>
                    </c:extLst>
                    <c:numCache>
                      <c:formatCode>0.0_);[Red]\(0.0\)</c:formatCode>
                      <c:ptCount val="15"/>
                      <c:pt idx="0">
                        <c:v>43.973529298394752</c:v>
                      </c:pt>
                      <c:pt idx="1">
                        <c:v>0.91611519371655714</c:v>
                      </c:pt>
                      <c:pt idx="2">
                        <c:v>0.91611519371655714</c:v>
                      </c:pt>
                      <c:pt idx="3">
                        <c:v>4.2584018540800637</c:v>
                      </c:pt>
                      <c:pt idx="4">
                        <c:v>5.9609194832603762</c:v>
                      </c:pt>
                      <c:pt idx="5">
                        <c:v>0</c:v>
                      </c:pt>
                      <c:pt idx="6">
                        <c:v>0</c:v>
                      </c:pt>
                      <c:pt idx="7">
                        <c:v>8.8286957691773775</c:v>
                      </c:pt>
                      <c:pt idx="8">
                        <c:v>3.0013209973789707</c:v>
                      </c:pt>
                      <c:pt idx="9">
                        <c:v>0</c:v>
                      </c:pt>
                      <c:pt idx="10">
                        <c:v>0</c:v>
                      </c:pt>
                      <c:pt idx="11">
                        <c:v>23.009149205385054</c:v>
                      </c:pt>
                      <c:pt idx="12">
                        <c:v>0.30876249208123618</c:v>
                      </c:pt>
                      <c:pt idx="13">
                        <c:v>0.98078020257081122</c:v>
                      </c:pt>
                      <c:pt idx="14">
                        <c:v>7.8462103102382263</c:v>
                      </c:pt>
                    </c:numCache>
                  </c:numRef>
                </c:val>
                <c:extLst xmlns:c15="http://schemas.microsoft.com/office/drawing/2012/chart">
                  <c:ext xmlns:c16="http://schemas.microsoft.com/office/drawing/2014/chart" uri="{C3380CC4-5D6E-409C-BE32-E72D297353CC}">
                    <c16:uniqueId val="{00000056-1E3E-4E62-B02E-42FF6CB03084}"/>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'LMB(NCM811)'!$L$35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8-1E3E-4E62-B02E-42FF6CB03084}"/>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5A-1E3E-4E62-B02E-42FF6CB03084}"/>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5C-1E3E-4E62-B02E-42FF6CB03084}"/>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5E-1E3E-4E62-B02E-42FF6CB03084}"/>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0-1E3E-4E62-B02E-42FF6CB03084}"/>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2-1E3E-4E62-B02E-42FF6CB03084}"/>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4-1E3E-4E62-B02E-42FF6CB03084}"/>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6-1E3E-4E62-B02E-42FF6CB03084}"/>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8-1E3E-4E62-B02E-42FF6CB03084}"/>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1E3E-4E62-B02E-42FF6CB03084}"/>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1E3E-4E62-B02E-42FF6CB03084}"/>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1E3E-4E62-B02E-42FF6CB03084}"/>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0-1E3E-4E62-B02E-42FF6CB03084}"/>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2-1E3E-4E62-B02E-42FF6CB03084}"/>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7-78D6-48DD-B091-DE46D642CA07}"/>
                    </c:ext>
                  </c:extLst>
                </c:dPt>
                <c:cat>
                  <c:strRef>
                    <c:extLst xmlns:c15="http://schemas.microsoft.com/office/drawing/2012/chart">
                      <c:ext xmlns:c15="http://schemas.microsoft.com/office/drawing/2012/chart" uri="{02D57815-91ED-43cb-92C2-25804820EDAC}">
                        <c15:formulaRef>
                          <c15:sqref>'LMB(NCM811)'!$I$36:$I$50</c15:sqref>
                        </c15:formulaRef>
                      </c:ext>
                    </c:extLst>
                    <c:strCache>
                      <c:ptCount val="15"/>
                      <c:pt idx="0">
                        <c:v>NCM811</c:v>
                      </c:pt>
                      <c:pt idx="1">
                        <c:v>Carbon 1</c:v>
                      </c:pt>
                      <c:pt idx="2">
                        <c:v>Binder 1</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'LMB(NCM811)'!$L$36:$L$50</c15:sqref>
                        </c15:formulaRef>
                      </c:ext>
                    </c:extLst>
                    <c:numCache>
                      <c:formatCode>0.00_);[Red]\(0.00\)</c:formatCode>
                      <c:ptCount val="15"/>
                      <c:pt idx="0">
                        <c:v>1.1066676154557746</c:v>
                      </c:pt>
                      <c:pt idx="1">
                        <c:v>6.0200668896321058E-2</c:v>
                      </c:pt>
                      <c:pt idx="2">
                        <c:v>6.0877080906392093E-2</c:v>
                      </c:pt>
                      <c:pt idx="3">
                        <c:v>0.18662400000000001</c:v>
                      </c:pt>
                      <c:pt idx="4">
                        <c:v>1.3203702625604006</c:v>
                      </c:pt>
                      <c:pt idx="5">
                        <c:v>0</c:v>
                      </c:pt>
                      <c:pt idx="6">
                        <c:v>0</c:v>
                      </c:pt>
                      <c:pt idx="7">
                        <c:v>0.11655000000000001</c:v>
                      </c:pt>
                      <c:pt idx="8">
                        <c:v>0.38172731182795694</c:v>
                      </c:pt>
                      <c:pt idx="9">
                        <c:v>0</c:v>
                      </c:pt>
                      <c:pt idx="10">
                        <c:v>0</c:v>
                      </c:pt>
                      <c:pt idx="11">
                        <c:v>2.474181818181818</c:v>
                      </c:pt>
                      <c:pt idx="12">
                        <c:v>7.2960000000000004E-3</c:v>
                      </c:pt>
                      <c:pt idx="13">
                        <c:v>0.02</c:v>
                      </c:pt>
                      <c:pt idx="14">
                        <c:v>0.56131074977831308</c:v>
                      </c:pt>
                    </c:numCache>
                  </c:numRef>
                </c:val>
                <c:extLst xmlns:c15="http://schemas.microsoft.com/office/drawing/2012/chart">
                  <c:ext xmlns:c16="http://schemas.microsoft.com/office/drawing/2014/chart" uri="{C3380CC4-5D6E-409C-BE32-E72D297353CC}">
                    <c16:uniqueId val="{00000073-1E3E-4E62-B02E-42FF6CB03084}"/>
                  </c:ext>
                </c:extLst>
              </c15:ser>
            </c15:filteredPieSeries>
          </c:ext>
        </c:extLst>
      </c:pieChart>
      <c:spPr>
        <a:noFill/>
        <a:ln>
          <a:noFill/>
        </a:ln>
        <a:effectLst/>
      </c:spPr>
    </c:plotArea>
    <c:legend>
      <c:legendPos val="b"/>
      <c:layout>
        <c:manualLayout>
          <c:xMode val="edge"/>
          <c:yMode val="edge"/>
          <c:x val="0.71613304878946193"/>
          <c:y val="4.108632254301546E-2"/>
          <c:w val="0.25104918703343898"/>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Weight</a:t>
            </a:r>
            <a:r>
              <a:rPr lang="en-US" altLang="ja-JP" sz="1000" baseline="0"/>
              <a:t> fraction </a:t>
            </a:r>
            <a:r>
              <a:rPr lang="en-US" altLang="ja-JP" sz="1000"/>
              <a:t>(%)</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1"/>
          <c:order val="1"/>
          <c:tx>
            <c:strRef>
              <c:f>'LMB(S)'!$K$35</c:f>
              <c:strCache>
                <c:ptCount val="1"/>
                <c:pt idx="0">
                  <c:v>Wt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0B31-4B40-8165-35620B6AFCD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0B31-4B40-8165-35620B6AFCD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0B31-4B40-8165-35620B6AFCD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0B31-4B40-8165-35620B6AFCD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0B31-4B40-8165-35620B6AFCD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0B31-4B40-8165-35620B6AFCD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0B31-4B40-8165-35620B6AFCD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0B31-4B40-8165-35620B6AFCD2}"/>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0B31-4B40-8165-35620B6AFCD2}"/>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0B31-4B40-8165-35620B6AFCD2}"/>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0B31-4B40-8165-35620B6AFCD2}"/>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0B31-4B40-8165-35620B6AFCD2}"/>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0B31-4B40-8165-35620B6AFCD2}"/>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0B31-4B40-8165-35620B6AFCD2}"/>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0B31-4B40-8165-35620B6AFCD2}"/>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'LMB(S)'!$I$36:$I$50</c:f>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'LMB(S)'!$K$36:$K$50</c:f>
              <c:numCache>
                <c:formatCode>0.0_);[Red]\(0.0\)</c:formatCode>
                <c:ptCount val="15"/>
                <c:pt idx="0">
                  <c:v>10.758981601286052</c:v>
                </c:pt>
                <c:pt idx="1">
                  <c:v>3.0739947432245862</c:v>
                </c:pt>
                <c:pt idx="2">
                  <c:v>1.5369973716122931</c:v>
                </c:pt>
                <c:pt idx="3">
                  <c:v>6.6586090318091511</c:v>
                </c:pt>
                <c:pt idx="4">
                  <c:v>9.3207343198706099</c:v>
                </c:pt>
                <c:pt idx="5">
                  <c:v>0</c:v>
                </c:pt>
                <c:pt idx="6">
                  <c:v>0</c:v>
                </c:pt>
                <c:pt idx="7">
                  <c:v>13.804905079922142</c:v>
                </c:pt>
                <c:pt idx="8">
                  <c:v>4.6929866615003419</c:v>
                </c:pt>
                <c:pt idx="9">
                  <c:v>0</c:v>
                </c:pt>
                <c:pt idx="10">
                  <c:v>0</c:v>
                </c:pt>
                <c:pt idx="11">
                  <c:v>35.978034474700557</c:v>
                </c:pt>
                <c:pt idx="12">
                  <c:v>0.48279349598868715</c:v>
                </c:pt>
                <c:pt idx="13">
                  <c:v>1.5335875144804565</c:v>
                </c:pt>
                <c:pt idx="14">
                  <c:v>12.158375705605129</c:v>
                </c:pt>
              </c:numCache>
            </c:numRef>
          </c:val>
          <c:extLst>
            <c:ext xmlns:c16="http://schemas.microsoft.com/office/drawing/2014/chart" uri="{C3380CC4-5D6E-409C-BE32-E72D297353CC}">
              <c16:uniqueId val="{0000001E-0B31-4B40-8165-35620B6AFCD2}"/>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'LMB(S)'!$J$35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0B31-4B40-8165-35620B6AFCD2}"/>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0B31-4B40-8165-35620B6AFCD2}"/>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0B31-4B40-8165-35620B6AFCD2}"/>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0B31-4B40-8165-35620B6AFCD2}"/>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0B31-4B40-8165-35620B6AFCD2}"/>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0B31-4B40-8165-35620B6AFCD2}"/>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0B31-4B40-8165-35620B6AFCD2}"/>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0B31-4B40-8165-35620B6AFCD2}"/>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0B31-4B40-8165-35620B6AFCD2}"/>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0B31-4B40-8165-35620B6AFCD2}"/>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0B31-4B40-8165-35620B6AFCD2}"/>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0B31-4B40-8165-35620B6AFCD2}"/>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0B31-4B40-8165-35620B6AFCD2}"/>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0B31-4B40-8165-35620B6AFCD2}"/>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0B31-4B40-8165-35620B6AFCD2}"/>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'LMB(S)'!$I$36:$I$50</c15:sqref>
                        </c15:formulaRef>
                      </c:ext>
                    </c:extLst>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'LMB(S)'!$J$36:$J$50</c15:sqref>
                        </c15:formulaRef>
                      </c:ext>
                    </c:extLst>
                    <c:numCache>
                      <c:formatCode>0.00_);[Red]\(0.00\)</c:formatCode>
                      <c:ptCount val="15"/>
                      <c:pt idx="0">
                        <c:v>0.81387559808612453</c:v>
                      </c:pt>
                      <c:pt idx="1">
                        <c:v>0.23253588516746415</c:v>
                      </c:pt>
                      <c:pt idx="2">
                        <c:v>0.11626794258373208</c:v>
                      </c:pt>
                      <c:pt idx="3">
                        <c:v>0.503698176</c:v>
                      </c:pt>
                      <c:pt idx="4">
                        <c:v>0.7050777202072539</c:v>
                      </c:pt>
                      <c:pt idx="5">
                        <c:v>0</c:v>
                      </c:pt>
                      <c:pt idx="6">
                        <c:v>0</c:v>
                      </c:pt>
                      <c:pt idx="7">
                        <c:v>1.0442880000000003</c:v>
                      </c:pt>
                      <c:pt idx="8">
                        <c:v>0.35500639999999994</c:v>
                      </c:pt>
                      <c:pt idx="9">
                        <c:v>0</c:v>
                      </c:pt>
                      <c:pt idx="10">
                        <c:v>0</c:v>
                      </c:pt>
                      <c:pt idx="11">
                        <c:v>2.7216000000000005</c:v>
                      </c:pt>
                      <c:pt idx="12">
                        <c:v>3.6521471999999999E-2</c:v>
                      </c:pt>
                      <c:pt idx="13">
                        <c:v>0.11600999999999999</c:v>
                      </c:pt>
                      <c:pt idx="14">
                        <c:v>0.91973438247838946</c:v>
                      </c:pt>
                    </c:numCache>
                  </c:numRef>
                </c:val>
                <c:extLst>
                  <c:ext xmlns:c16="http://schemas.microsoft.com/office/drawing/2014/chart" uri="{C3380CC4-5D6E-409C-BE32-E72D297353CC}">
                    <c16:uniqueId val="{0000003D-0B31-4B40-8165-35620B6AFCD2}"/>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'LMB(S)'!$L$35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0B31-4B40-8165-35620B6AFCD2}"/>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0B31-4B40-8165-35620B6AFCD2}"/>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0B31-4B40-8165-35620B6AFCD2}"/>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0B31-4B40-8165-35620B6AFCD2}"/>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0B31-4B40-8165-35620B6AFCD2}"/>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0B31-4B40-8165-35620B6AFCD2}"/>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0B31-4B40-8165-35620B6AFCD2}"/>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0B31-4B40-8165-35620B6AFCD2}"/>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0B31-4B40-8165-35620B6AFCD2}"/>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0B31-4B40-8165-35620B6AFCD2}"/>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0B31-4B40-8165-35620B6AFCD2}"/>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0B31-4B40-8165-35620B6AFCD2}"/>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0B31-4B40-8165-35620B6AFCD2}"/>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0B31-4B40-8165-35620B6AFCD2}"/>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0B31-4B40-8165-35620B6AFCD2}"/>
                    </c:ext>
                  </c:extLst>
                </c:dPt>
                <c:cat>
                  <c:strRef>
                    <c:extLst xmlns:c15="http://schemas.microsoft.com/office/drawing/2012/chart">
                      <c:ext xmlns:c15="http://schemas.microsoft.com/office/drawing/2012/chart" uri="{02D57815-91ED-43cb-92C2-25804820EDAC}">
                        <c15:formulaRef>
                          <c15:sqref>'LMB(S)'!$I$36:$I$50</c15:sqref>
                        </c15:formulaRef>
                      </c:ext>
                    </c:extLst>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'LMB(S)'!$L$36:$L$50</c15:sqref>
                        </c15:formulaRef>
                      </c:ext>
                    </c:extLst>
                    <c:numCache>
                      <c:formatCode>0.00_);[Red]\(0.00\)</c:formatCode>
                      <c:ptCount val="15"/>
                      <c:pt idx="0">
                        <c:v>0.39317661743291044</c:v>
                      </c:pt>
                      <c:pt idx="1">
                        <c:v>0.16609706083390299</c:v>
                      </c:pt>
                      <c:pt idx="2">
                        <c:v>6.5319068867265212E-2</c:v>
                      </c:pt>
                      <c:pt idx="3">
                        <c:v>0.18662400000000001</c:v>
                      </c:pt>
                      <c:pt idx="4">
                        <c:v>1.3203702625604006</c:v>
                      </c:pt>
                      <c:pt idx="5">
                        <c:v>0</c:v>
                      </c:pt>
                      <c:pt idx="6">
                        <c:v>0</c:v>
                      </c:pt>
                      <c:pt idx="7">
                        <c:v>0.11655000000000001</c:v>
                      </c:pt>
                      <c:pt idx="8">
                        <c:v>0.38172731182795694</c:v>
                      </c:pt>
                      <c:pt idx="9">
                        <c:v>0</c:v>
                      </c:pt>
                      <c:pt idx="10">
                        <c:v>0</c:v>
                      </c:pt>
                      <c:pt idx="11">
                        <c:v>2.474181818181818</c:v>
                      </c:pt>
                      <c:pt idx="12">
                        <c:v>7.2960000000000004E-3</c:v>
                      </c:pt>
                      <c:pt idx="13">
                        <c:v>0.02</c:v>
                      </c:pt>
                      <c:pt idx="14">
                        <c:v>0.55626546844053792</c:v>
                      </c:pt>
                    </c:numCache>
                  </c:numRef>
                </c:val>
                <c:extLst xmlns:c15="http://schemas.microsoft.com/office/drawing/2012/chart">
                  <c:ext xmlns:c16="http://schemas.microsoft.com/office/drawing/2014/chart" uri="{C3380CC4-5D6E-409C-BE32-E72D297353CC}">
                    <c16:uniqueId val="{0000005C-0B31-4B40-8165-35620B6AFCD2}"/>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'LMB(S)'!$M$35</c15:sqref>
                        </c15:formulaRef>
                      </c:ext>
                    </c:extLst>
                    <c:strCache>
                      <c:ptCount val="1"/>
                      <c:pt idx="0">
                        <c:v>Vol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0B31-4B40-8165-35620B6AFCD2}"/>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0B31-4B40-8165-35620B6AFCD2}"/>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0B31-4B40-8165-35620B6AFCD2}"/>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0B31-4B40-8165-35620B6AFCD2}"/>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0B31-4B40-8165-35620B6AFCD2}"/>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0B31-4B40-8165-35620B6AFCD2}"/>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0B31-4B40-8165-35620B6AFCD2}"/>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0B31-4B40-8165-35620B6AFCD2}"/>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0B31-4B40-8165-35620B6AFCD2}"/>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0B31-4B40-8165-35620B6AFCD2}"/>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0B31-4B40-8165-35620B6AFCD2}"/>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0B31-4B40-8165-35620B6AFCD2}"/>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0B31-4B40-8165-35620B6AFCD2}"/>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0B31-4B40-8165-35620B6AFCD2}"/>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0B31-4B40-8165-35620B6AFCD2}"/>
                    </c:ext>
                  </c:extLst>
                </c:dPt>
                <c:cat>
                  <c:strRef>
                    <c:extLst xmlns:c15="http://schemas.microsoft.com/office/drawing/2012/chart">
                      <c:ext xmlns:c15="http://schemas.microsoft.com/office/drawing/2012/chart" uri="{02D57815-91ED-43cb-92C2-25804820EDAC}">
                        <c15:formulaRef>
                          <c15:sqref>'LMB(S)'!$I$36:$I$50</c15:sqref>
                        </c15:formulaRef>
                      </c:ext>
                    </c:extLst>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'LMB(S)'!$M$36:$M$50</c15:sqref>
                        </c15:formulaRef>
                      </c:ext>
                    </c:extLst>
                    <c:numCache>
                      <c:formatCode>0.0_);[Red]\(0.0\)</c:formatCode>
                      <c:ptCount val="15"/>
                      <c:pt idx="0">
                        <c:v>6.9128646791644348</c:v>
                      </c:pt>
                      <c:pt idx="1">
                        <c:v>2.9203326297694661</c:v>
                      </c:pt>
                      <c:pt idx="2">
                        <c:v>1.148445416201475</c:v>
                      </c:pt>
                      <c:pt idx="3">
                        <c:v>3.2812390174868944</c:v>
                      </c:pt>
                      <c:pt idx="4">
                        <c:v>23.214862091920661</c:v>
                      </c:pt>
                      <c:pt idx="5">
                        <c:v>0</c:v>
                      </c:pt>
                      <c:pt idx="6">
                        <c:v>0</c:v>
                      </c:pt>
                      <c:pt idx="7">
                        <c:v>2.0491919982858451</c:v>
                      </c:pt>
                      <c:pt idx="8">
                        <c:v>6.711562015658644</c:v>
                      </c:pt>
                      <c:pt idx="9">
                        <c:v>0</c:v>
                      </c:pt>
                      <c:pt idx="10">
                        <c:v>0</c:v>
                      </c:pt>
                      <c:pt idx="11">
                        <c:v>43.501274853045949</c:v>
                      </c:pt>
                      <c:pt idx="12">
                        <c:v>0.12827889163014608</c:v>
                      </c:pt>
                      <c:pt idx="13">
                        <c:v>0.35164169854754956</c:v>
                      </c:pt>
                      <c:pt idx="14">
                        <c:v>9.7803067082889541</c:v>
                      </c:pt>
                    </c:numCache>
                  </c:numRef>
                </c:val>
                <c:extLst xmlns:c15="http://schemas.microsoft.com/office/drawing/2012/chart">
                  <c:ext xmlns:c16="http://schemas.microsoft.com/office/drawing/2014/chart" uri="{C3380CC4-5D6E-409C-BE32-E72D297353CC}">
                    <c16:uniqueId val="{0000007B-0B31-4B40-8165-35620B6AFCD2}"/>
                  </c:ext>
                </c:extLst>
              </c15:ser>
            </c15:filteredPieSeries>
          </c:ext>
        </c:extLst>
      </c:pieChart>
      <c:spPr>
        <a:noFill/>
        <a:ln>
          <a:noFill/>
        </a:ln>
        <a:effectLst/>
      </c:spPr>
    </c:plotArea>
    <c:legend>
      <c:legendPos val="b"/>
      <c:layout>
        <c:manualLayout>
          <c:xMode val="edge"/>
          <c:yMode val="edge"/>
          <c:x val="0.71613304878946193"/>
          <c:y val="4.108632254301546E-2"/>
          <c:w val="0.25011426771653539"/>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Volume fraction (%)</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3"/>
          <c:order val="3"/>
          <c:tx>
            <c:strRef>
              <c:f>'LMB(S)'!$M$35</c:f>
              <c:strCache>
                <c:ptCount val="1"/>
                <c:pt idx="0">
                  <c:v>Vol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BE3F-42D4-9F78-0095E1DB056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BE3F-42D4-9F78-0095E1DB056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BE3F-42D4-9F78-0095E1DB056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BE3F-42D4-9F78-0095E1DB056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BE3F-42D4-9F78-0095E1DB056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BE3F-42D4-9F78-0095E1DB056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BE3F-42D4-9F78-0095E1DB056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BE3F-42D4-9F78-0095E1DB056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BE3F-42D4-9F78-0095E1DB056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BE3F-42D4-9F78-0095E1DB0568}"/>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BE3F-42D4-9F78-0095E1DB0568}"/>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BE3F-42D4-9F78-0095E1DB0568}"/>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BE3F-42D4-9F78-0095E1DB0568}"/>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BE3F-42D4-9F78-0095E1DB0568}"/>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BE3F-42D4-9F78-0095E1DB0568}"/>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'LMB(S)'!$I$36:$I$50</c:f>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'LMB(S)'!$M$36:$M$50</c:f>
              <c:numCache>
                <c:formatCode>0.0_);[Red]\(0.0\)</c:formatCode>
                <c:ptCount val="15"/>
                <c:pt idx="0">
                  <c:v>6.9128646791644348</c:v>
                </c:pt>
                <c:pt idx="1">
                  <c:v>2.9203326297694661</c:v>
                </c:pt>
                <c:pt idx="2">
                  <c:v>1.148445416201475</c:v>
                </c:pt>
                <c:pt idx="3">
                  <c:v>3.2812390174868944</c:v>
                </c:pt>
                <c:pt idx="4">
                  <c:v>23.214862091920661</c:v>
                </c:pt>
                <c:pt idx="5">
                  <c:v>0</c:v>
                </c:pt>
                <c:pt idx="6">
                  <c:v>0</c:v>
                </c:pt>
                <c:pt idx="7">
                  <c:v>2.0491919982858451</c:v>
                </c:pt>
                <c:pt idx="8">
                  <c:v>6.711562015658644</c:v>
                </c:pt>
                <c:pt idx="9">
                  <c:v>0</c:v>
                </c:pt>
                <c:pt idx="10">
                  <c:v>0</c:v>
                </c:pt>
                <c:pt idx="11">
                  <c:v>43.501274853045949</c:v>
                </c:pt>
                <c:pt idx="12">
                  <c:v>0.12827889163014608</c:v>
                </c:pt>
                <c:pt idx="13">
                  <c:v>0.35164169854754956</c:v>
                </c:pt>
                <c:pt idx="14">
                  <c:v>9.7803067082889541</c:v>
                </c:pt>
              </c:numCache>
            </c:numRef>
          </c:val>
          <c:extLst>
            <c:ext xmlns:c16="http://schemas.microsoft.com/office/drawing/2014/chart" uri="{C3380CC4-5D6E-409C-BE32-E72D297353CC}">
              <c16:uniqueId val="{0000001E-BE3F-42D4-9F78-0095E1DB0568}"/>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'LMB(S)'!$J$35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BE3F-42D4-9F78-0095E1DB056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BE3F-42D4-9F78-0095E1DB056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BE3F-42D4-9F78-0095E1DB056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BE3F-42D4-9F78-0095E1DB056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BE3F-42D4-9F78-0095E1DB056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BE3F-42D4-9F78-0095E1DB0568}"/>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BE3F-42D4-9F78-0095E1DB0568}"/>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BE3F-42D4-9F78-0095E1DB0568}"/>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BE3F-42D4-9F78-0095E1DB0568}"/>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BE3F-42D4-9F78-0095E1DB0568}"/>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BE3F-42D4-9F78-0095E1DB0568}"/>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BE3F-42D4-9F78-0095E1DB0568}"/>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BE3F-42D4-9F78-0095E1DB0568}"/>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BE3F-42D4-9F78-0095E1DB0568}"/>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BE3F-42D4-9F78-0095E1DB056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'LMB(S)'!$I$36:$I$50</c15:sqref>
                        </c15:formulaRef>
                      </c:ext>
                    </c:extLst>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'LMB(S)'!$J$36:$J$50</c15:sqref>
                        </c15:formulaRef>
                      </c:ext>
                    </c:extLst>
                    <c:numCache>
                      <c:formatCode>0.00_);[Red]\(0.00\)</c:formatCode>
                      <c:ptCount val="15"/>
                      <c:pt idx="0">
                        <c:v>0.81387559808612453</c:v>
                      </c:pt>
                      <c:pt idx="1">
                        <c:v>0.23253588516746415</c:v>
                      </c:pt>
                      <c:pt idx="2">
                        <c:v>0.11626794258373208</c:v>
                      </c:pt>
                      <c:pt idx="3">
                        <c:v>0.503698176</c:v>
                      </c:pt>
                      <c:pt idx="4">
                        <c:v>0.7050777202072539</c:v>
                      </c:pt>
                      <c:pt idx="5">
                        <c:v>0</c:v>
                      </c:pt>
                      <c:pt idx="6">
                        <c:v>0</c:v>
                      </c:pt>
                      <c:pt idx="7">
                        <c:v>1.0442880000000003</c:v>
                      </c:pt>
                      <c:pt idx="8">
                        <c:v>0.35500639999999994</c:v>
                      </c:pt>
                      <c:pt idx="9">
                        <c:v>0</c:v>
                      </c:pt>
                      <c:pt idx="10">
                        <c:v>0</c:v>
                      </c:pt>
                      <c:pt idx="11">
                        <c:v>2.7216000000000005</c:v>
                      </c:pt>
                      <c:pt idx="12">
                        <c:v>3.6521471999999999E-2</c:v>
                      </c:pt>
                      <c:pt idx="13">
                        <c:v>0.11600999999999999</c:v>
                      </c:pt>
                      <c:pt idx="14">
                        <c:v>0.91973438247838946</c:v>
                      </c:pt>
                    </c:numCache>
                  </c:numRef>
                </c:val>
                <c:extLst>
                  <c:ext xmlns:c16="http://schemas.microsoft.com/office/drawing/2014/chart" uri="{C3380CC4-5D6E-409C-BE32-E72D297353CC}">
                    <c16:uniqueId val="{0000003D-BE3F-42D4-9F78-0095E1DB0568}"/>
                  </c:ext>
                </c:extLst>
              </c15:ser>
            </c15:filteredPieSeries>
            <c15:filteredPieSeries>
              <c15:ser>
                <c:idx val="1"/>
                <c:order val="1"/>
                <c:tx>
                  <c:strRef>
                    <c:extLst xmlns:c15="http://schemas.microsoft.com/office/drawing/2012/chart">
                      <c:ext xmlns:c15="http://schemas.microsoft.com/office/drawing/2012/chart" uri="{02D57815-91ED-43cb-92C2-25804820EDAC}">
                        <c15:formulaRef>
                          <c15:sqref>'LMB(S)'!$K$35</c15:sqref>
                        </c15:formulaRef>
                      </c:ext>
                    </c:extLst>
                    <c:strCache>
                      <c:ptCount val="1"/>
                      <c:pt idx="0">
                        <c:v>Wt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BE3F-42D4-9F78-0095E1DB056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BE3F-42D4-9F78-0095E1DB056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BE3F-42D4-9F78-0095E1DB056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BE3F-42D4-9F78-0095E1DB056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BE3F-42D4-9F78-0095E1DB056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BE3F-42D4-9F78-0095E1DB056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BE3F-42D4-9F78-0095E1DB056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BE3F-42D4-9F78-0095E1DB0568}"/>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BE3F-42D4-9F78-0095E1DB0568}"/>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BE3F-42D4-9F78-0095E1DB0568}"/>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BE3F-42D4-9F78-0095E1DB0568}"/>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BE3F-42D4-9F78-0095E1DB0568}"/>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BE3F-42D4-9F78-0095E1DB0568}"/>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BE3F-42D4-9F78-0095E1DB0568}"/>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BE3F-42D4-9F78-0095E1DB056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xmlns:c15="http://schemas.microsoft.com/office/drawing/2012/chart">
                    <c:ext xmlns:c15="http://schemas.microsoft.com/office/drawing/2012/chart" uri="{CE6537A1-D6FC-4f65-9D91-7224C49458BB}"/>
                  </c:extLst>
                </c:dLbls>
                <c:cat>
                  <c:strRef>
                    <c:extLst xmlns:c15="http://schemas.microsoft.com/office/drawing/2012/chart">
                      <c:ext xmlns:c15="http://schemas.microsoft.com/office/drawing/2012/chart" uri="{02D57815-91ED-43cb-92C2-25804820EDAC}">
                        <c15:formulaRef>
                          <c15:sqref>'LMB(S)'!$I$36:$I$50</c15:sqref>
                        </c15:formulaRef>
                      </c:ext>
                    </c:extLst>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'LMB(S)'!$K$36:$K$50</c15:sqref>
                        </c15:formulaRef>
                      </c:ext>
                    </c:extLst>
                    <c:numCache>
                      <c:formatCode>0.0_);[Red]\(0.0\)</c:formatCode>
                      <c:ptCount val="15"/>
                      <c:pt idx="0">
                        <c:v>10.758981601286052</c:v>
                      </c:pt>
                      <c:pt idx="1">
                        <c:v>3.0739947432245862</c:v>
                      </c:pt>
                      <c:pt idx="2">
                        <c:v>1.5369973716122931</c:v>
                      </c:pt>
                      <c:pt idx="3">
                        <c:v>6.6586090318091511</c:v>
                      </c:pt>
                      <c:pt idx="4">
                        <c:v>9.3207343198706099</c:v>
                      </c:pt>
                      <c:pt idx="5">
                        <c:v>0</c:v>
                      </c:pt>
                      <c:pt idx="6">
                        <c:v>0</c:v>
                      </c:pt>
                      <c:pt idx="7">
                        <c:v>13.804905079922142</c:v>
                      </c:pt>
                      <c:pt idx="8">
                        <c:v>4.6929866615003419</c:v>
                      </c:pt>
                      <c:pt idx="9">
                        <c:v>0</c:v>
                      </c:pt>
                      <c:pt idx="10">
                        <c:v>0</c:v>
                      </c:pt>
                      <c:pt idx="11">
                        <c:v>35.978034474700557</c:v>
                      </c:pt>
                      <c:pt idx="12">
                        <c:v>0.48279349598868715</c:v>
                      </c:pt>
                      <c:pt idx="13">
                        <c:v>1.5335875144804565</c:v>
                      </c:pt>
                      <c:pt idx="14">
                        <c:v>12.158375705605129</c:v>
                      </c:pt>
                    </c:numCache>
                  </c:numRef>
                </c:val>
                <c:extLst xmlns:c15="http://schemas.microsoft.com/office/drawing/2012/chart">
                  <c:ext xmlns:c16="http://schemas.microsoft.com/office/drawing/2014/chart" uri="{C3380CC4-5D6E-409C-BE32-E72D297353CC}">
                    <c16:uniqueId val="{0000005C-BE3F-42D4-9F78-0095E1DB0568}"/>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'LMB(S)'!$L$35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BE3F-42D4-9F78-0095E1DB0568}"/>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BE3F-42D4-9F78-0095E1DB0568}"/>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BE3F-42D4-9F78-0095E1DB0568}"/>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BE3F-42D4-9F78-0095E1DB0568}"/>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BE3F-42D4-9F78-0095E1DB0568}"/>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BE3F-42D4-9F78-0095E1DB0568}"/>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BE3F-42D4-9F78-0095E1DB0568}"/>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BE3F-42D4-9F78-0095E1DB0568}"/>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BE3F-42D4-9F78-0095E1DB0568}"/>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BE3F-42D4-9F78-0095E1DB0568}"/>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BE3F-42D4-9F78-0095E1DB0568}"/>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BE3F-42D4-9F78-0095E1DB0568}"/>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BE3F-42D4-9F78-0095E1DB0568}"/>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BE3F-42D4-9F78-0095E1DB0568}"/>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BE3F-42D4-9F78-0095E1DB0568}"/>
                    </c:ext>
                  </c:extLst>
                </c:dPt>
                <c:cat>
                  <c:strRef>
                    <c:extLst xmlns:c15="http://schemas.microsoft.com/office/drawing/2012/chart">
                      <c:ext xmlns:c15="http://schemas.microsoft.com/office/drawing/2012/chart" uri="{02D57815-91ED-43cb-92C2-25804820EDAC}">
                        <c15:formulaRef>
                          <c15:sqref>'LMB(S)'!$I$36:$I$50</c15:sqref>
                        </c15:formulaRef>
                      </c:ext>
                    </c:extLst>
                    <c:strCache>
                      <c:ptCount val="15"/>
                      <c:pt idx="0">
                        <c:v>S</c:v>
                      </c:pt>
                      <c:pt idx="1">
                        <c:v>Carbon</c:v>
                      </c:pt>
                      <c:pt idx="2">
                        <c:v>Binder</c:v>
                      </c:pt>
                      <c:pt idx="3">
                        <c:v>Substrate (Al)</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'LMB(S)'!$L$36:$L$50</c15:sqref>
                        </c15:formulaRef>
                      </c:ext>
                    </c:extLst>
                    <c:numCache>
                      <c:formatCode>0.00_);[Red]\(0.00\)</c:formatCode>
                      <c:ptCount val="15"/>
                      <c:pt idx="0">
                        <c:v>0.39317661743291044</c:v>
                      </c:pt>
                      <c:pt idx="1">
                        <c:v>0.16609706083390299</c:v>
                      </c:pt>
                      <c:pt idx="2">
                        <c:v>6.5319068867265212E-2</c:v>
                      </c:pt>
                      <c:pt idx="3">
                        <c:v>0.18662400000000001</c:v>
                      </c:pt>
                      <c:pt idx="4">
                        <c:v>1.3203702625604006</c:v>
                      </c:pt>
                      <c:pt idx="5">
                        <c:v>0</c:v>
                      </c:pt>
                      <c:pt idx="6">
                        <c:v>0</c:v>
                      </c:pt>
                      <c:pt idx="7">
                        <c:v>0.11655000000000001</c:v>
                      </c:pt>
                      <c:pt idx="8">
                        <c:v>0.38172731182795694</c:v>
                      </c:pt>
                      <c:pt idx="9">
                        <c:v>0</c:v>
                      </c:pt>
                      <c:pt idx="10">
                        <c:v>0</c:v>
                      </c:pt>
                      <c:pt idx="11">
                        <c:v>2.474181818181818</c:v>
                      </c:pt>
                      <c:pt idx="12">
                        <c:v>7.2960000000000004E-3</c:v>
                      </c:pt>
                      <c:pt idx="13">
                        <c:v>0.02</c:v>
                      </c:pt>
                      <c:pt idx="14">
                        <c:v>0.55626546844053792</c:v>
                      </c:pt>
                    </c:numCache>
                  </c:numRef>
                </c:val>
                <c:extLst xmlns:c15="http://schemas.microsoft.com/office/drawing/2012/chart">
                  <c:ext xmlns:c16="http://schemas.microsoft.com/office/drawing/2014/chart" uri="{C3380CC4-5D6E-409C-BE32-E72D297353CC}">
                    <c16:uniqueId val="{0000007B-BE3F-42D4-9F78-0095E1DB0568}"/>
                  </c:ext>
                </c:extLst>
              </c15:ser>
            </c15:filteredPieSeries>
          </c:ext>
        </c:extLst>
      </c:pieChart>
      <c:spPr>
        <a:noFill/>
        <a:ln>
          <a:noFill/>
        </a:ln>
        <a:effectLst/>
      </c:spPr>
    </c:plotArea>
    <c:legend>
      <c:legendPos val="b"/>
      <c:layout>
        <c:manualLayout>
          <c:xMode val="edge"/>
          <c:yMode val="edge"/>
          <c:x val="0.71613304878946193"/>
          <c:y val="4.108632254301546E-2"/>
          <c:w val="0.25104918703343898"/>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r>
              <a:rPr lang="en-US" altLang="ja-JP" sz="1000"/>
              <a:t>Weight</a:t>
            </a:r>
            <a:r>
              <a:rPr lang="en-US" altLang="ja-JP" sz="1000" baseline="0"/>
              <a:t> fraction </a:t>
            </a:r>
            <a:r>
              <a:rPr lang="en-US" altLang="ja-JP" sz="1000"/>
              <a:t>(%)</a:t>
            </a:r>
          </a:p>
        </c:rich>
      </c:tx>
      <c:overlay val="0"/>
      <c:spPr>
        <a:noFill/>
        <a:ln>
          <a:noFill/>
        </a:ln>
        <a:effectLst/>
      </c:spPr>
      <c:txPr>
        <a:bodyPr rot="0" spcFirstLastPara="1" vertOverflow="ellipsis" vert="horz" wrap="square" anchor="ctr" anchorCtr="1"/>
        <a:lstStyle/>
        <a:p>
          <a:pPr>
            <a:defRPr sz="1000" b="0" i="0" u="none" strike="noStrike" kern="1200" spc="0" baseline="0">
              <a:solidFill>
                <a:schemeClr val="tx1"/>
              </a:solidFill>
              <a:latin typeface="Arial" panose="020B0604020202020204" pitchFamily="34" charset="0"/>
              <a:ea typeface="+mn-ea"/>
              <a:cs typeface="Arial" panose="020B0604020202020204" pitchFamily="34" charset="0"/>
            </a:defRPr>
          </a:pPr>
          <a:endParaRPr lang="ja-JP"/>
        </a:p>
      </c:txPr>
    </c:title>
    <c:autoTitleDeleted val="0"/>
    <c:plotArea>
      <c:layout>
        <c:manualLayout>
          <c:layoutTarget val="inner"/>
          <c:xMode val="edge"/>
          <c:yMode val="edge"/>
          <c:x val="8.2568530628586684E-2"/>
          <c:y val="0.16864970645792568"/>
          <c:w val="0.51621913786200457"/>
          <c:h val="0.59602601044732417"/>
        </c:manualLayout>
      </c:layout>
      <c:pieChart>
        <c:varyColors val="1"/>
        <c:ser>
          <c:idx val="1"/>
          <c:order val="1"/>
          <c:tx>
            <c:strRef>
              <c:f>'LMB(O2)'!$K$35</c:f>
              <c:strCache>
                <c:ptCount val="1"/>
                <c:pt idx="0">
                  <c:v>Wt (%)</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01-4BD2-4E88-99F1-B3786FE9953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4BD2-4E88-99F1-B3786FE9953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4BD2-4E88-99F1-B3786FE9953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4BD2-4E88-99F1-B3786FE9953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4BD2-4E88-99F1-B3786FE9953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4BD2-4E88-99F1-B3786FE9953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D-4BD2-4E88-99F1-B3786FE9953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0F-4BD2-4E88-99F1-B3786FE9953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11-4BD2-4E88-99F1-B3786FE9953E}"/>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13-4BD2-4E88-99F1-B3786FE9953E}"/>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15-4BD2-4E88-99F1-B3786FE9953E}"/>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17-4BD2-4E88-99F1-B3786FE9953E}"/>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19-4BD2-4E88-99F1-B3786FE9953E}"/>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1B-4BD2-4E88-99F1-B3786FE9953E}"/>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1D-4BD2-4E88-99F1-B3786FE9953E}"/>
              </c:ext>
            </c:extLst>
          </c:dPt>
          <c:dLbls>
            <c:spPr>
              <a:noFill/>
              <a:ln>
                <a:noFill/>
              </a:ln>
              <a:effectLst/>
            </c:spPr>
            <c:txPr>
              <a:bodyPr rot="0" spcFirstLastPara="1" vertOverflow="ellipsis" vert="horz" wrap="square" lIns="38100" tIns="19050" rIns="38100" bIns="19050" anchor="ctr" anchorCtr="1">
                <a:spAutoFit/>
              </a:bodyPr>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'LMB(O2)'!$I$36:$I$50</c:f>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f>'LMB(O2)'!$K$36:$K$50</c:f>
              <c:numCache>
                <c:formatCode>0.0_);[Red]\(0.0\)</c:formatCode>
                <c:ptCount val="15"/>
                <c:pt idx="0">
                  <c:v>9.0248219402544514</c:v>
                </c:pt>
                <c:pt idx="1">
                  <c:v>0</c:v>
                </c:pt>
                <c:pt idx="2">
                  <c:v>8.0819300957502556</c:v>
                </c:pt>
                <c:pt idx="3">
                  <c:v>8.4414316648308585</c:v>
                </c:pt>
                <c:pt idx="4">
                  <c:v>8.7676378953249205</c:v>
                </c:pt>
                <c:pt idx="5">
                  <c:v>0</c:v>
                </c:pt>
                <c:pt idx="6">
                  <c:v>0</c:v>
                </c:pt>
                <c:pt idx="7">
                  <c:v>12.985716014032796</c:v>
                </c:pt>
                <c:pt idx="8">
                  <c:v>4.4145027938309456</c:v>
                </c:pt>
                <c:pt idx="9">
                  <c:v>0</c:v>
                </c:pt>
                <c:pt idx="10">
                  <c:v>0</c:v>
                </c:pt>
                <c:pt idx="11">
                  <c:v>33.843082275954195</c:v>
                </c:pt>
                <c:pt idx="12">
                  <c:v>0.50792079882797136</c:v>
                </c:pt>
                <c:pt idx="13">
                  <c:v>2.2136778023094377</c:v>
                </c:pt>
                <c:pt idx="14">
                  <c:v>11.719278718884169</c:v>
                </c:pt>
              </c:numCache>
            </c:numRef>
          </c:val>
          <c:extLst>
            <c:ext xmlns:c16="http://schemas.microsoft.com/office/drawing/2014/chart" uri="{C3380CC4-5D6E-409C-BE32-E72D297353CC}">
              <c16:uniqueId val="{0000001E-4BD2-4E88-99F1-B3786FE9953E}"/>
            </c:ext>
          </c:extLst>
        </c:ser>
        <c:dLbls>
          <c:showLegendKey val="0"/>
          <c:showVal val="0"/>
          <c:showCatName val="0"/>
          <c:showSerName val="0"/>
          <c:showPercent val="0"/>
          <c:showBubbleSize val="0"/>
          <c:showLeaderLines val="1"/>
        </c:dLbls>
        <c:firstSliceAng val="0"/>
        <c:extLst>
          <c:ext xmlns:c15="http://schemas.microsoft.com/office/drawing/2012/chart" uri="{02D57815-91ED-43cb-92C2-25804820EDAC}">
            <c15:filteredPieSeries>
              <c15:ser>
                <c:idx val="0"/>
                <c:order val="0"/>
                <c:tx>
                  <c:strRef>
                    <c:extLst>
                      <c:ext uri="{02D57815-91ED-43cb-92C2-25804820EDAC}">
                        <c15:formulaRef>
                          <c15:sqref>'LMB(O2)'!$J$35</c15:sqref>
                        </c15:formulaRef>
                      </c:ext>
                    </c:extLst>
                    <c:strCache>
                      <c:ptCount val="1"/>
                      <c:pt idx="0">
                        <c:v>Wt (g)</c:v>
                      </c:pt>
                    </c:strCache>
                  </c:strRef>
                </c:tx>
                <c:dPt>
                  <c:idx val="0"/>
                  <c:bubble3D val="0"/>
                  <c:spPr>
                    <a:solidFill>
                      <a:schemeClr val="accent1"/>
                    </a:solidFill>
                    <a:ln w="19050">
                      <a:solidFill>
                        <a:schemeClr val="lt1"/>
                      </a:solidFill>
                    </a:ln>
                    <a:effectLst/>
                  </c:spPr>
                  <c:extLst>
                    <c:ext xmlns:c16="http://schemas.microsoft.com/office/drawing/2014/chart" uri="{C3380CC4-5D6E-409C-BE32-E72D297353CC}">
                      <c16:uniqueId val="{00000020-4BD2-4E88-99F1-B3786FE9953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22-4BD2-4E88-99F1-B3786FE9953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24-4BD2-4E88-99F1-B3786FE9953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26-4BD2-4E88-99F1-B3786FE9953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28-4BD2-4E88-99F1-B3786FE9953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2A-4BD2-4E88-99F1-B3786FE9953E}"/>
                    </c:ext>
                  </c:extLst>
                </c:dPt>
                <c:dPt>
                  <c:idx val="6"/>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2C-4BD2-4E88-99F1-B3786FE9953E}"/>
                    </c:ext>
                  </c:extLst>
                </c:dPt>
                <c:dPt>
                  <c:idx val="7"/>
                  <c:bubble3D val="0"/>
                  <c:spPr>
                    <a:solidFill>
                      <a:schemeClr val="accent2">
                        <a:lumMod val="60000"/>
                      </a:schemeClr>
                    </a:solidFill>
                    <a:ln w="19050">
                      <a:solidFill>
                        <a:schemeClr val="lt1"/>
                      </a:solidFill>
                    </a:ln>
                    <a:effectLst/>
                  </c:spPr>
                  <c:extLst>
                    <c:ext xmlns:c16="http://schemas.microsoft.com/office/drawing/2014/chart" uri="{C3380CC4-5D6E-409C-BE32-E72D297353CC}">
                      <c16:uniqueId val="{0000002E-4BD2-4E88-99F1-B3786FE9953E}"/>
                    </c:ext>
                  </c:extLst>
                </c:dPt>
                <c:dPt>
                  <c:idx val="8"/>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30-4BD2-4E88-99F1-B3786FE9953E}"/>
                    </c:ext>
                  </c:extLst>
                </c:dPt>
                <c:dPt>
                  <c:idx val="9"/>
                  <c:bubble3D val="0"/>
                  <c:spPr>
                    <a:solidFill>
                      <a:schemeClr val="accent4">
                        <a:lumMod val="60000"/>
                      </a:schemeClr>
                    </a:solidFill>
                    <a:ln w="19050">
                      <a:solidFill>
                        <a:schemeClr val="lt1"/>
                      </a:solidFill>
                    </a:ln>
                    <a:effectLst/>
                  </c:spPr>
                  <c:extLst>
                    <c:ext xmlns:c16="http://schemas.microsoft.com/office/drawing/2014/chart" uri="{C3380CC4-5D6E-409C-BE32-E72D297353CC}">
                      <c16:uniqueId val="{00000032-4BD2-4E88-99F1-B3786FE9953E}"/>
                    </c:ext>
                  </c:extLst>
                </c:dPt>
                <c:dPt>
                  <c:idx val="10"/>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34-4BD2-4E88-99F1-B3786FE9953E}"/>
                    </c:ext>
                  </c:extLst>
                </c:dPt>
                <c:dPt>
                  <c:idx val="11"/>
                  <c:bubble3D val="0"/>
                  <c:spPr>
                    <a:solidFill>
                      <a:schemeClr val="accent6">
                        <a:lumMod val="60000"/>
                      </a:schemeClr>
                    </a:solidFill>
                    <a:ln w="19050">
                      <a:solidFill>
                        <a:schemeClr val="lt1"/>
                      </a:solidFill>
                    </a:ln>
                    <a:effectLst/>
                  </c:spPr>
                  <c:extLst>
                    <c:ext xmlns:c16="http://schemas.microsoft.com/office/drawing/2014/chart" uri="{C3380CC4-5D6E-409C-BE32-E72D297353CC}">
                      <c16:uniqueId val="{00000036-4BD2-4E88-99F1-B3786FE9953E}"/>
                    </c:ext>
                  </c:extLst>
                </c:dPt>
                <c:dPt>
                  <c:idx val="12"/>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38-4BD2-4E88-99F1-B3786FE9953E}"/>
                    </c:ext>
                  </c:extLst>
                </c:dPt>
                <c:dPt>
                  <c:idx val="13"/>
                  <c:bubble3D val="0"/>
                  <c:spPr>
                    <a:solidFill>
                      <a:schemeClr val="accent2">
                        <a:lumMod val="80000"/>
                        <a:lumOff val="20000"/>
                      </a:schemeClr>
                    </a:solidFill>
                    <a:ln w="19050">
                      <a:solidFill>
                        <a:schemeClr val="lt1"/>
                      </a:solidFill>
                    </a:ln>
                    <a:effectLst/>
                  </c:spPr>
                  <c:extLst>
                    <c:ext xmlns:c16="http://schemas.microsoft.com/office/drawing/2014/chart" uri="{C3380CC4-5D6E-409C-BE32-E72D297353CC}">
                      <c16:uniqueId val="{0000003A-4BD2-4E88-99F1-B3786FE9953E}"/>
                    </c:ext>
                  </c:extLst>
                </c:dPt>
                <c:dPt>
                  <c:idx val="14"/>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3C-4BD2-4E88-99F1-B3786FE9953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ja-JP"/>
                    </a:p>
                  </c:txPr>
                  <c:dLblPos val="bestFit"/>
                  <c:showLegendKey val="0"/>
                  <c:showVal val="1"/>
                  <c:showCatName val="0"/>
                  <c:showSerName val="0"/>
                  <c:showPercent val="0"/>
                  <c:showBubbleSize val="0"/>
                  <c:showLeaderLines val="1"/>
                  <c:leaderLines>
                    <c:spPr>
                      <a:ln w="9525" cap="flat" cmpd="sng" algn="ctr">
                        <a:solidFill>
                          <a:schemeClr val="tx1">
                            <a:lumMod val="35000"/>
                            <a:lumOff val="65000"/>
                          </a:schemeClr>
                        </a:solidFill>
                        <a:round/>
                      </a:ln>
                      <a:effectLst/>
                    </c:spPr>
                  </c:leaderLines>
                  <c:extLst>
                    <c:ext uri="{CE6537A1-D6FC-4f65-9D91-7224C49458BB}"/>
                  </c:extLst>
                </c:dLbls>
                <c:cat>
                  <c:strRef>
                    <c:extLst>
                      <c:ext uri="{02D57815-91ED-43cb-92C2-25804820EDAC}">
                        <c15:formulaRef>
                          <c15:sqref>'LMB(O2)'!$I$36:$I$50</c15:sqref>
                        </c15:formulaRef>
                      </c:ext>
                    </c:extLst>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c:ext uri="{02D57815-91ED-43cb-92C2-25804820EDAC}">
                        <c15:formulaRef>
                          <c15:sqref>'LMB(O2)'!$J$36:$J$50</c15:sqref>
                        </c15:formulaRef>
                      </c:ext>
                    </c:extLst>
                    <c:numCache>
                      <c:formatCode>0.00_);[Red]\(0.00\)</c:formatCode>
                      <c:ptCount val="15"/>
                      <c:pt idx="0">
                        <c:v>0.72576000000000007</c:v>
                      </c:pt>
                      <c:pt idx="1">
                        <c:v>0</c:v>
                      </c:pt>
                      <c:pt idx="2">
                        <c:v>0.64993432835820908</c:v>
                      </c:pt>
                      <c:pt idx="3">
                        <c:v>0.67884480000000003</c:v>
                      </c:pt>
                      <c:pt idx="4">
                        <c:v>0.7050777202072539</c:v>
                      </c:pt>
                      <c:pt idx="5">
                        <c:v>0</c:v>
                      </c:pt>
                      <c:pt idx="6">
                        <c:v>0</c:v>
                      </c:pt>
                      <c:pt idx="7">
                        <c:v>1.0442880000000003</c:v>
                      </c:pt>
                      <c:pt idx="8">
                        <c:v>0.35500639999999994</c:v>
                      </c:pt>
                      <c:pt idx="9">
                        <c:v>0</c:v>
                      </c:pt>
                      <c:pt idx="10">
                        <c:v>0</c:v>
                      </c:pt>
                      <c:pt idx="11">
                        <c:v>2.7216000000000005</c:v>
                      </c:pt>
                      <c:pt idx="12">
                        <c:v>4.084608E-2</c:v>
                      </c:pt>
                      <c:pt idx="13">
                        <c:v>0.17802000000000001</c:v>
                      </c:pt>
                      <c:pt idx="14">
                        <c:v>0.94244338329599997</c:v>
                      </c:pt>
                    </c:numCache>
                  </c:numRef>
                </c:val>
                <c:extLst>
                  <c:ext xmlns:c16="http://schemas.microsoft.com/office/drawing/2014/chart" uri="{C3380CC4-5D6E-409C-BE32-E72D297353CC}">
                    <c16:uniqueId val="{0000003D-4BD2-4E88-99F1-B3786FE9953E}"/>
                  </c:ext>
                </c:extLst>
              </c15:ser>
            </c15:filteredPieSeries>
            <c15:filteredPieSeries>
              <c15:ser>
                <c:idx val="2"/>
                <c:order val="2"/>
                <c:tx>
                  <c:strRef>
                    <c:extLst xmlns:c15="http://schemas.microsoft.com/office/drawing/2012/chart">
                      <c:ext xmlns:c15="http://schemas.microsoft.com/office/drawing/2012/chart" uri="{02D57815-91ED-43cb-92C2-25804820EDAC}">
                        <c15:formulaRef>
                          <c15:sqref>'LMB(O2)'!$L$35</c15:sqref>
                        </c15:formulaRef>
                      </c:ext>
                    </c:extLst>
                    <c:strCache>
                      <c:ptCount val="1"/>
                      <c:pt idx="0">
                        <c:v>Vol (cm3)</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3F-4BD2-4E88-99F1-B3786FE9953E}"/>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41-4BD2-4E88-99F1-B3786FE9953E}"/>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43-4BD2-4E88-99F1-B3786FE9953E}"/>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45-4BD2-4E88-99F1-B3786FE9953E}"/>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47-4BD2-4E88-99F1-B3786FE9953E}"/>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49-4BD2-4E88-99F1-B3786FE9953E}"/>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B-4BD2-4E88-99F1-B3786FE9953E}"/>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D-4BD2-4E88-99F1-B3786FE9953E}"/>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4F-4BD2-4E88-99F1-B3786FE9953E}"/>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1-4BD2-4E88-99F1-B3786FE9953E}"/>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3-4BD2-4E88-99F1-B3786FE9953E}"/>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55-4BD2-4E88-99F1-B3786FE9953E}"/>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7-4BD2-4E88-99F1-B3786FE9953E}"/>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9-4BD2-4E88-99F1-B3786FE9953E}"/>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5B-4BD2-4E88-99F1-B3786FE9953E}"/>
                    </c:ext>
                  </c:extLst>
                </c:dPt>
                <c:cat>
                  <c:strRef>
                    <c:extLst xmlns:c15="http://schemas.microsoft.com/office/drawing/2012/chart">
                      <c:ext xmlns:c15="http://schemas.microsoft.com/office/drawing/2012/chart" uri="{02D57815-91ED-43cb-92C2-25804820EDAC}">
                        <c15:formulaRef>
                          <c15:sqref>'LMB(O2)'!$I$36:$I$50</c15:sqref>
                        </c15:formulaRef>
                      </c:ext>
                    </c:extLst>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'LMB(O2)'!$L$36:$L$50</c15:sqref>
                        </c15:formulaRef>
                      </c:ext>
                    </c:extLst>
                    <c:numCache>
                      <c:formatCode>0.00_);[Red]\(0.00\)</c:formatCode>
                      <c:ptCount val="15"/>
                      <c:pt idx="0">
                        <c:v>0.51840000000000008</c:v>
                      </c:pt>
                      <c:pt idx="1">
                        <c:v>0</c:v>
                      </c:pt>
                      <c:pt idx="2">
                        <c:v>0</c:v>
                      </c:pt>
                      <c:pt idx="3">
                        <c:v>0.69984000000000002</c:v>
                      </c:pt>
                      <c:pt idx="4">
                        <c:v>1.3203702625604006</c:v>
                      </c:pt>
                      <c:pt idx="5">
                        <c:v>0</c:v>
                      </c:pt>
                      <c:pt idx="6">
                        <c:v>0</c:v>
                      </c:pt>
                      <c:pt idx="7">
                        <c:v>0.11655000000000001</c:v>
                      </c:pt>
                      <c:pt idx="8">
                        <c:v>0.38172731182795694</c:v>
                      </c:pt>
                      <c:pt idx="9">
                        <c:v>0</c:v>
                      </c:pt>
                      <c:pt idx="10">
                        <c:v>0</c:v>
                      </c:pt>
                      <c:pt idx="11">
                        <c:v>2.474181818181818</c:v>
                      </c:pt>
                      <c:pt idx="12">
                        <c:v>1.9967999999999996E-2</c:v>
                      </c:pt>
                      <c:pt idx="13">
                        <c:v>0.02</c:v>
                      </c:pt>
                      <c:pt idx="14">
                        <c:v>0.57000012185599991</c:v>
                      </c:pt>
                    </c:numCache>
                  </c:numRef>
                </c:val>
                <c:extLst xmlns:c15="http://schemas.microsoft.com/office/drawing/2012/chart">
                  <c:ext xmlns:c16="http://schemas.microsoft.com/office/drawing/2014/chart" uri="{C3380CC4-5D6E-409C-BE32-E72D297353CC}">
                    <c16:uniqueId val="{0000005C-4BD2-4E88-99F1-B3786FE9953E}"/>
                  </c:ext>
                </c:extLst>
              </c15:ser>
            </c15:filteredPieSeries>
            <c15:filteredPieSeries>
              <c15:ser>
                <c:idx val="3"/>
                <c:order val="3"/>
                <c:tx>
                  <c:strRef>
                    <c:extLst xmlns:c15="http://schemas.microsoft.com/office/drawing/2012/chart">
                      <c:ext xmlns:c15="http://schemas.microsoft.com/office/drawing/2012/chart" uri="{02D57815-91ED-43cb-92C2-25804820EDAC}">
                        <c15:formulaRef>
                          <c15:sqref>'LMB(O2)'!$M$35</c15:sqref>
                        </c15:formulaRef>
                      </c:ext>
                    </c:extLst>
                    <c:strCache>
                      <c:ptCount val="1"/>
                      <c:pt idx="0">
                        <c:v>Vol (%)</c:v>
                      </c:pt>
                    </c:strCache>
                  </c:strRef>
                </c:tx>
                <c:dPt>
                  <c:idx val="0"/>
                  <c:bubble3D val="0"/>
                  <c:spPr>
                    <a:solidFill>
                      <a:schemeClr val="accent1"/>
                    </a:solidFill>
                    <a:ln w="19050">
                      <a:solidFill>
                        <a:schemeClr val="lt1"/>
                      </a:solidFill>
                    </a:ln>
                    <a:effectLst/>
                  </c:spPr>
                  <c:extLst xmlns:c15="http://schemas.microsoft.com/office/drawing/2012/chart">
                    <c:ext xmlns:c16="http://schemas.microsoft.com/office/drawing/2014/chart" uri="{C3380CC4-5D6E-409C-BE32-E72D297353CC}">
                      <c16:uniqueId val="{0000005E-4BD2-4E88-99F1-B3786FE9953E}"/>
                    </c:ext>
                  </c:extLst>
                </c:dPt>
                <c:dPt>
                  <c:idx val="1"/>
                  <c:bubble3D val="0"/>
                  <c:spPr>
                    <a:solidFill>
                      <a:schemeClr val="accent2"/>
                    </a:solidFill>
                    <a:ln w="19050">
                      <a:solidFill>
                        <a:schemeClr val="lt1"/>
                      </a:solidFill>
                    </a:ln>
                    <a:effectLst/>
                  </c:spPr>
                  <c:extLst xmlns:c15="http://schemas.microsoft.com/office/drawing/2012/chart">
                    <c:ext xmlns:c16="http://schemas.microsoft.com/office/drawing/2014/chart" uri="{C3380CC4-5D6E-409C-BE32-E72D297353CC}">
                      <c16:uniqueId val="{00000060-4BD2-4E88-99F1-B3786FE9953E}"/>
                    </c:ext>
                  </c:extLst>
                </c:dPt>
                <c:dPt>
                  <c:idx val="2"/>
                  <c:bubble3D val="0"/>
                  <c:spPr>
                    <a:solidFill>
                      <a:schemeClr val="accent3"/>
                    </a:solidFill>
                    <a:ln w="19050">
                      <a:solidFill>
                        <a:schemeClr val="lt1"/>
                      </a:solidFill>
                    </a:ln>
                    <a:effectLst/>
                  </c:spPr>
                  <c:extLst xmlns:c15="http://schemas.microsoft.com/office/drawing/2012/chart">
                    <c:ext xmlns:c16="http://schemas.microsoft.com/office/drawing/2014/chart" uri="{C3380CC4-5D6E-409C-BE32-E72D297353CC}">
                      <c16:uniqueId val="{00000062-4BD2-4E88-99F1-B3786FE9953E}"/>
                    </c:ext>
                  </c:extLst>
                </c:dPt>
                <c:dPt>
                  <c:idx val="3"/>
                  <c:bubble3D val="0"/>
                  <c:spPr>
                    <a:solidFill>
                      <a:schemeClr val="accent4"/>
                    </a:solidFill>
                    <a:ln w="19050">
                      <a:solidFill>
                        <a:schemeClr val="lt1"/>
                      </a:solidFill>
                    </a:ln>
                    <a:effectLst/>
                  </c:spPr>
                  <c:extLst xmlns:c15="http://schemas.microsoft.com/office/drawing/2012/chart">
                    <c:ext xmlns:c16="http://schemas.microsoft.com/office/drawing/2014/chart" uri="{C3380CC4-5D6E-409C-BE32-E72D297353CC}">
                      <c16:uniqueId val="{00000064-4BD2-4E88-99F1-B3786FE9953E}"/>
                    </c:ext>
                  </c:extLst>
                </c:dPt>
                <c:dPt>
                  <c:idx val="4"/>
                  <c:bubble3D val="0"/>
                  <c:spPr>
                    <a:solidFill>
                      <a:schemeClr val="accent5"/>
                    </a:solidFill>
                    <a:ln w="19050">
                      <a:solidFill>
                        <a:schemeClr val="lt1"/>
                      </a:solidFill>
                    </a:ln>
                    <a:effectLst/>
                  </c:spPr>
                  <c:extLst xmlns:c15="http://schemas.microsoft.com/office/drawing/2012/chart">
                    <c:ext xmlns:c16="http://schemas.microsoft.com/office/drawing/2014/chart" uri="{C3380CC4-5D6E-409C-BE32-E72D297353CC}">
                      <c16:uniqueId val="{00000066-4BD2-4E88-99F1-B3786FE9953E}"/>
                    </c:ext>
                  </c:extLst>
                </c:dPt>
                <c:dPt>
                  <c:idx val="5"/>
                  <c:bubble3D val="0"/>
                  <c:spPr>
                    <a:solidFill>
                      <a:schemeClr val="accent6"/>
                    </a:solidFill>
                    <a:ln w="19050">
                      <a:solidFill>
                        <a:schemeClr val="lt1"/>
                      </a:solidFill>
                    </a:ln>
                    <a:effectLst/>
                  </c:spPr>
                  <c:extLst xmlns:c15="http://schemas.microsoft.com/office/drawing/2012/chart">
                    <c:ext xmlns:c16="http://schemas.microsoft.com/office/drawing/2014/chart" uri="{C3380CC4-5D6E-409C-BE32-E72D297353CC}">
                      <c16:uniqueId val="{00000068-4BD2-4E88-99F1-B3786FE9953E}"/>
                    </c:ext>
                  </c:extLst>
                </c:dPt>
                <c:dPt>
                  <c:idx val="6"/>
                  <c:bubble3D val="0"/>
                  <c:spPr>
                    <a:solidFill>
                      <a:schemeClr val="accent1">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A-4BD2-4E88-99F1-B3786FE9953E}"/>
                    </c:ext>
                  </c:extLst>
                </c:dPt>
                <c:dPt>
                  <c:idx val="7"/>
                  <c:bubble3D val="0"/>
                  <c:spPr>
                    <a:solidFill>
                      <a:schemeClr val="accent2">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C-4BD2-4E88-99F1-B3786FE9953E}"/>
                    </c:ext>
                  </c:extLst>
                </c:dPt>
                <c:dPt>
                  <c:idx val="8"/>
                  <c:bubble3D val="0"/>
                  <c:spPr>
                    <a:solidFill>
                      <a:schemeClr val="accent3">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6E-4BD2-4E88-99F1-B3786FE9953E}"/>
                    </c:ext>
                  </c:extLst>
                </c:dPt>
                <c:dPt>
                  <c:idx val="9"/>
                  <c:bubble3D val="0"/>
                  <c:spPr>
                    <a:solidFill>
                      <a:schemeClr val="accent4">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0-4BD2-4E88-99F1-B3786FE9953E}"/>
                    </c:ext>
                  </c:extLst>
                </c:dPt>
                <c:dPt>
                  <c:idx val="10"/>
                  <c:bubble3D val="0"/>
                  <c:spPr>
                    <a:solidFill>
                      <a:schemeClr val="accent5">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2-4BD2-4E88-99F1-B3786FE9953E}"/>
                    </c:ext>
                  </c:extLst>
                </c:dPt>
                <c:dPt>
                  <c:idx val="11"/>
                  <c:bubble3D val="0"/>
                  <c:spPr>
                    <a:solidFill>
                      <a:schemeClr val="accent6">
                        <a:lumMod val="60000"/>
                      </a:schemeClr>
                    </a:solidFill>
                    <a:ln w="19050">
                      <a:solidFill>
                        <a:schemeClr val="lt1"/>
                      </a:solidFill>
                    </a:ln>
                    <a:effectLst/>
                  </c:spPr>
                  <c:extLst xmlns:c15="http://schemas.microsoft.com/office/drawing/2012/chart">
                    <c:ext xmlns:c16="http://schemas.microsoft.com/office/drawing/2014/chart" uri="{C3380CC4-5D6E-409C-BE32-E72D297353CC}">
                      <c16:uniqueId val="{00000074-4BD2-4E88-99F1-B3786FE9953E}"/>
                    </c:ext>
                  </c:extLst>
                </c:dPt>
                <c:dPt>
                  <c:idx val="12"/>
                  <c:bubble3D val="0"/>
                  <c:spPr>
                    <a:solidFill>
                      <a:schemeClr val="accent1">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6-4BD2-4E88-99F1-B3786FE9953E}"/>
                    </c:ext>
                  </c:extLst>
                </c:dPt>
                <c:dPt>
                  <c:idx val="13"/>
                  <c:bubble3D val="0"/>
                  <c:spPr>
                    <a:solidFill>
                      <a:schemeClr val="accent2">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8-4BD2-4E88-99F1-B3786FE9953E}"/>
                    </c:ext>
                  </c:extLst>
                </c:dPt>
                <c:dPt>
                  <c:idx val="14"/>
                  <c:bubble3D val="0"/>
                  <c:spPr>
                    <a:solidFill>
                      <a:schemeClr val="accent3">
                        <a:lumMod val="80000"/>
                        <a:lumOff val="20000"/>
                      </a:schemeClr>
                    </a:solidFill>
                    <a:ln w="19050">
                      <a:solidFill>
                        <a:schemeClr val="lt1"/>
                      </a:solidFill>
                    </a:ln>
                    <a:effectLst/>
                  </c:spPr>
                  <c:extLst xmlns:c15="http://schemas.microsoft.com/office/drawing/2012/chart">
                    <c:ext xmlns:c16="http://schemas.microsoft.com/office/drawing/2014/chart" uri="{C3380CC4-5D6E-409C-BE32-E72D297353CC}">
                      <c16:uniqueId val="{0000007A-4BD2-4E88-99F1-B3786FE9953E}"/>
                    </c:ext>
                  </c:extLst>
                </c:dPt>
                <c:cat>
                  <c:strRef>
                    <c:extLst xmlns:c15="http://schemas.microsoft.com/office/drawing/2012/chart">
                      <c:ext xmlns:c15="http://schemas.microsoft.com/office/drawing/2012/chart" uri="{02D57815-91ED-43cb-92C2-25804820EDAC}">
                        <c15:formulaRef>
                          <c15:sqref>'LMB(O2)'!$I$36:$I$50</c15:sqref>
                        </c15:formulaRef>
                      </c:ext>
                    </c:extLst>
                    <c:strCache>
                      <c:ptCount val="15"/>
                      <c:pt idx="0">
                        <c:v>Carbon</c:v>
                      </c:pt>
                      <c:pt idx="1">
                        <c:v>Binder 1</c:v>
                      </c:pt>
                      <c:pt idx="2">
                        <c:v>O2</c:v>
                      </c:pt>
                      <c:pt idx="3">
                        <c:v>Substrate (Ni/PET)</c:v>
                      </c:pt>
                      <c:pt idx="4">
                        <c:v>Li</c:v>
                      </c:pt>
                      <c:pt idx="5">
                        <c:v>Carbon 2</c:v>
                      </c:pt>
                      <c:pt idx="6">
                        <c:v>Binder 2</c:v>
                      </c:pt>
                      <c:pt idx="7">
                        <c:v>Substrate  (Cu)</c:v>
                      </c:pt>
                      <c:pt idx="8">
                        <c:v>PE</c:v>
                      </c:pt>
                      <c:pt idx="9">
                        <c:v>Name 1</c:v>
                      </c:pt>
                      <c:pt idx="10">
                        <c:v>Name 2</c:v>
                      </c:pt>
                      <c:pt idx="11">
                        <c:v>Electrolyte</c:v>
                      </c:pt>
                      <c:pt idx="12">
                        <c:v>Tab</c:v>
                      </c:pt>
                      <c:pt idx="13">
                        <c:v>Tab lead</c:v>
                      </c:pt>
                      <c:pt idx="14">
                        <c:v>Pouch film</c:v>
                      </c:pt>
                    </c:strCache>
                  </c:strRef>
                </c:cat>
                <c:val>
                  <c:numRef>
                    <c:extLst xmlns:c15="http://schemas.microsoft.com/office/drawing/2012/chart">
                      <c:ext xmlns:c15="http://schemas.microsoft.com/office/drawing/2012/chart" uri="{02D57815-91ED-43cb-92C2-25804820EDAC}">
                        <c15:formulaRef>
                          <c15:sqref>'LMB(O2)'!$M$36:$M$50</c15:sqref>
                        </c15:formulaRef>
                      </c:ext>
                    </c:extLst>
                    <c:numCache>
                      <c:formatCode>0.0_);[Red]\(0.0\)</c:formatCode>
                      <c:ptCount val="15"/>
                      <c:pt idx="0">
                        <c:v>8.4691524725706255</c:v>
                      </c:pt>
                      <c:pt idx="1">
                        <c:v>0</c:v>
                      </c:pt>
                      <c:pt idx="2">
                        <c:v>0</c:v>
                      </c:pt>
                      <c:pt idx="3">
                        <c:v>11.433355837970343</c:v>
                      </c:pt>
                      <c:pt idx="4">
                        <c:v>21.571020590031136</c:v>
                      </c:pt>
                      <c:pt idx="5">
                        <c:v>0</c:v>
                      </c:pt>
                      <c:pt idx="6">
                        <c:v>0</c:v>
                      </c:pt>
                      <c:pt idx="7">
                        <c:v>1.9040889673574584</c:v>
                      </c:pt>
                      <c:pt idx="8">
                        <c:v>6.2363171427767732</c:v>
                      </c:pt>
                      <c:pt idx="9">
                        <c:v>0</c:v>
                      </c:pt>
                      <c:pt idx="10">
                        <c:v>0</c:v>
                      </c:pt>
                      <c:pt idx="11">
                        <c:v>40.42095498272343</c:v>
                      </c:pt>
                      <c:pt idx="12">
                        <c:v>0.32621920635086843</c:v>
                      </c:pt>
                      <c:pt idx="13">
                        <c:v>0.32674199354053329</c:v>
                      </c:pt>
                      <c:pt idx="14">
                        <c:v>9.3121488066788167</c:v>
                      </c:pt>
                    </c:numCache>
                  </c:numRef>
                </c:val>
                <c:extLst xmlns:c15="http://schemas.microsoft.com/office/drawing/2012/chart">
                  <c:ext xmlns:c16="http://schemas.microsoft.com/office/drawing/2014/chart" uri="{C3380CC4-5D6E-409C-BE32-E72D297353CC}">
                    <c16:uniqueId val="{0000007B-4BD2-4E88-99F1-B3786FE9953E}"/>
                  </c:ext>
                </c:extLst>
              </c15:ser>
            </c15:filteredPieSeries>
          </c:ext>
        </c:extLst>
      </c:pieChart>
      <c:spPr>
        <a:noFill/>
        <a:ln>
          <a:noFill/>
        </a:ln>
        <a:effectLst/>
      </c:spPr>
    </c:plotArea>
    <c:legend>
      <c:legendPos val="b"/>
      <c:layout>
        <c:manualLayout>
          <c:xMode val="edge"/>
          <c:yMode val="edge"/>
          <c:x val="0.71613304878946193"/>
          <c:y val="4.108632254301546E-2"/>
          <c:w val="0.25011426771653539"/>
          <c:h val="0.95428404782735488"/>
        </c:manualLayout>
      </c:layout>
      <c:overlay val="0"/>
      <c:spPr>
        <a:noFill/>
        <a:ln>
          <a:noFill/>
        </a:ln>
        <a:effectLst/>
      </c:spPr>
      <c:txPr>
        <a:bodyPr rot="0" spcFirstLastPara="1" vertOverflow="ellipsis" vert="horz" wrap="square" anchor="ctr" anchorCtr="1"/>
        <a:lstStyle/>
        <a:p>
          <a:pPr>
            <a:defRPr sz="800" b="0" i="0" u="none" strike="noStrike" kern="1200" baseline="0">
              <a:solidFill>
                <a:schemeClr val="tx1"/>
              </a:solidFill>
              <a:latin typeface="Arial" panose="020B0604020202020204" pitchFamily="34" charset="0"/>
              <a:ea typeface="+mn-ea"/>
              <a:cs typeface="Arial" panose="020B0604020202020204" pitchFamily="34" charset="0"/>
            </a:defRPr>
          </a:pPr>
          <a:endParaRPr lang="ja-JP"/>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ja-JP"/>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3.png"/><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chart" Target="../charts/chart2.xml"/><Relationship Id="rId4" Type="http://schemas.openxmlformats.org/officeDocument/2006/relationships/chart" Target="../charts/chart1.xml"/></Relationships>
</file>

<file path=xl/drawings/_rels/drawing2.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3.png"/><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chart" Target="../charts/chart4.xml"/><Relationship Id="rId4" Type="http://schemas.openxmlformats.org/officeDocument/2006/relationships/chart" Target="../charts/chart3.xml"/></Relationships>
</file>

<file path=xl/drawings/_rels/drawing3.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3.png"/><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chart" Target="../charts/chart6.xml"/><Relationship Id="rId4" Type="http://schemas.openxmlformats.org/officeDocument/2006/relationships/chart" Target="../charts/chart5.xml"/></Relationships>
</file>

<file path=xl/drawings/_rels/drawing4.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3.png"/><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chart" Target="../charts/chart8.xml"/><Relationship Id="rId4" Type="http://schemas.openxmlformats.org/officeDocument/2006/relationships/chart" Target="../charts/chart7.xml"/></Relationships>
</file>

<file path=xl/drawings/_rels/drawing5.xml.rels><?xml version="1.0" encoding="UTF-8" standalone="yes"?>
<Relationships xmlns="http://schemas.openxmlformats.org/package/2006/relationships"><Relationship Id="rId8" Type="http://schemas.openxmlformats.org/officeDocument/2006/relationships/image" Target="../media/image6.png"/><Relationship Id="rId3" Type="http://schemas.openxmlformats.org/officeDocument/2006/relationships/image" Target="../media/image3.png"/><Relationship Id="rId7" Type="http://schemas.openxmlformats.org/officeDocument/2006/relationships/image" Target="../media/image5.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4.png"/><Relationship Id="rId5" Type="http://schemas.openxmlformats.org/officeDocument/2006/relationships/chart" Target="../charts/chart10.xml"/><Relationship Id="rId4"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4</xdr:col>
      <xdr:colOff>200025</xdr:colOff>
      <xdr:row>20</xdr:row>
      <xdr:rowOff>76200</xdr:rowOff>
    </xdr:from>
    <xdr:to>
      <xdr:col>6</xdr:col>
      <xdr:colOff>318233</xdr:colOff>
      <xdr:row>24</xdr:row>
      <xdr:rowOff>39687</xdr:rowOff>
    </xdr:to>
    <xdr:pic>
      <xdr:nvPicPr>
        <xdr:cNvPr id="2" name="図 1">
          <a:extLst>
            <a:ext uri="{FF2B5EF4-FFF2-40B4-BE49-F238E27FC236}">
              <a16:creationId xmlns:a16="http://schemas.microsoft.com/office/drawing/2014/main" id="{638B1FA9-F329-452A-B452-7353F67DC257}"/>
            </a:ext>
          </a:extLst>
        </xdr:cNvPr>
        <xdr:cNvPicPr>
          <a:picLocks noChangeAspect="1"/>
        </xdr:cNvPicPr>
      </xdr:nvPicPr>
      <xdr:blipFill>
        <a:blip xmlns:r="http://schemas.openxmlformats.org/officeDocument/2006/relationships" r:embed="rId1"/>
        <a:stretch>
          <a:fillRect/>
        </a:stretch>
      </xdr:blipFill>
      <xdr:spPr>
        <a:xfrm>
          <a:off x="2905125" y="3314700"/>
          <a:ext cx="1127858" cy="725487"/>
        </a:xfrm>
        <a:prstGeom prst="rect">
          <a:avLst/>
        </a:prstGeom>
      </xdr:spPr>
    </xdr:pic>
    <xdr:clientData/>
  </xdr:twoCellAnchor>
  <xdr:twoCellAnchor editAs="oneCell">
    <xdr:from>
      <xdr:col>10</xdr:col>
      <xdr:colOff>190500</xdr:colOff>
      <xdr:row>20</xdr:row>
      <xdr:rowOff>76200</xdr:rowOff>
    </xdr:from>
    <xdr:to>
      <xdr:col>12</xdr:col>
      <xdr:colOff>302611</xdr:colOff>
      <xdr:row>24</xdr:row>
      <xdr:rowOff>21397</xdr:rowOff>
    </xdr:to>
    <xdr:pic>
      <xdr:nvPicPr>
        <xdr:cNvPr id="3" name="図 2">
          <a:extLst>
            <a:ext uri="{FF2B5EF4-FFF2-40B4-BE49-F238E27FC236}">
              <a16:creationId xmlns:a16="http://schemas.microsoft.com/office/drawing/2014/main" id="{6AECB63B-AEBC-4299-B383-C89F13BCCD2B}"/>
            </a:ext>
          </a:extLst>
        </xdr:cNvPr>
        <xdr:cNvPicPr>
          <a:picLocks noChangeAspect="1"/>
        </xdr:cNvPicPr>
      </xdr:nvPicPr>
      <xdr:blipFill>
        <a:blip xmlns:r="http://schemas.openxmlformats.org/officeDocument/2006/relationships" r:embed="rId2"/>
        <a:stretch>
          <a:fillRect/>
        </a:stretch>
      </xdr:blipFill>
      <xdr:spPr>
        <a:xfrm>
          <a:off x="6915150" y="3314700"/>
          <a:ext cx="1121761" cy="707197"/>
        </a:xfrm>
        <a:prstGeom prst="rect">
          <a:avLst/>
        </a:prstGeom>
      </xdr:spPr>
    </xdr:pic>
    <xdr:clientData/>
  </xdr:twoCellAnchor>
  <xdr:twoCellAnchor editAs="oneCell">
    <xdr:from>
      <xdr:col>4</xdr:col>
      <xdr:colOff>152400</xdr:colOff>
      <xdr:row>36</xdr:row>
      <xdr:rowOff>171450</xdr:rowOff>
    </xdr:from>
    <xdr:to>
      <xdr:col>6</xdr:col>
      <xdr:colOff>319380</xdr:colOff>
      <xdr:row>40</xdr:row>
      <xdr:rowOff>177613</xdr:rowOff>
    </xdr:to>
    <xdr:pic>
      <xdr:nvPicPr>
        <xdr:cNvPr id="4" name="図 3">
          <a:extLst>
            <a:ext uri="{FF2B5EF4-FFF2-40B4-BE49-F238E27FC236}">
              <a16:creationId xmlns:a16="http://schemas.microsoft.com/office/drawing/2014/main" id="{4A93DCDB-8BE6-4548-9589-BBE8E2D7B961}"/>
            </a:ext>
          </a:extLst>
        </xdr:cNvPr>
        <xdr:cNvPicPr>
          <a:picLocks noChangeAspect="1"/>
        </xdr:cNvPicPr>
      </xdr:nvPicPr>
      <xdr:blipFill>
        <a:blip xmlns:r="http://schemas.openxmlformats.org/officeDocument/2006/relationships" r:embed="rId3"/>
        <a:stretch>
          <a:fillRect/>
        </a:stretch>
      </xdr:blipFill>
      <xdr:spPr>
        <a:xfrm>
          <a:off x="2857500" y="6457950"/>
          <a:ext cx="1176630" cy="768163"/>
        </a:xfrm>
        <a:prstGeom prst="rect">
          <a:avLst/>
        </a:prstGeom>
      </xdr:spPr>
    </xdr:pic>
    <xdr:clientData/>
  </xdr:twoCellAnchor>
  <xdr:twoCellAnchor>
    <xdr:from>
      <xdr:col>13</xdr:col>
      <xdr:colOff>277813</xdr:colOff>
      <xdr:row>33</xdr:row>
      <xdr:rowOff>182550</xdr:rowOff>
    </xdr:from>
    <xdr:to>
      <xdr:col>20</xdr:col>
      <xdr:colOff>219798</xdr:colOff>
      <xdr:row>54</xdr:row>
      <xdr:rowOff>85330</xdr:rowOff>
    </xdr:to>
    <xdr:graphicFrame macro="">
      <xdr:nvGraphicFramePr>
        <xdr:cNvPr id="5" name="グラフ 4">
          <a:extLst>
            <a:ext uri="{FF2B5EF4-FFF2-40B4-BE49-F238E27FC236}">
              <a16:creationId xmlns:a16="http://schemas.microsoft.com/office/drawing/2014/main" id="{BF25CDEF-C7FD-4A30-A052-4A0D98C7244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220671</xdr:colOff>
      <xdr:row>33</xdr:row>
      <xdr:rowOff>182562</xdr:rowOff>
    </xdr:from>
    <xdr:to>
      <xdr:col>25</xdr:col>
      <xdr:colOff>499800</xdr:colOff>
      <xdr:row>54</xdr:row>
      <xdr:rowOff>95250</xdr:rowOff>
    </xdr:to>
    <xdr:graphicFrame macro="">
      <xdr:nvGraphicFramePr>
        <xdr:cNvPr id="6" name="グラフ 5">
          <a:extLst>
            <a:ext uri="{FF2B5EF4-FFF2-40B4-BE49-F238E27FC236}">
              <a16:creationId xmlns:a16="http://schemas.microsoft.com/office/drawing/2014/main" id="{7AE72763-3D3A-4417-BA9C-CE3BD103D42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161925</xdr:colOff>
      <xdr:row>19</xdr:row>
      <xdr:rowOff>38100</xdr:rowOff>
    </xdr:from>
    <xdr:to>
      <xdr:col>18</xdr:col>
      <xdr:colOff>304800</xdr:colOff>
      <xdr:row>21</xdr:row>
      <xdr:rowOff>0</xdr:rowOff>
    </xdr:to>
    <xdr:pic>
      <xdr:nvPicPr>
        <xdr:cNvPr id="7" name="図 6">
          <a:extLst>
            <a:ext uri="{FF2B5EF4-FFF2-40B4-BE49-F238E27FC236}">
              <a16:creationId xmlns:a16="http://schemas.microsoft.com/office/drawing/2014/main" id="{2EB4A18D-E306-415C-9194-798DB42962D9}"/>
            </a:ext>
          </a:extLst>
        </xdr:cNvPr>
        <xdr:cNvPicPr>
          <a:picLocks noChangeAspect="1"/>
        </xdr:cNvPicPr>
      </xdr:nvPicPr>
      <xdr:blipFill>
        <a:blip xmlns:r="http://schemas.openxmlformats.org/officeDocument/2006/relationships" r:embed="rId6"/>
        <a:stretch>
          <a:fillRect/>
        </a:stretch>
      </xdr:blipFill>
      <xdr:spPr>
        <a:xfrm>
          <a:off x="10906125" y="3086100"/>
          <a:ext cx="1152525" cy="342900"/>
        </a:xfrm>
        <a:prstGeom prst="rect">
          <a:avLst/>
        </a:prstGeom>
      </xdr:spPr>
    </xdr:pic>
    <xdr:clientData/>
  </xdr:twoCellAnchor>
  <xdr:twoCellAnchor editAs="oneCell">
    <xdr:from>
      <xdr:col>16</xdr:col>
      <xdr:colOff>161925</xdr:colOff>
      <xdr:row>21</xdr:row>
      <xdr:rowOff>57150</xdr:rowOff>
    </xdr:from>
    <xdr:to>
      <xdr:col>18</xdr:col>
      <xdr:colOff>304800</xdr:colOff>
      <xdr:row>23</xdr:row>
      <xdr:rowOff>19050</xdr:rowOff>
    </xdr:to>
    <xdr:pic>
      <xdr:nvPicPr>
        <xdr:cNvPr id="8" name="図 7">
          <a:extLst>
            <a:ext uri="{FF2B5EF4-FFF2-40B4-BE49-F238E27FC236}">
              <a16:creationId xmlns:a16="http://schemas.microsoft.com/office/drawing/2014/main" id="{FA680CF4-E34F-4C07-BC64-4118914B4219}"/>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906125" y="3486150"/>
          <a:ext cx="115252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48</xdr:row>
      <xdr:rowOff>47625</xdr:rowOff>
    </xdr:from>
    <xdr:to>
      <xdr:col>6</xdr:col>
      <xdr:colOff>428625</xdr:colOff>
      <xdr:row>53</xdr:row>
      <xdr:rowOff>19050</xdr:rowOff>
    </xdr:to>
    <xdr:pic>
      <xdr:nvPicPr>
        <xdr:cNvPr id="9" name="図 8">
          <a:extLst>
            <a:ext uri="{FF2B5EF4-FFF2-40B4-BE49-F238E27FC236}">
              <a16:creationId xmlns:a16="http://schemas.microsoft.com/office/drawing/2014/main" id="{5C4D889C-6051-4378-A70F-56D116387A73}"/>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743200" y="8620125"/>
          <a:ext cx="1400175" cy="923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200025</xdr:colOff>
      <xdr:row>20</xdr:row>
      <xdr:rowOff>76200</xdr:rowOff>
    </xdr:from>
    <xdr:to>
      <xdr:col>6</xdr:col>
      <xdr:colOff>318233</xdr:colOff>
      <xdr:row>24</xdr:row>
      <xdr:rowOff>39687</xdr:rowOff>
    </xdr:to>
    <xdr:pic>
      <xdr:nvPicPr>
        <xdr:cNvPr id="2" name="図 1">
          <a:extLst>
            <a:ext uri="{FF2B5EF4-FFF2-40B4-BE49-F238E27FC236}">
              <a16:creationId xmlns:a16="http://schemas.microsoft.com/office/drawing/2014/main" id="{8F5DC90F-C660-4749-9DDD-BDF5E270A9D3}"/>
            </a:ext>
          </a:extLst>
        </xdr:cNvPr>
        <xdr:cNvPicPr>
          <a:picLocks noChangeAspect="1"/>
        </xdr:cNvPicPr>
      </xdr:nvPicPr>
      <xdr:blipFill>
        <a:blip xmlns:r="http://schemas.openxmlformats.org/officeDocument/2006/relationships" r:embed="rId1"/>
        <a:stretch>
          <a:fillRect/>
        </a:stretch>
      </xdr:blipFill>
      <xdr:spPr>
        <a:xfrm>
          <a:off x="3019425" y="3886200"/>
          <a:ext cx="1127858" cy="725487"/>
        </a:xfrm>
        <a:prstGeom prst="rect">
          <a:avLst/>
        </a:prstGeom>
      </xdr:spPr>
    </xdr:pic>
    <xdr:clientData/>
  </xdr:twoCellAnchor>
  <xdr:twoCellAnchor editAs="oneCell">
    <xdr:from>
      <xdr:col>10</xdr:col>
      <xdr:colOff>190500</xdr:colOff>
      <xdr:row>20</xdr:row>
      <xdr:rowOff>76200</xdr:rowOff>
    </xdr:from>
    <xdr:to>
      <xdr:col>12</xdr:col>
      <xdr:colOff>302611</xdr:colOff>
      <xdr:row>24</xdr:row>
      <xdr:rowOff>21397</xdr:rowOff>
    </xdr:to>
    <xdr:pic>
      <xdr:nvPicPr>
        <xdr:cNvPr id="3" name="図 2">
          <a:extLst>
            <a:ext uri="{FF2B5EF4-FFF2-40B4-BE49-F238E27FC236}">
              <a16:creationId xmlns:a16="http://schemas.microsoft.com/office/drawing/2014/main" id="{7F5F9AA3-7F3C-4F1F-903F-42F444628D11}"/>
            </a:ext>
          </a:extLst>
        </xdr:cNvPr>
        <xdr:cNvPicPr>
          <a:picLocks noChangeAspect="1"/>
        </xdr:cNvPicPr>
      </xdr:nvPicPr>
      <xdr:blipFill>
        <a:blip xmlns:r="http://schemas.openxmlformats.org/officeDocument/2006/relationships" r:embed="rId2"/>
        <a:stretch>
          <a:fillRect/>
        </a:stretch>
      </xdr:blipFill>
      <xdr:spPr>
        <a:xfrm>
          <a:off x="7029450" y="3886200"/>
          <a:ext cx="1121761" cy="707197"/>
        </a:xfrm>
        <a:prstGeom prst="rect">
          <a:avLst/>
        </a:prstGeom>
      </xdr:spPr>
    </xdr:pic>
    <xdr:clientData/>
  </xdr:twoCellAnchor>
  <xdr:twoCellAnchor editAs="oneCell">
    <xdr:from>
      <xdr:col>4</xdr:col>
      <xdr:colOff>152400</xdr:colOff>
      <xdr:row>36</xdr:row>
      <xdr:rowOff>171450</xdr:rowOff>
    </xdr:from>
    <xdr:to>
      <xdr:col>6</xdr:col>
      <xdr:colOff>319380</xdr:colOff>
      <xdr:row>40</xdr:row>
      <xdr:rowOff>177613</xdr:rowOff>
    </xdr:to>
    <xdr:pic>
      <xdr:nvPicPr>
        <xdr:cNvPr id="4" name="図 3">
          <a:extLst>
            <a:ext uri="{FF2B5EF4-FFF2-40B4-BE49-F238E27FC236}">
              <a16:creationId xmlns:a16="http://schemas.microsoft.com/office/drawing/2014/main" id="{E52D16BD-3EFF-4C9C-9EB3-F43730F9D22E}"/>
            </a:ext>
          </a:extLst>
        </xdr:cNvPr>
        <xdr:cNvPicPr>
          <a:picLocks noChangeAspect="1"/>
        </xdr:cNvPicPr>
      </xdr:nvPicPr>
      <xdr:blipFill>
        <a:blip xmlns:r="http://schemas.openxmlformats.org/officeDocument/2006/relationships" r:embed="rId3"/>
        <a:stretch>
          <a:fillRect/>
        </a:stretch>
      </xdr:blipFill>
      <xdr:spPr>
        <a:xfrm>
          <a:off x="2971800" y="7029450"/>
          <a:ext cx="1176630" cy="768163"/>
        </a:xfrm>
        <a:prstGeom prst="rect">
          <a:avLst/>
        </a:prstGeom>
      </xdr:spPr>
    </xdr:pic>
    <xdr:clientData/>
  </xdr:twoCellAnchor>
  <xdr:twoCellAnchor>
    <xdr:from>
      <xdr:col>13</xdr:col>
      <xdr:colOff>306915</xdr:colOff>
      <xdr:row>33</xdr:row>
      <xdr:rowOff>173566</xdr:rowOff>
    </xdr:from>
    <xdr:to>
      <xdr:col>20</xdr:col>
      <xdr:colOff>315311</xdr:colOff>
      <xdr:row>53</xdr:row>
      <xdr:rowOff>190499</xdr:rowOff>
    </xdr:to>
    <xdr:graphicFrame macro="">
      <xdr:nvGraphicFramePr>
        <xdr:cNvPr id="5" name="グラフ 4">
          <a:extLst>
            <a:ext uri="{FF2B5EF4-FFF2-40B4-BE49-F238E27FC236}">
              <a16:creationId xmlns:a16="http://schemas.microsoft.com/office/drawing/2014/main" id="{FC182DA9-1389-4A8D-AE11-A76410E7BC5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307973</xdr:colOff>
      <xdr:row>33</xdr:row>
      <xdr:rowOff>171978</xdr:rowOff>
    </xdr:from>
    <xdr:to>
      <xdr:col>25</xdr:col>
      <xdr:colOff>488698</xdr:colOff>
      <xdr:row>53</xdr:row>
      <xdr:rowOff>190499</xdr:rowOff>
    </xdr:to>
    <xdr:graphicFrame macro="">
      <xdr:nvGraphicFramePr>
        <xdr:cNvPr id="6" name="グラフ 5">
          <a:extLst>
            <a:ext uri="{FF2B5EF4-FFF2-40B4-BE49-F238E27FC236}">
              <a16:creationId xmlns:a16="http://schemas.microsoft.com/office/drawing/2014/main" id="{AEC4351D-BABF-4AB0-9932-5D7D7841965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161925</xdr:colOff>
      <xdr:row>19</xdr:row>
      <xdr:rowOff>38100</xdr:rowOff>
    </xdr:from>
    <xdr:to>
      <xdr:col>18</xdr:col>
      <xdr:colOff>304800</xdr:colOff>
      <xdr:row>21</xdr:row>
      <xdr:rowOff>0</xdr:rowOff>
    </xdr:to>
    <xdr:pic>
      <xdr:nvPicPr>
        <xdr:cNvPr id="7" name="図 6">
          <a:extLst>
            <a:ext uri="{FF2B5EF4-FFF2-40B4-BE49-F238E27FC236}">
              <a16:creationId xmlns:a16="http://schemas.microsoft.com/office/drawing/2014/main" id="{4F47D38E-1670-49ED-8511-CC2D83A97917}"/>
            </a:ext>
          </a:extLst>
        </xdr:cNvPr>
        <xdr:cNvPicPr>
          <a:picLocks noChangeAspect="1"/>
        </xdr:cNvPicPr>
      </xdr:nvPicPr>
      <xdr:blipFill>
        <a:blip xmlns:r="http://schemas.openxmlformats.org/officeDocument/2006/relationships" r:embed="rId6"/>
        <a:stretch>
          <a:fillRect/>
        </a:stretch>
      </xdr:blipFill>
      <xdr:spPr>
        <a:xfrm>
          <a:off x="11020425" y="3657600"/>
          <a:ext cx="1152525" cy="342900"/>
        </a:xfrm>
        <a:prstGeom prst="rect">
          <a:avLst/>
        </a:prstGeom>
      </xdr:spPr>
    </xdr:pic>
    <xdr:clientData/>
  </xdr:twoCellAnchor>
  <xdr:twoCellAnchor editAs="oneCell">
    <xdr:from>
      <xdr:col>16</xdr:col>
      <xdr:colOff>161925</xdr:colOff>
      <xdr:row>21</xdr:row>
      <xdr:rowOff>57150</xdr:rowOff>
    </xdr:from>
    <xdr:to>
      <xdr:col>18</xdr:col>
      <xdr:colOff>304800</xdr:colOff>
      <xdr:row>23</xdr:row>
      <xdr:rowOff>19050</xdr:rowOff>
    </xdr:to>
    <xdr:pic>
      <xdr:nvPicPr>
        <xdr:cNvPr id="8" name="図 7">
          <a:extLst>
            <a:ext uri="{FF2B5EF4-FFF2-40B4-BE49-F238E27FC236}">
              <a16:creationId xmlns:a16="http://schemas.microsoft.com/office/drawing/2014/main" id="{07B6535D-4B40-45DD-9AE1-7FCBB9E73284}"/>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1020425" y="4057650"/>
          <a:ext cx="115252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48</xdr:row>
      <xdr:rowOff>47625</xdr:rowOff>
    </xdr:from>
    <xdr:to>
      <xdr:col>6</xdr:col>
      <xdr:colOff>428625</xdr:colOff>
      <xdr:row>53</xdr:row>
      <xdr:rowOff>19050</xdr:rowOff>
    </xdr:to>
    <xdr:pic>
      <xdr:nvPicPr>
        <xdr:cNvPr id="9" name="図 8">
          <a:extLst>
            <a:ext uri="{FF2B5EF4-FFF2-40B4-BE49-F238E27FC236}">
              <a16:creationId xmlns:a16="http://schemas.microsoft.com/office/drawing/2014/main" id="{86492ABA-1A27-4502-8CD5-F50BC069A868}"/>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57500" y="9191625"/>
          <a:ext cx="1400175" cy="923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4</xdr:col>
      <xdr:colOff>200025</xdr:colOff>
      <xdr:row>20</xdr:row>
      <xdr:rowOff>76200</xdr:rowOff>
    </xdr:from>
    <xdr:to>
      <xdr:col>6</xdr:col>
      <xdr:colOff>318233</xdr:colOff>
      <xdr:row>24</xdr:row>
      <xdr:rowOff>39687</xdr:rowOff>
    </xdr:to>
    <xdr:pic>
      <xdr:nvPicPr>
        <xdr:cNvPr id="2" name="図 1">
          <a:extLst>
            <a:ext uri="{FF2B5EF4-FFF2-40B4-BE49-F238E27FC236}">
              <a16:creationId xmlns:a16="http://schemas.microsoft.com/office/drawing/2014/main" id="{AA407C10-7D8A-49FA-9D0B-0F20910C43C2}"/>
            </a:ext>
          </a:extLst>
        </xdr:cNvPr>
        <xdr:cNvPicPr>
          <a:picLocks noChangeAspect="1"/>
        </xdr:cNvPicPr>
      </xdr:nvPicPr>
      <xdr:blipFill>
        <a:blip xmlns:r="http://schemas.openxmlformats.org/officeDocument/2006/relationships" r:embed="rId1"/>
        <a:stretch>
          <a:fillRect/>
        </a:stretch>
      </xdr:blipFill>
      <xdr:spPr>
        <a:xfrm>
          <a:off x="2905125" y="3314700"/>
          <a:ext cx="1127858" cy="725487"/>
        </a:xfrm>
        <a:prstGeom prst="rect">
          <a:avLst/>
        </a:prstGeom>
      </xdr:spPr>
    </xdr:pic>
    <xdr:clientData/>
  </xdr:twoCellAnchor>
  <xdr:twoCellAnchor editAs="oneCell">
    <xdr:from>
      <xdr:col>10</xdr:col>
      <xdr:colOff>190500</xdr:colOff>
      <xdr:row>20</xdr:row>
      <xdr:rowOff>76200</xdr:rowOff>
    </xdr:from>
    <xdr:to>
      <xdr:col>12</xdr:col>
      <xdr:colOff>302611</xdr:colOff>
      <xdr:row>24</xdr:row>
      <xdr:rowOff>21397</xdr:rowOff>
    </xdr:to>
    <xdr:pic>
      <xdr:nvPicPr>
        <xdr:cNvPr id="3" name="図 2">
          <a:extLst>
            <a:ext uri="{FF2B5EF4-FFF2-40B4-BE49-F238E27FC236}">
              <a16:creationId xmlns:a16="http://schemas.microsoft.com/office/drawing/2014/main" id="{57D106DA-DF42-418A-B65C-4664ECCFE075}"/>
            </a:ext>
          </a:extLst>
        </xdr:cNvPr>
        <xdr:cNvPicPr>
          <a:picLocks noChangeAspect="1"/>
        </xdr:cNvPicPr>
      </xdr:nvPicPr>
      <xdr:blipFill>
        <a:blip xmlns:r="http://schemas.openxmlformats.org/officeDocument/2006/relationships" r:embed="rId2"/>
        <a:stretch>
          <a:fillRect/>
        </a:stretch>
      </xdr:blipFill>
      <xdr:spPr>
        <a:xfrm>
          <a:off x="6915150" y="3314700"/>
          <a:ext cx="1121761" cy="707197"/>
        </a:xfrm>
        <a:prstGeom prst="rect">
          <a:avLst/>
        </a:prstGeom>
      </xdr:spPr>
    </xdr:pic>
    <xdr:clientData/>
  </xdr:twoCellAnchor>
  <xdr:twoCellAnchor editAs="oneCell">
    <xdr:from>
      <xdr:col>4</xdr:col>
      <xdr:colOff>152400</xdr:colOff>
      <xdr:row>36</xdr:row>
      <xdr:rowOff>171450</xdr:rowOff>
    </xdr:from>
    <xdr:to>
      <xdr:col>6</xdr:col>
      <xdr:colOff>319380</xdr:colOff>
      <xdr:row>40</xdr:row>
      <xdr:rowOff>177613</xdr:rowOff>
    </xdr:to>
    <xdr:pic>
      <xdr:nvPicPr>
        <xdr:cNvPr id="5" name="図 4">
          <a:extLst>
            <a:ext uri="{FF2B5EF4-FFF2-40B4-BE49-F238E27FC236}">
              <a16:creationId xmlns:a16="http://schemas.microsoft.com/office/drawing/2014/main" id="{05893499-35FF-457A-BA1B-0029BC5041A5}"/>
            </a:ext>
          </a:extLst>
        </xdr:cNvPr>
        <xdr:cNvPicPr>
          <a:picLocks noChangeAspect="1"/>
        </xdr:cNvPicPr>
      </xdr:nvPicPr>
      <xdr:blipFill>
        <a:blip xmlns:r="http://schemas.openxmlformats.org/officeDocument/2006/relationships" r:embed="rId3"/>
        <a:stretch>
          <a:fillRect/>
        </a:stretch>
      </xdr:blipFill>
      <xdr:spPr>
        <a:xfrm>
          <a:off x="2857500" y="6457950"/>
          <a:ext cx="1176630" cy="768163"/>
        </a:xfrm>
        <a:prstGeom prst="rect">
          <a:avLst/>
        </a:prstGeom>
      </xdr:spPr>
    </xdr:pic>
    <xdr:clientData/>
  </xdr:twoCellAnchor>
  <xdr:twoCellAnchor>
    <xdr:from>
      <xdr:col>13</xdr:col>
      <xdr:colOff>306915</xdr:colOff>
      <xdr:row>33</xdr:row>
      <xdr:rowOff>173566</xdr:rowOff>
    </xdr:from>
    <xdr:to>
      <xdr:col>20</xdr:col>
      <xdr:colOff>315311</xdr:colOff>
      <xdr:row>53</xdr:row>
      <xdr:rowOff>190499</xdr:rowOff>
    </xdr:to>
    <xdr:graphicFrame macro="">
      <xdr:nvGraphicFramePr>
        <xdr:cNvPr id="6" name="グラフ 5">
          <a:extLst>
            <a:ext uri="{FF2B5EF4-FFF2-40B4-BE49-F238E27FC236}">
              <a16:creationId xmlns:a16="http://schemas.microsoft.com/office/drawing/2014/main" id="{973F0300-9B8F-4454-81AC-BBACDF7BF51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307973</xdr:colOff>
      <xdr:row>33</xdr:row>
      <xdr:rowOff>171978</xdr:rowOff>
    </xdr:from>
    <xdr:to>
      <xdr:col>25</xdr:col>
      <xdr:colOff>488698</xdr:colOff>
      <xdr:row>53</xdr:row>
      <xdr:rowOff>190499</xdr:rowOff>
    </xdr:to>
    <xdr:graphicFrame macro="">
      <xdr:nvGraphicFramePr>
        <xdr:cNvPr id="7" name="グラフ 6">
          <a:extLst>
            <a:ext uri="{FF2B5EF4-FFF2-40B4-BE49-F238E27FC236}">
              <a16:creationId xmlns:a16="http://schemas.microsoft.com/office/drawing/2014/main" id="{86799FFC-E65B-4EF9-B4C2-2A5066FC95A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161925</xdr:colOff>
      <xdr:row>19</xdr:row>
      <xdr:rowOff>38100</xdr:rowOff>
    </xdr:from>
    <xdr:to>
      <xdr:col>18</xdr:col>
      <xdr:colOff>304800</xdr:colOff>
      <xdr:row>21</xdr:row>
      <xdr:rowOff>0</xdr:rowOff>
    </xdr:to>
    <xdr:pic>
      <xdr:nvPicPr>
        <xdr:cNvPr id="10" name="図 9">
          <a:extLst>
            <a:ext uri="{FF2B5EF4-FFF2-40B4-BE49-F238E27FC236}">
              <a16:creationId xmlns:a16="http://schemas.microsoft.com/office/drawing/2014/main" id="{B8F9D544-46B7-4892-A408-716B9757F921}"/>
            </a:ext>
          </a:extLst>
        </xdr:cNvPr>
        <xdr:cNvPicPr>
          <a:picLocks noChangeAspect="1"/>
        </xdr:cNvPicPr>
      </xdr:nvPicPr>
      <xdr:blipFill>
        <a:blip xmlns:r="http://schemas.openxmlformats.org/officeDocument/2006/relationships" r:embed="rId6"/>
        <a:stretch>
          <a:fillRect/>
        </a:stretch>
      </xdr:blipFill>
      <xdr:spPr>
        <a:xfrm>
          <a:off x="10906125" y="3086100"/>
          <a:ext cx="1152525" cy="342900"/>
        </a:xfrm>
        <a:prstGeom prst="rect">
          <a:avLst/>
        </a:prstGeom>
      </xdr:spPr>
    </xdr:pic>
    <xdr:clientData/>
  </xdr:twoCellAnchor>
  <xdr:twoCellAnchor editAs="oneCell">
    <xdr:from>
      <xdr:col>16</xdr:col>
      <xdr:colOff>161925</xdr:colOff>
      <xdr:row>21</xdr:row>
      <xdr:rowOff>57150</xdr:rowOff>
    </xdr:from>
    <xdr:to>
      <xdr:col>18</xdr:col>
      <xdr:colOff>304800</xdr:colOff>
      <xdr:row>23</xdr:row>
      <xdr:rowOff>19050</xdr:rowOff>
    </xdr:to>
    <xdr:pic>
      <xdr:nvPicPr>
        <xdr:cNvPr id="11" name="図 10">
          <a:extLst>
            <a:ext uri="{FF2B5EF4-FFF2-40B4-BE49-F238E27FC236}">
              <a16:creationId xmlns:a16="http://schemas.microsoft.com/office/drawing/2014/main" id="{D8A2C49F-ADF3-4203-9710-01FDCE27A93A}"/>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906125" y="3486150"/>
          <a:ext cx="115252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48</xdr:row>
      <xdr:rowOff>47625</xdr:rowOff>
    </xdr:from>
    <xdr:to>
      <xdr:col>6</xdr:col>
      <xdr:colOff>428625</xdr:colOff>
      <xdr:row>53</xdr:row>
      <xdr:rowOff>19050</xdr:rowOff>
    </xdr:to>
    <xdr:pic>
      <xdr:nvPicPr>
        <xdr:cNvPr id="13" name="図 12">
          <a:extLst>
            <a:ext uri="{FF2B5EF4-FFF2-40B4-BE49-F238E27FC236}">
              <a16:creationId xmlns:a16="http://schemas.microsoft.com/office/drawing/2014/main" id="{3F5AEC86-7DDF-46E1-8DA9-6976B4F70E72}"/>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743200" y="8620125"/>
          <a:ext cx="1400175" cy="923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200025</xdr:colOff>
      <xdr:row>20</xdr:row>
      <xdr:rowOff>76200</xdr:rowOff>
    </xdr:from>
    <xdr:to>
      <xdr:col>6</xdr:col>
      <xdr:colOff>318233</xdr:colOff>
      <xdr:row>24</xdr:row>
      <xdr:rowOff>39687</xdr:rowOff>
    </xdr:to>
    <xdr:pic>
      <xdr:nvPicPr>
        <xdr:cNvPr id="2" name="図 1">
          <a:extLst>
            <a:ext uri="{FF2B5EF4-FFF2-40B4-BE49-F238E27FC236}">
              <a16:creationId xmlns:a16="http://schemas.microsoft.com/office/drawing/2014/main" id="{9DE5428D-D5BD-4E57-A84E-37FF5A1EABEB}"/>
            </a:ext>
          </a:extLst>
        </xdr:cNvPr>
        <xdr:cNvPicPr>
          <a:picLocks noChangeAspect="1"/>
        </xdr:cNvPicPr>
      </xdr:nvPicPr>
      <xdr:blipFill>
        <a:blip xmlns:r="http://schemas.openxmlformats.org/officeDocument/2006/relationships" r:embed="rId1"/>
        <a:stretch>
          <a:fillRect/>
        </a:stretch>
      </xdr:blipFill>
      <xdr:spPr>
        <a:xfrm>
          <a:off x="2905125" y="3314700"/>
          <a:ext cx="1127858" cy="725487"/>
        </a:xfrm>
        <a:prstGeom prst="rect">
          <a:avLst/>
        </a:prstGeom>
      </xdr:spPr>
    </xdr:pic>
    <xdr:clientData/>
  </xdr:twoCellAnchor>
  <xdr:twoCellAnchor editAs="oneCell">
    <xdr:from>
      <xdr:col>10</xdr:col>
      <xdr:colOff>190500</xdr:colOff>
      <xdr:row>20</xdr:row>
      <xdr:rowOff>76200</xdr:rowOff>
    </xdr:from>
    <xdr:to>
      <xdr:col>12</xdr:col>
      <xdr:colOff>302611</xdr:colOff>
      <xdr:row>24</xdr:row>
      <xdr:rowOff>21397</xdr:rowOff>
    </xdr:to>
    <xdr:pic>
      <xdr:nvPicPr>
        <xdr:cNvPr id="3" name="図 2">
          <a:extLst>
            <a:ext uri="{FF2B5EF4-FFF2-40B4-BE49-F238E27FC236}">
              <a16:creationId xmlns:a16="http://schemas.microsoft.com/office/drawing/2014/main" id="{99202B89-3925-41E3-BDD7-A2E1767C7D80}"/>
            </a:ext>
          </a:extLst>
        </xdr:cNvPr>
        <xdr:cNvPicPr>
          <a:picLocks noChangeAspect="1"/>
        </xdr:cNvPicPr>
      </xdr:nvPicPr>
      <xdr:blipFill>
        <a:blip xmlns:r="http://schemas.openxmlformats.org/officeDocument/2006/relationships" r:embed="rId2"/>
        <a:stretch>
          <a:fillRect/>
        </a:stretch>
      </xdr:blipFill>
      <xdr:spPr>
        <a:xfrm>
          <a:off x="6915150" y="3314700"/>
          <a:ext cx="1121761" cy="707197"/>
        </a:xfrm>
        <a:prstGeom prst="rect">
          <a:avLst/>
        </a:prstGeom>
      </xdr:spPr>
    </xdr:pic>
    <xdr:clientData/>
  </xdr:twoCellAnchor>
  <xdr:twoCellAnchor editAs="oneCell">
    <xdr:from>
      <xdr:col>4</xdr:col>
      <xdr:colOff>152400</xdr:colOff>
      <xdr:row>36</xdr:row>
      <xdr:rowOff>171450</xdr:rowOff>
    </xdr:from>
    <xdr:to>
      <xdr:col>6</xdr:col>
      <xdr:colOff>319380</xdr:colOff>
      <xdr:row>40</xdr:row>
      <xdr:rowOff>177613</xdr:rowOff>
    </xdr:to>
    <xdr:pic>
      <xdr:nvPicPr>
        <xdr:cNvPr id="4" name="図 3">
          <a:extLst>
            <a:ext uri="{FF2B5EF4-FFF2-40B4-BE49-F238E27FC236}">
              <a16:creationId xmlns:a16="http://schemas.microsoft.com/office/drawing/2014/main" id="{DB61380A-6DE4-4DE4-920D-21B8C97E6481}"/>
            </a:ext>
          </a:extLst>
        </xdr:cNvPr>
        <xdr:cNvPicPr>
          <a:picLocks noChangeAspect="1"/>
        </xdr:cNvPicPr>
      </xdr:nvPicPr>
      <xdr:blipFill>
        <a:blip xmlns:r="http://schemas.openxmlformats.org/officeDocument/2006/relationships" r:embed="rId3"/>
        <a:stretch>
          <a:fillRect/>
        </a:stretch>
      </xdr:blipFill>
      <xdr:spPr>
        <a:xfrm>
          <a:off x="2857500" y="6457950"/>
          <a:ext cx="1176630" cy="768163"/>
        </a:xfrm>
        <a:prstGeom prst="rect">
          <a:avLst/>
        </a:prstGeom>
      </xdr:spPr>
    </xdr:pic>
    <xdr:clientData/>
  </xdr:twoCellAnchor>
  <xdr:twoCellAnchor>
    <xdr:from>
      <xdr:col>13</xdr:col>
      <xdr:colOff>338657</xdr:colOff>
      <xdr:row>33</xdr:row>
      <xdr:rowOff>184150</xdr:rowOff>
    </xdr:from>
    <xdr:to>
      <xdr:col>20</xdr:col>
      <xdr:colOff>334182</xdr:colOff>
      <xdr:row>54</xdr:row>
      <xdr:rowOff>0</xdr:rowOff>
    </xdr:to>
    <xdr:graphicFrame macro="">
      <xdr:nvGraphicFramePr>
        <xdr:cNvPr id="5" name="グラフ 4">
          <a:extLst>
            <a:ext uri="{FF2B5EF4-FFF2-40B4-BE49-F238E27FC236}">
              <a16:creationId xmlns:a16="http://schemas.microsoft.com/office/drawing/2014/main" id="{4F1BB199-4B03-40E7-A52E-9210C72E0DA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329143</xdr:colOff>
      <xdr:row>34</xdr:row>
      <xdr:rowOff>0</xdr:rowOff>
    </xdr:from>
    <xdr:to>
      <xdr:col>25</xdr:col>
      <xdr:colOff>487644</xdr:colOff>
      <xdr:row>54</xdr:row>
      <xdr:rowOff>0</xdr:rowOff>
    </xdr:to>
    <xdr:graphicFrame macro="">
      <xdr:nvGraphicFramePr>
        <xdr:cNvPr id="6" name="グラフ 5">
          <a:extLst>
            <a:ext uri="{FF2B5EF4-FFF2-40B4-BE49-F238E27FC236}">
              <a16:creationId xmlns:a16="http://schemas.microsoft.com/office/drawing/2014/main" id="{50B9E482-6209-4B01-A0CA-29D0F201785E}"/>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161925</xdr:colOff>
      <xdr:row>19</xdr:row>
      <xdr:rowOff>38100</xdr:rowOff>
    </xdr:from>
    <xdr:to>
      <xdr:col>18</xdr:col>
      <xdr:colOff>304800</xdr:colOff>
      <xdr:row>21</xdr:row>
      <xdr:rowOff>0</xdr:rowOff>
    </xdr:to>
    <xdr:pic>
      <xdr:nvPicPr>
        <xdr:cNvPr id="7" name="図 6">
          <a:extLst>
            <a:ext uri="{FF2B5EF4-FFF2-40B4-BE49-F238E27FC236}">
              <a16:creationId xmlns:a16="http://schemas.microsoft.com/office/drawing/2014/main" id="{57D7A537-8862-4BED-ADAA-3E95B8B53C2E}"/>
            </a:ext>
          </a:extLst>
        </xdr:cNvPr>
        <xdr:cNvPicPr>
          <a:picLocks noChangeAspect="1"/>
        </xdr:cNvPicPr>
      </xdr:nvPicPr>
      <xdr:blipFill>
        <a:blip xmlns:r="http://schemas.openxmlformats.org/officeDocument/2006/relationships" r:embed="rId6"/>
        <a:stretch>
          <a:fillRect/>
        </a:stretch>
      </xdr:blipFill>
      <xdr:spPr>
        <a:xfrm>
          <a:off x="10906125" y="3086100"/>
          <a:ext cx="1152525" cy="342900"/>
        </a:xfrm>
        <a:prstGeom prst="rect">
          <a:avLst/>
        </a:prstGeom>
      </xdr:spPr>
    </xdr:pic>
    <xdr:clientData/>
  </xdr:twoCellAnchor>
  <xdr:twoCellAnchor editAs="oneCell">
    <xdr:from>
      <xdr:col>16</xdr:col>
      <xdr:colOff>161925</xdr:colOff>
      <xdr:row>21</xdr:row>
      <xdr:rowOff>57150</xdr:rowOff>
    </xdr:from>
    <xdr:to>
      <xdr:col>18</xdr:col>
      <xdr:colOff>304800</xdr:colOff>
      <xdr:row>23</xdr:row>
      <xdr:rowOff>19050</xdr:rowOff>
    </xdr:to>
    <xdr:pic>
      <xdr:nvPicPr>
        <xdr:cNvPr id="8" name="図 7">
          <a:extLst>
            <a:ext uri="{FF2B5EF4-FFF2-40B4-BE49-F238E27FC236}">
              <a16:creationId xmlns:a16="http://schemas.microsoft.com/office/drawing/2014/main" id="{421576DD-BC26-4AA3-88E2-B0BE2F66D0D9}"/>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906125" y="3486150"/>
          <a:ext cx="115252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48</xdr:row>
      <xdr:rowOff>47625</xdr:rowOff>
    </xdr:from>
    <xdr:to>
      <xdr:col>6</xdr:col>
      <xdr:colOff>428625</xdr:colOff>
      <xdr:row>53</xdr:row>
      <xdr:rowOff>19050</xdr:rowOff>
    </xdr:to>
    <xdr:pic>
      <xdr:nvPicPr>
        <xdr:cNvPr id="9" name="図 8">
          <a:extLst>
            <a:ext uri="{FF2B5EF4-FFF2-40B4-BE49-F238E27FC236}">
              <a16:creationId xmlns:a16="http://schemas.microsoft.com/office/drawing/2014/main" id="{D384D5BE-15BC-4256-8BE0-56D031E6D546}"/>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743200" y="8620125"/>
          <a:ext cx="1400175" cy="923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4</xdr:col>
      <xdr:colOff>200025</xdr:colOff>
      <xdr:row>20</xdr:row>
      <xdr:rowOff>76200</xdr:rowOff>
    </xdr:from>
    <xdr:to>
      <xdr:col>6</xdr:col>
      <xdr:colOff>318233</xdr:colOff>
      <xdr:row>24</xdr:row>
      <xdr:rowOff>39687</xdr:rowOff>
    </xdr:to>
    <xdr:pic>
      <xdr:nvPicPr>
        <xdr:cNvPr id="2" name="図 1">
          <a:extLst>
            <a:ext uri="{FF2B5EF4-FFF2-40B4-BE49-F238E27FC236}">
              <a16:creationId xmlns:a16="http://schemas.microsoft.com/office/drawing/2014/main" id="{42749F3F-4C6A-4C1C-AEFF-EECE51A5AE07}"/>
            </a:ext>
          </a:extLst>
        </xdr:cNvPr>
        <xdr:cNvPicPr>
          <a:picLocks noChangeAspect="1"/>
        </xdr:cNvPicPr>
      </xdr:nvPicPr>
      <xdr:blipFill>
        <a:blip xmlns:r="http://schemas.openxmlformats.org/officeDocument/2006/relationships" r:embed="rId1"/>
        <a:stretch>
          <a:fillRect/>
        </a:stretch>
      </xdr:blipFill>
      <xdr:spPr>
        <a:xfrm>
          <a:off x="3006725" y="3886200"/>
          <a:ext cx="1121508" cy="725487"/>
        </a:xfrm>
        <a:prstGeom prst="rect">
          <a:avLst/>
        </a:prstGeom>
      </xdr:spPr>
    </xdr:pic>
    <xdr:clientData/>
  </xdr:twoCellAnchor>
  <xdr:twoCellAnchor editAs="oneCell">
    <xdr:from>
      <xdr:col>10</xdr:col>
      <xdr:colOff>190500</xdr:colOff>
      <xdr:row>20</xdr:row>
      <xdr:rowOff>76200</xdr:rowOff>
    </xdr:from>
    <xdr:to>
      <xdr:col>12</xdr:col>
      <xdr:colOff>302611</xdr:colOff>
      <xdr:row>24</xdr:row>
      <xdr:rowOff>21397</xdr:rowOff>
    </xdr:to>
    <xdr:pic>
      <xdr:nvPicPr>
        <xdr:cNvPr id="3" name="図 2">
          <a:extLst>
            <a:ext uri="{FF2B5EF4-FFF2-40B4-BE49-F238E27FC236}">
              <a16:creationId xmlns:a16="http://schemas.microsoft.com/office/drawing/2014/main" id="{C053DEAB-BEED-4571-B9A8-DC1D7C37671C}"/>
            </a:ext>
          </a:extLst>
        </xdr:cNvPr>
        <xdr:cNvPicPr>
          <a:picLocks noChangeAspect="1"/>
        </xdr:cNvPicPr>
      </xdr:nvPicPr>
      <xdr:blipFill>
        <a:blip xmlns:r="http://schemas.openxmlformats.org/officeDocument/2006/relationships" r:embed="rId2"/>
        <a:stretch>
          <a:fillRect/>
        </a:stretch>
      </xdr:blipFill>
      <xdr:spPr>
        <a:xfrm>
          <a:off x="6997700" y="3886200"/>
          <a:ext cx="1115411" cy="707197"/>
        </a:xfrm>
        <a:prstGeom prst="rect">
          <a:avLst/>
        </a:prstGeom>
      </xdr:spPr>
    </xdr:pic>
    <xdr:clientData/>
  </xdr:twoCellAnchor>
  <xdr:twoCellAnchor editAs="oneCell">
    <xdr:from>
      <xdr:col>4</xdr:col>
      <xdr:colOff>152400</xdr:colOff>
      <xdr:row>36</xdr:row>
      <xdr:rowOff>171450</xdr:rowOff>
    </xdr:from>
    <xdr:to>
      <xdr:col>6</xdr:col>
      <xdr:colOff>319380</xdr:colOff>
      <xdr:row>40</xdr:row>
      <xdr:rowOff>177613</xdr:rowOff>
    </xdr:to>
    <xdr:pic>
      <xdr:nvPicPr>
        <xdr:cNvPr id="4" name="図 3">
          <a:extLst>
            <a:ext uri="{FF2B5EF4-FFF2-40B4-BE49-F238E27FC236}">
              <a16:creationId xmlns:a16="http://schemas.microsoft.com/office/drawing/2014/main" id="{FD4B13A2-2E4C-4BF7-8660-8878881F72D4}"/>
            </a:ext>
          </a:extLst>
        </xdr:cNvPr>
        <xdr:cNvPicPr>
          <a:picLocks noChangeAspect="1"/>
        </xdr:cNvPicPr>
      </xdr:nvPicPr>
      <xdr:blipFill>
        <a:blip xmlns:r="http://schemas.openxmlformats.org/officeDocument/2006/relationships" r:embed="rId3"/>
        <a:stretch>
          <a:fillRect/>
        </a:stretch>
      </xdr:blipFill>
      <xdr:spPr>
        <a:xfrm>
          <a:off x="2959100" y="7029450"/>
          <a:ext cx="1170280" cy="768163"/>
        </a:xfrm>
        <a:prstGeom prst="rect">
          <a:avLst/>
        </a:prstGeom>
      </xdr:spPr>
    </xdr:pic>
    <xdr:clientData/>
  </xdr:twoCellAnchor>
  <xdr:twoCellAnchor>
    <xdr:from>
      <xdr:col>13</xdr:col>
      <xdr:colOff>370412</xdr:colOff>
      <xdr:row>33</xdr:row>
      <xdr:rowOff>184149</xdr:rowOff>
    </xdr:from>
    <xdr:to>
      <xdr:col>20</xdr:col>
      <xdr:colOff>340192</xdr:colOff>
      <xdr:row>53</xdr:row>
      <xdr:rowOff>169332</xdr:rowOff>
    </xdr:to>
    <xdr:graphicFrame macro="">
      <xdr:nvGraphicFramePr>
        <xdr:cNvPr id="5" name="グラフ 4">
          <a:extLst>
            <a:ext uri="{FF2B5EF4-FFF2-40B4-BE49-F238E27FC236}">
              <a16:creationId xmlns:a16="http://schemas.microsoft.com/office/drawing/2014/main" id="{6F683A37-664B-43BF-A102-96CB0E80744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20</xdr:col>
      <xdr:colOff>329141</xdr:colOff>
      <xdr:row>33</xdr:row>
      <xdr:rowOff>179916</xdr:rowOff>
    </xdr:from>
    <xdr:to>
      <xdr:col>25</xdr:col>
      <xdr:colOff>474943</xdr:colOff>
      <xdr:row>53</xdr:row>
      <xdr:rowOff>169333</xdr:rowOff>
    </xdr:to>
    <xdr:graphicFrame macro="">
      <xdr:nvGraphicFramePr>
        <xdr:cNvPr id="6" name="グラフ 5">
          <a:extLst>
            <a:ext uri="{FF2B5EF4-FFF2-40B4-BE49-F238E27FC236}">
              <a16:creationId xmlns:a16="http://schemas.microsoft.com/office/drawing/2014/main" id="{29F36382-F138-4159-8982-E4AAC2B8BB7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16</xdr:col>
      <xdr:colOff>161925</xdr:colOff>
      <xdr:row>19</xdr:row>
      <xdr:rowOff>38100</xdr:rowOff>
    </xdr:from>
    <xdr:to>
      <xdr:col>18</xdr:col>
      <xdr:colOff>304800</xdr:colOff>
      <xdr:row>21</xdr:row>
      <xdr:rowOff>0</xdr:rowOff>
    </xdr:to>
    <xdr:pic>
      <xdr:nvPicPr>
        <xdr:cNvPr id="7" name="図 6">
          <a:extLst>
            <a:ext uri="{FF2B5EF4-FFF2-40B4-BE49-F238E27FC236}">
              <a16:creationId xmlns:a16="http://schemas.microsoft.com/office/drawing/2014/main" id="{D31BCBF1-9690-4F88-B8A7-9F0495DA6874}"/>
            </a:ext>
          </a:extLst>
        </xdr:cNvPr>
        <xdr:cNvPicPr>
          <a:picLocks noChangeAspect="1"/>
        </xdr:cNvPicPr>
      </xdr:nvPicPr>
      <xdr:blipFill>
        <a:blip xmlns:r="http://schemas.openxmlformats.org/officeDocument/2006/relationships" r:embed="rId6"/>
        <a:stretch>
          <a:fillRect/>
        </a:stretch>
      </xdr:blipFill>
      <xdr:spPr>
        <a:xfrm>
          <a:off x="10969625" y="3657600"/>
          <a:ext cx="1146175" cy="342900"/>
        </a:xfrm>
        <a:prstGeom prst="rect">
          <a:avLst/>
        </a:prstGeom>
      </xdr:spPr>
    </xdr:pic>
    <xdr:clientData/>
  </xdr:twoCellAnchor>
  <xdr:twoCellAnchor editAs="oneCell">
    <xdr:from>
      <xdr:col>16</xdr:col>
      <xdr:colOff>161925</xdr:colOff>
      <xdr:row>21</xdr:row>
      <xdr:rowOff>57150</xdr:rowOff>
    </xdr:from>
    <xdr:to>
      <xdr:col>18</xdr:col>
      <xdr:colOff>304800</xdr:colOff>
      <xdr:row>23</xdr:row>
      <xdr:rowOff>19050</xdr:rowOff>
    </xdr:to>
    <xdr:pic>
      <xdr:nvPicPr>
        <xdr:cNvPr id="8" name="図 7">
          <a:extLst>
            <a:ext uri="{FF2B5EF4-FFF2-40B4-BE49-F238E27FC236}">
              <a16:creationId xmlns:a16="http://schemas.microsoft.com/office/drawing/2014/main" id="{0C92F0F7-D6C4-480E-A503-B545DF04A1B5}"/>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10969625" y="4057650"/>
          <a:ext cx="1146175" cy="3429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4</xdr:col>
      <xdr:colOff>38100</xdr:colOff>
      <xdr:row>48</xdr:row>
      <xdr:rowOff>47625</xdr:rowOff>
    </xdr:from>
    <xdr:to>
      <xdr:col>6</xdr:col>
      <xdr:colOff>428625</xdr:colOff>
      <xdr:row>53</xdr:row>
      <xdr:rowOff>19050</xdr:rowOff>
    </xdr:to>
    <xdr:pic>
      <xdr:nvPicPr>
        <xdr:cNvPr id="9" name="図 8">
          <a:extLst>
            <a:ext uri="{FF2B5EF4-FFF2-40B4-BE49-F238E27FC236}">
              <a16:creationId xmlns:a16="http://schemas.microsoft.com/office/drawing/2014/main" id="{FAAD0E37-62D3-4B34-8FCF-150EDEBDCFAA}"/>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2844800" y="9191625"/>
          <a:ext cx="1393825" cy="9239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04AF4-37CA-4500-97E2-9713E6007440}">
  <dimension ref="A1:A18"/>
  <sheetViews>
    <sheetView showGridLines="0" tabSelected="1" workbookViewId="0"/>
  </sheetViews>
  <sheetFormatPr defaultRowHeight="14.25" x14ac:dyDescent="0.4"/>
  <cols>
    <col min="1" max="1" width="87.625" style="154" customWidth="1"/>
    <col min="2" max="16384" width="9" style="154"/>
  </cols>
  <sheetData>
    <row r="1" spans="1:1" ht="18" x14ac:dyDescent="0.4">
      <c r="A1" s="269" t="s">
        <v>134</v>
      </c>
    </row>
    <row r="2" spans="1:1" x14ac:dyDescent="0.4">
      <c r="A2" s="270"/>
    </row>
    <row r="3" spans="1:1" ht="18" x14ac:dyDescent="0.4">
      <c r="A3" s="269" t="s">
        <v>135</v>
      </c>
    </row>
    <row r="4" spans="1:1" ht="18" x14ac:dyDescent="0.4">
      <c r="A4" s="269" t="s">
        <v>136</v>
      </c>
    </row>
    <row r="5" spans="1:1" x14ac:dyDescent="0.4">
      <c r="A5" s="270"/>
    </row>
    <row r="6" spans="1:1" ht="18" x14ac:dyDescent="0.4">
      <c r="A6" s="271" t="s">
        <v>137</v>
      </c>
    </row>
    <row r="7" spans="1:1" x14ac:dyDescent="0.4">
      <c r="A7" s="270"/>
    </row>
    <row r="8" spans="1:1" ht="48" x14ac:dyDescent="0.4">
      <c r="A8" s="155" t="s">
        <v>143</v>
      </c>
    </row>
    <row r="9" spans="1:1" x14ac:dyDescent="0.4">
      <c r="A9" s="270"/>
    </row>
    <row r="10" spans="1:1" x14ac:dyDescent="0.4">
      <c r="A10" s="272" t="s">
        <v>138</v>
      </c>
    </row>
    <row r="11" spans="1:1" x14ac:dyDescent="0.4">
      <c r="A11" s="272"/>
    </row>
    <row r="12" spans="1:1" ht="15" x14ac:dyDescent="0.4">
      <c r="A12" s="273" t="s">
        <v>139</v>
      </c>
    </row>
    <row r="13" spans="1:1" x14ac:dyDescent="0.4">
      <c r="A13" s="268"/>
    </row>
    <row r="14" spans="1:1" ht="94.5" x14ac:dyDescent="0.4">
      <c r="A14" s="147" t="s">
        <v>142</v>
      </c>
    </row>
    <row r="15" spans="1:1" x14ac:dyDescent="0.4">
      <c r="A15" s="268"/>
    </row>
    <row r="16" spans="1:1" ht="60" x14ac:dyDescent="0.4">
      <c r="A16" s="147" t="s">
        <v>140</v>
      </c>
    </row>
    <row r="17" spans="1:1" ht="15" x14ac:dyDescent="0.4">
      <c r="A17" s="147"/>
    </row>
    <row r="18" spans="1:1" x14ac:dyDescent="0.4">
      <c r="A18" s="154" t="s">
        <v>141</v>
      </c>
    </row>
  </sheetData>
  <phoneticPr fontId="1"/>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ADD2F-F14C-4025-868A-4B6545F2AE8D}">
  <dimension ref="A1:B23"/>
  <sheetViews>
    <sheetView zoomScaleNormal="100" workbookViewId="0"/>
  </sheetViews>
  <sheetFormatPr defaultColWidth="8.625" defaultRowHeight="15" customHeight="1" x14ac:dyDescent="0.4"/>
  <cols>
    <col min="1" max="1" width="3.125" style="143" customWidth="1"/>
    <col min="2" max="2" width="75.625" style="143" customWidth="1"/>
    <col min="3" max="16384" width="8.625" style="143"/>
  </cols>
  <sheetData>
    <row r="1" spans="1:2" ht="15" customHeight="1" x14ac:dyDescent="0.4">
      <c r="A1" s="142"/>
      <c r="B1" s="142"/>
    </row>
    <row r="2" spans="1:2" ht="15" customHeight="1" x14ac:dyDescent="0.4">
      <c r="A2" s="142"/>
      <c r="B2" s="144" t="s">
        <v>115</v>
      </c>
    </row>
    <row r="3" spans="1:2" ht="15" customHeight="1" x14ac:dyDescent="0.4">
      <c r="A3" s="142"/>
      <c r="B3" s="142"/>
    </row>
    <row r="4" spans="1:2" ht="15" customHeight="1" x14ac:dyDescent="0.4">
      <c r="A4" s="142"/>
      <c r="B4" s="146" t="s">
        <v>116</v>
      </c>
    </row>
    <row r="5" spans="1:2" ht="15" customHeight="1" x14ac:dyDescent="0.4">
      <c r="A5" s="142"/>
      <c r="B5" s="140"/>
    </row>
    <row r="6" spans="1:2" ht="45" customHeight="1" x14ac:dyDescent="0.4">
      <c r="A6" s="145">
        <v>1</v>
      </c>
      <c r="B6" s="140" t="s">
        <v>117</v>
      </c>
    </row>
    <row r="7" spans="1:2" ht="15" customHeight="1" x14ac:dyDescent="0.4">
      <c r="A7" s="145"/>
      <c r="B7" s="140"/>
    </row>
    <row r="8" spans="1:2" ht="60" customHeight="1" x14ac:dyDescent="0.4">
      <c r="A8" s="145">
        <v>2</v>
      </c>
      <c r="B8" s="140" t="s">
        <v>120</v>
      </c>
    </row>
    <row r="9" spans="1:2" ht="15" customHeight="1" x14ac:dyDescent="0.4">
      <c r="A9" s="142"/>
      <c r="B9" s="147"/>
    </row>
    <row r="10" spans="1:2" ht="45" customHeight="1" x14ac:dyDescent="0.4">
      <c r="A10" s="142"/>
      <c r="B10" s="140" t="s">
        <v>121</v>
      </c>
    </row>
    <row r="11" spans="1:2" ht="15" customHeight="1" x14ac:dyDescent="0.4">
      <c r="A11" s="142"/>
      <c r="B11" s="140"/>
    </row>
    <row r="12" spans="1:2" ht="30" customHeight="1" x14ac:dyDescent="0.4">
      <c r="A12" s="145">
        <v>3</v>
      </c>
      <c r="B12" s="140" t="s">
        <v>124</v>
      </c>
    </row>
    <row r="13" spans="1:2" ht="15" customHeight="1" x14ac:dyDescent="0.4">
      <c r="A13" s="145"/>
      <c r="B13" s="140"/>
    </row>
    <row r="14" spans="1:2" ht="15" customHeight="1" x14ac:dyDescent="0.4">
      <c r="A14" s="145">
        <v>4</v>
      </c>
      <c r="B14" s="140" t="s">
        <v>118</v>
      </c>
    </row>
    <row r="15" spans="1:2" ht="15" customHeight="1" x14ac:dyDescent="0.4">
      <c r="A15" s="145"/>
      <c r="B15" s="140"/>
    </row>
    <row r="16" spans="1:2" ht="30" customHeight="1" x14ac:dyDescent="0.4">
      <c r="A16" s="145">
        <v>5</v>
      </c>
      <c r="B16" s="140" t="s">
        <v>119</v>
      </c>
    </row>
    <row r="17" spans="1:2" ht="15" customHeight="1" x14ac:dyDescent="0.4">
      <c r="A17" s="145"/>
      <c r="B17" s="140"/>
    </row>
    <row r="18" spans="1:2" ht="45" customHeight="1" x14ac:dyDescent="0.4">
      <c r="A18" s="145">
        <v>6</v>
      </c>
      <c r="B18" s="140" t="s">
        <v>126</v>
      </c>
    </row>
    <row r="19" spans="1:2" ht="15" customHeight="1" x14ac:dyDescent="0.4">
      <c r="A19" s="145"/>
      <c r="B19" s="140"/>
    </row>
    <row r="20" spans="1:2" ht="30" customHeight="1" x14ac:dyDescent="0.4">
      <c r="A20" s="145">
        <v>7</v>
      </c>
      <c r="B20" s="140" t="s">
        <v>132</v>
      </c>
    </row>
    <row r="21" spans="1:2" ht="15" customHeight="1" x14ac:dyDescent="0.4">
      <c r="A21" s="142"/>
      <c r="B21" s="142"/>
    </row>
    <row r="22" spans="1:2" ht="15" customHeight="1" x14ac:dyDescent="0.4">
      <c r="A22" s="142"/>
      <c r="B22" s="142"/>
    </row>
    <row r="23" spans="1:2" ht="15" customHeight="1" x14ac:dyDescent="0.4">
      <c r="A23" s="142"/>
      <c r="B23" s="142"/>
    </row>
  </sheetData>
  <phoneticPr fontId="1"/>
  <pageMargins left="0.7" right="0.7" top="0.75" bottom="0.75" header="0.3" footer="0.3"/>
  <pageSetup paperSize="9" orientation="portrait"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ABC0DA-1B27-460C-8039-85A35EFFE586}">
  <dimension ref="A1:AA63"/>
  <sheetViews>
    <sheetView zoomScaleNormal="100" workbookViewId="0"/>
  </sheetViews>
  <sheetFormatPr defaultColWidth="9.625" defaultRowHeight="15" customHeight="1" x14ac:dyDescent="0.4"/>
  <cols>
    <col min="1" max="1" width="4.125" style="1" customWidth="1"/>
    <col min="2" max="2" width="8.625" style="1" customWidth="1"/>
    <col min="3" max="3" width="17.625" style="1" customWidth="1"/>
    <col min="4" max="7" width="6.625" style="2" customWidth="1"/>
    <col min="8" max="8" width="8.625" style="1" customWidth="1"/>
    <col min="9" max="9" width="17.625" style="1" customWidth="1"/>
    <col min="10" max="13" width="6.625" style="2" customWidth="1"/>
    <col min="14" max="14" width="8.625" style="1" customWidth="1"/>
    <col min="15" max="15" width="17.625" style="1" customWidth="1"/>
    <col min="16" max="19" width="6.625" style="2" customWidth="1"/>
    <col min="20" max="20" width="8.625" style="1" customWidth="1"/>
    <col min="21" max="21" width="17.625" style="1" customWidth="1"/>
    <col min="22" max="22" width="6.625" style="3" customWidth="1"/>
    <col min="23" max="23" width="9.625" style="1"/>
    <col min="24" max="24" width="17.625" style="1" customWidth="1"/>
    <col min="25" max="26" width="6.625" style="1" customWidth="1"/>
    <col min="27" max="27" width="3.375" style="1" customWidth="1"/>
    <col min="28" max="16384" width="9.625" style="1"/>
  </cols>
  <sheetData>
    <row r="1" spans="1:27" ht="15" customHeight="1" thickBot="1" x14ac:dyDescent="0.45">
      <c r="A1" s="114"/>
      <c r="B1" s="114"/>
      <c r="C1" s="114"/>
      <c r="D1" s="115"/>
      <c r="E1" s="115"/>
      <c r="F1" s="115"/>
      <c r="G1" s="115"/>
      <c r="H1" s="114"/>
      <c r="I1" s="114"/>
      <c r="J1" s="115"/>
      <c r="K1" s="115"/>
      <c r="L1" s="115"/>
      <c r="M1" s="115"/>
      <c r="N1" s="114"/>
      <c r="O1" s="114"/>
      <c r="P1" s="115"/>
      <c r="Q1" s="115"/>
      <c r="R1" s="115"/>
      <c r="S1" s="115"/>
      <c r="T1" s="114"/>
      <c r="U1" s="114"/>
      <c r="V1" s="116"/>
      <c r="W1" s="114"/>
      <c r="X1" s="114"/>
      <c r="Y1" s="114"/>
      <c r="Z1" s="114"/>
      <c r="AA1" s="114"/>
    </row>
    <row r="2" spans="1:27" ht="15" customHeight="1" x14ac:dyDescent="0.4">
      <c r="A2" s="114"/>
      <c r="B2" s="114"/>
      <c r="C2" s="114"/>
      <c r="D2" s="117" t="s">
        <v>109</v>
      </c>
      <c r="E2" s="118" t="s">
        <v>110</v>
      </c>
      <c r="F2" s="119" t="s">
        <v>111</v>
      </c>
      <c r="G2" s="120" t="s">
        <v>112</v>
      </c>
      <c r="H2" s="120" t="s">
        <v>127</v>
      </c>
      <c r="I2" s="120" t="s">
        <v>114</v>
      </c>
      <c r="J2" s="156" t="s">
        <v>125</v>
      </c>
      <c r="K2" s="157"/>
      <c r="L2" s="156" t="s">
        <v>69</v>
      </c>
      <c r="M2" s="157"/>
      <c r="N2" s="156" t="s">
        <v>129</v>
      </c>
      <c r="O2" s="171"/>
      <c r="P2" s="171"/>
      <c r="Q2" s="151">
        <f>D59</f>
        <v>284.20222802488206</v>
      </c>
      <c r="R2" s="115"/>
      <c r="S2" s="115"/>
      <c r="T2" s="114"/>
      <c r="U2" s="114"/>
      <c r="V2" s="116"/>
      <c r="W2" s="114"/>
      <c r="X2" s="114"/>
      <c r="Y2" s="114"/>
      <c r="Z2" s="114"/>
      <c r="AA2" s="114"/>
    </row>
    <row r="3" spans="1:27" ht="15" customHeight="1" thickBot="1" x14ac:dyDescent="0.45">
      <c r="A3" s="114"/>
      <c r="B3" s="114"/>
      <c r="C3" s="114"/>
      <c r="D3" s="121">
        <v>4</v>
      </c>
      <c r="E3" s="122">
        <v>1.05</v>
      </c>
      <c r="F3" s="123">
        <v>2.5</v>
      </c>
      <c r="G3" s="124">
        <v>7</v>
      </c>
      <c r="H3" s="125">
        <v>3.75</v>
      </c>
      <c r="I3" s="141">
        <f>D56</f>
        <v>1.0886400000000001</v>
      </c>
      <c r="J3" s="158">
        <v>3.4</v>
      </c>
      <c r="K3" s="159"/>
      <c r="L3" s="169">
        <f>D53</f>
        <v>4.8501061904477893E-3</v>
      </c>
      <c r="M3" s="170"/>
      <c r="N3" s="172" t="s">
        <v>128</v>
      </c>
      <c r="O3" s="173"/>
      <c r="P3" s="173"/>
      <c r="Q3" s="152">
        <f>D60</f>
        <v>629.17513586169696</v>
      </c>
      <c r="R3" s="115"/>
      <c r="S3" s="115"/>
      <c r="T3" s="114"/>
      <c r="U3" s="114"/>
      <c r="V3" s="116"/>
      <c r="W3" s="114"/>
      <c r="X3" s="114"/>
      <c r="Y3" s="114"/>
      <c r="Z3" s="114"/>
      <c r="AA3" s="114"/>
    </row>
    <row r="4" spans="1:27" ht="15" customHeight="1" thickBot="1" x14ac:dyDescent="0.45">
      <c r="A4" s="114"/>
      <c r="B4" s="114"/>
      <c r="C4" s="114"/>
      <c r="D4" s="115"/>
      <c r="E4" s="115"/>
      <c r="F4" s="115"/>
      <c r="G4" s="115"/>
      <c r="H4" s="114"/>
      <c r="I4" s="114"/>
      <c r="J4" s="115"/>
      <c r="K4" s="115"/>
      <c r="L4" s="115"/>
      <c r="M4" s="115"/>
      <c r="N4" s="114"/>
      <c r="O4" s="114"/>
      <c r="P4" s="115"/>
      <c r="Q4" s="115"/>
      <c r="R4" s="115"/>
      <c r="S4" s="115"/>
      <c r="T4" s="114"/>
      <c r="U4" s="114"/>
      <c r="V4" s="116"/>
      <c r="W4" s="114"/>
      <c r="X4" s="114"/>
      <c r="Y4" s="114"/>
      <c r="Z4" s="114"/>
      <c r="AA4" s="114"/>
    </row>
    <row r="5" spans="1:27" ht="15" customHeight="1" thickBot="1" x14ac:dyDescent="0.45">
      <c r="B5" s="160" t="s">
        <v>0</v>
      </c>
      <c r="C5" s="161"/>
      <c r="D5" s="161"/>
      <c r="E5" s="161"/>
      <c r="F5" s="161"/>
      <c r="G5" s="162"/>
      <c r="H5" s="163" t="s">
        <v>19</v>
      </c>
      <c r="I5" s="164"/>
      <c r="J5" s="164"/>
      <c r="K5" s="164"/>
      <c r="L5" s="164"/>
      <c r="M5" s="165"/>
      <c r="N5" s="166" t="s">
        <v>23</v>
      </c>
      <c r="O5" s="167"/>
      <c r="P5" s="167"/>
      <c r="Q5" s="167"/>
      <c r="R5" s="167"/>
      <c r="S5" s="168"/>
      <c r="T5" s="174" t="s">
        <v>82</v>
      </c>
      <c r="U5" s="175"/>
      <c r="V5" s="176"/>
      <c r="W5" s="177" t="s">
        <v>28</v>
      </c>
      <c r="X5" s="178"/>
      <c r="Y5" s="178"/>
      <c r="Z5" s="179"/>
      <c r="AA5" s="114"/>
    </row>
    <row r="6" spans="1:27" ht="15" customHeight="1" x14ac:dyDescent="0.4">
      <c r="A6" s="114"/>
      <c r="B6" s="200" t="s">
        <v>3</v>
      </c>
      <c r="C6" s="13" t="s">
        <v>14</v>
      </c>
      <c r="D6" s="66" t="s">
        <v>77</v>
      </c>
      <c r="E6" s="66" t="s">
        <v>4</v>
      </c>
      <c r="F6" s="66" t="s">
        <v>5</v>
      </c>
      <c r="G6" s="4" t="s">
        <v>12</v>
      </c>
      <c r="H6" s="201" t="s">
        <v>3</v>
      </c>
      <c r="I6" s="16" t="s">
        <v>14</v>
      </c>
      <c r="J6" s="66" t="s">
        <v>20</v>
      </c>
      <c r="K6" s="66" t="s">
        <v>21</v>
      </c>
      <c r="L6" s="66" t="s">
        <v>22</v>
      </c>
      <c r="M6" s="5" t="s">
        <v>12</v>
      </c>
      <c r="N6" s="202" t="s">
        <v>3</v>
      </c>
      <c r="O6" s="205" t="s">
        <v>14</v>
      </c>
      <c r="P6" s="67" t="s">
        <v>26</v>
      </c>
      <c r="Q6" s="67" t="s">
        <v>27</v>
      </c>
      <c r="R6" s="67" t="s">
        <v>51</v>
      </c>
      <c r="S6" s="207" t="s">
        <v>12</v>
      </c>
      <c r="T6" s="180" t="s">
        <v>70</v>
      </c>
      <c r="U6" s="43" t="s">
        <v>17</v>
      </c>
      <c r="V6" s="55">
        <v>6</v>
      </c>
      <c r="W6" s="28" t="s">
        <v>113</v>
      </c>
      <c r="X6" s="69" t="s">
        <v>95</v>
      </c>
      <c r="Y6" s="72" t="s">
        <v>63</v>
      </c>
      <c r="Z6" s="73" t="s">
        <v>30</v>
      </c>
      <c r="AA6" s="114"/>
    </row>
    <row r="7" spans="1:27" ht="15" customHeight="1" x14ac:dyDescent="0.4">
      <c r="A7" s="114"/>
      <c r="B7" s="198"/>
      <c r="C7" s="14" t="s">
        <v>49</v>
      </c>
      <c r="D7" s="80">
        <f>230*0.91</f>
        <v>209.3</v>
      </c>
      <c r="E7" s="80">
        <v>0</v>
      </c>
      <c r="F7" s="80">
        <v>0</v>
      </c>
      <c r="G7" s="25">
        <f>D7</f>
        <v>209.3</v>
      </c>
      <c r="H7" s="198"/>
      <c r="I7" s="16" t="s">
        <v>49</v>
      </c>
      <c r="J7" s="80">
        <v>362</v>
      </c>
      <c r="K7" s="80">
        <v>0</v>
      </c>
      <c r="L7" s="80">
        <v>0</v>
      </c>
      <c r="M7" s="25">
        <f>J7</f>
        <v>362</v>
      </c>
      <c r="N7" s="203"/>
      <c r="O7" s="206"/>
      <c r="P7" s="67" t="s">
        <v>24</v>
      </c>
      <c r="Q7" s="67" t="s">
        <v>108</v>
      </c>
      <c r="R7" s="78" t="s">
        <v>25</v>
      </c>
      <c r="S7" s="208"/>
      <c r="T7" s="181"/>
      <c r="U7" s="44" t="s">
        <v>9</v>
      </c>
      <c r="V7" s="40">
        <v>8</v>
      </c>
      <c r="W7" s="183" t="s">
        <v>61</v>
      </c>
      <c r="X7" s="68" t="s">
        <v>95</v>
      </c>
      <c r="Y7" s="62">
        <v>0</v>
      </c>
      <c r="Z7" s="61">
        <f>Y7*$Z$18/100</f>
        <v>0</v>
      </c>
      <c r="AA7" s="114"/>
    </row>
    <row r="8" spans="1:27" ht="15" customHeight="1" x14ac:dyDescent="0.4">
      <c r="A8" s="114"/>
      <c r="B8" s="198"/>
      <c r="C8" s="14" t="s">
        <v>11</v>
      </c>
      <c r="D8" s="81">
        <v>96</v>
      </c>
      <c r="E8" s="81">
        <v>2</v>
      </c>
      <c r="F8" s="81">
        <v>2</v>
      </c>
      <c r="G8" s="39">
        <f>SUM(D8:F8)</f>
        <v>100</v>
      </c>
      <c r="H8" s="198"/>
      <c r="I8" s="16" t="s">
        <v>11</v>
      </c>
      <c r="J8" s="81">
        <v>97.5</v>
      </c>
      <c r="K8" s="81">
        <v>1</v>
      </c>
      <c r="L8" s="81">
        <v>1.5</v>
      </c>
      <c r="M8" s="39">
        <f>SUM(J8:L8)</f>
        <v>100</v>
      </c>
      <c r="N8" s="203"/>
      <c r="O8" s="18" t="s">
        <v>43</v>
      </c>
      <c r="P8" s="58">
        <v>1.093</v>
      </c>
      <c r="Q8" s="58">
        <v>0</v>
      </c>
      <c r="R8" s="58">
        <v>0</v>
      </c>
      <c r="S8" s="8">
        <f>SUM(P8:R8)</f>
        <v>1.093</v>
      </c>
      <c r="T8" s="182"/>
      <c r="U8" s="44" t="s">
        <v>40</v>
      </c>
      <c r="V8" s="25">
        <f>V6*V7/100</f>
        <v>0.48</v>
      </c>
      <c r="W8" s="184"/>
      <c r="X8" s="68" t="s">
        <v>95</v>
      </c>
      <c r="Y8" s="62">
        <v>0</v>
      </c>
      <c r="Z8" s="61">
        <f t="shared" ref="Z8:Z15" si="0">Y8*$Z$18/100</f>
        <v>0</v>
      </c>
      <c r="AA8" s="114"/>
    </row>
    <row r="9" spans="1:27" ht="15" customHeight="1" x14ac:dyDescent="0.4">
      <c r="A9" s="114"/>
      <c r="B9" s="198"/>
      <c r="C9" s="14" t="s">
        <v>38</v>
      </c>
      <c r="D9" s="58">
        <v>4.7</v>
      </c>
      <c r="E9" s="58">
        <v>1.8</v>
      </c>
      <c r="F9" s="58">
        <v>1.78</v>
      </c>
      <c r="G9" s="9">
        <f>G10/G11</f>
        <v>4.4130162116541047</v>
      </c>
      <c r="H9" s="198"/>
      <c r="I9" s="16" t="s">
        <v>38</v>
      </c>
      <c r="J9" s="57">
        <v>2.2000000000000002</v>
      </c>
      <c r="K9" s="57">
        <v>1.6</v>
      </c>
      <c r="L9" s="57">
        <v>0.95</v>
      </c>
      <c r="M9" s="10">
        <f>M10/M11</f>
        <v>2.1495146879218363</v>
      </c>
      <c r="N9" s="203"/>
      <c r="O9" s="18" t="s">
        <v>38</v>
      </c>
      <c r="P9" s="57">
        <v>0.93</v>
      </c>
      <c r="Q9" s="57">
        <v>0</v>
      </c>
      <c r="R9" s="57">
        <v>0</v>
      </c>
      <c r="S9" s="10">
        <f>S10/S11</f>
        <v>0.93</v>
      </c>
      <c r="T9" s="185" t="s">
        <v>81</v>
      </c>
      <c r="U9" s="26" t="s">
        <v>36</v>
      </c>
      <c r="V9" s="45">
        <f>D24</f>
        <v>12</v>
      </c>
      <c r="W9" s="183" t="s">
        <v>60</v>
      </c>
      <c r="X9" s="68" t="s">
        <v>95</v>
      </c>
      <c r="Y9" s="62">
        <v>0</v>
      </c>
      <c r="Z9" s="61">
        <f t="shared" si="0"/>
        <v>0</v>
      </c>
      <c r="AA9" s="114"/>
    </row>
    <row r="10" spans="1:27" ht="15" customHeight="1" x14ac:dyDescent="0.4">
      <c r="A10" s="114"/>
      <c r="B10" s="198"/>
      <c r="C10" s="14" t="s">
        <v>10</v>
      </c>
      <c r="D10" s="36">
        <f>D43/G7</f>
        <v>0.74304825609173442</v>
      </c>
      <c r="E10" s="36">
        <f>G10*E8/100</f>
        <v>1.5480172001911131E-2</v>
      </c>
      <c r="F10" s="36">
        <f>G10*F8/100</f>
        <v>1.5480172001911131E-2</v>
      </c>
      <c r="G10" s="10">
        <f>D10/D8*100</f>
        <v>0.77400860009555661</v>
      </c>
      <c r="H10" s="198"/>
      <c r="I10" s="16" t="s">
        <v>10</v>
      </c>
      <c r="J10" s="36">
        <f>D43*D42/M7</f>
        <v>0.45109392265193377</v>
      </c>
      <c r="K10" s="36">
        <f>M10*K8/100</f>
        <v>4.6266043348916286E-3</v>
      </c>
      <c r="L10" s="36">
        <f>M10*L8/100</f>
        <v>6.9399065023374425E-3</v>
      </c>
      <c r="M10" s="10">
        <f>J10/J8*100</f>
        <v>0.46266043348916286</v>
      </c>
      <c r="N10" s="203"/>
      <c r="O10" s="18" t="s">
        <v>10</v>
      </c>
      <c r="P10" s="36">
        <f>P8*P16/1000</f>
        <v>5.0715199999999995E-2</v>
      </c>
      <c r="Q10" s="36">
        <f>Q8*P25/1000</f>
        <v>0</v>
      </c>
      <c r="R10" s="36">
        <f>R8*P25/1000</f>
        <v>0</v>
      </c>
      <c r="S10" s="10">
        <f>SUM(P10:R10)</f>
        <v>5.0715199999999995E-2</v>
      </c>
      <c r="T10" s="181"/>
      <c r="U10" s="44" t="s">
        <v>37</v>
      </c>
      <c r="V10" s="10">
        <f>V8*V9/10000</f>
        <v>5.7600000000000001E-4</v>
      </c>
      <c r="W10" s="184"/>
      <c r="X10" s="68" t="s">
        <v>95</v>
      </c>
      <c r="Y10" s="62">
        <v>0</v>
      </c>
      <c r="Z10" s="61">
        <f t="shared" si="0"/>
        <v>0</v>
      </c>
      <c r="AA10" s="114"/>
    </row>
    <row r="11" spans="1:27" ht="15" customHeight="1" x14ac:dyDescent="0.4">
      <c r="A11" s="114"/>
      <c r="B11" s="199"/>
      <c r="C11" s="14" t="s">
        <v>37</v>
      </c>
      <c r="D11" s="36">
        <f>D10/D9</f>
        <v>0.15809537363653922</v>
      </c>
      <c r="E11" s="36">
        <f t="shared" ref="E11:F11" si="1">E10/E9</f>
        <v>8.6000955566172942E-3</v>
      </c>
      <c r="F11" s="36">
        <f t="shared" si="1"/>
        <v>8.6967258437702991E-3</v>
      </c>
      <c r="G11" s="10">
        <f>SUM(D11:F11)</f>
        <v>0.1753921950369268</v>
      </c>
      <c r="H11" s="199"/>
      <c r="I11" s="16" t="s">
        <v>37</v>
      </c>
      <c r="J11" s="36">
        <f>J10/J9</f>
        <v>0.20504269211451534</v>
      </c>
      <c r="K11" s="36">
        <f>K10/K9</f>
        <v>2.8916277093072678E-3</v>
      </c>
      <c r="L11" s="36">
        <f>L10/L9</f>
        <v>7.3051647393025717E-3</v>
      </c>
      <c r="M11" s="10">
        <f>SUM(J11:L11)</f>
        <v>0.21523948456312517</v>
      </c>
      <c r="N11" s="204"/>
      <c r="O11" s="18" t="s">
        <v>37</v>
      </c>
      <c r="P11" s="36">
        <f>P10/P9</f>
        <v>5.4532473118279565E-2</v>
      </c>
      <c r="Q11" s="36">
        <f>Q10/(Q9+0.00001)</f>
        <v>0</v>
      </c>
      <c r="R11" s="36">
        <f>R10/(R9+0.00001)</f>
        <v>0</v>
      </c>
      <c r="S11" s="10">
        <f>SUM(P11:R11)</f>
        <v>5.4532473118279565E-2</v>
      </c>
      <c r="T11" s="182"/>
      <c r="U11" s="22" t="s">
        <v>10</v>
      </c>
      <c r="V11" s="10">
        <f>V10*D30</f>
        <v>1.5546239999999999E-3</v>
      </c>
      <c r="W11" s="184"/>
      <c r="X11" s="68" t="s">
        <v>95</v>
      </c>
      <c r="Y11" s="63">
        <v>0</v>
      </c>
      <c r="Z11" s="61">
        <f t="shared" si="0"/>
        <v>0</v>
      </c>
      <c r="AA11" s="114"/>
    </row>
    <row r="12" spans="1:27" ht="15" customHeight="1" x14ac:dyDescent="0.4">
      <c r="A12" s="114"/>
      <c r="B12" s="186" t="s">
        <v>2</v>
      </c>
      <c r="C12" s="14" t="s">
        <v>36</v>
      </c>
      <c r="D12" s="51">
        <v>66</v>
      </c>
      <c r="E12" s="189"/>
      <c r="F12" s="190"/>
      <c r="G12" s="191"/>
      <c r="H12" s="196" t="s">
        <v>2</v>
      </c>
      <c r="I12" s="16" t="s">
        <v>36</v>
      </c>
      <c r="J12" s="51">
        <v>68</v>
      </c>
      <c r="K12" s="189"/>
      <c r="L12" s="190"/>
      <c r="M12" s="191"/>
      <c r="N12" s="197" t="s">
        <v>26</v>
      </c>
      <c r="O12" s="18" t="s">
        <v>36</v>
      </c>
      <c r="P12" s="52">
        <v>20</v>
      </c>
      <c r="Q12" s="234"/>
      <c r="R12" s="190"/>
      <c r="S12" s="191"/>
      <c r="T12" s="185" t="s">
        <v>80</v>
      </c>
      <c r="U12" s="26" t="s">
        <v>36</v>
      </c>
      <c r="V12" s="25">
        <f>J24</f>
        <v>8</v>
      </c>
      <c r="W12" s="183" t="s">
        <v>62</v>
      </c>
      <c r="X12" s="68" t="s">
        <v>95</v>
      </c>
      <c r="Y12" s="63">
        <v>0</v>
      </c>
      <c r="Z12" s="61">
        <f t="shared" si="0"/>
        <v>0</v>
      </c>
      <c r="AA12" s="114"/>
    </row>
    <row r="13" spans="1:27" ht="15" customHeight="1" x14ac:dyDescent="0.4">
      <c r="A13" s="114"/>
      <c r="B13" s="187"/>
      <c r="C13" s="14" t="s">
        <v>7</v>
      </c>
      <c r="D13" s="54">
        <f>D25</f>
        <v>54</v>
      </c>
      <c r="E13" s="192"/>
      <c r="F13" s="192"/>
      <c r="G13" s="193"/>
      <c r="H13" s="187"/>
      <c r="I13" s="16" t="s">
        <v>7</v>
      </c>
      <c r="J13" s="54">
        <f>J25</f>
        <v>55.5</v>
      </c>
      <c r="K13" s="192"/>
      <c r="L13" s="192"/>
      <c r="M13" s="193"/>
      <c r="N13" s="198"/>
      <c r="O13" s="18" t="s">
        <v>52</v>
      </c>
      <c r="P13" s="52">
        <v>58</v>
      </c>
      <c r="Q13" s="235"/>
      <c r="R13" s="192"/>
      <c r="S13" s="193"/>
      <c r="T13" s="181"/>
      <c r="U13" s="44" t="s">
        <v>37</v>
      </c>
      <c r="V13" s="10">
        <f>V8*V12/10000</f>
        <v>3.8400000000000001E-4</v>
      </c>
      <c r="W13" s="184"/>
      <c r="X13" s="68" t="s">
        <v>95</v>
      </c>
      <c r="Y13" s="63">
        <v>0</v>
      </c>
      <c r="Z13" s="61">
        <f t="shared" si="0"/>
        <v>0</v>
      </c>
      <c r="AA13" s="114"/>
    </row>
    <row r="14" spans="1:27" ht="15" customHeight="1" thickBot="1" x14ac:dyDescent="0.45">
      <c r="A14" s="114"/>
      <c r="B14" s="187"/>
      <c r="C14" s="14" t="s">
        <v>8</v>
      </c>
      <c r="D14" s="54">
        <f>D25</f>
        <v>54</v>
      </c>
      <c r="E14" s="192"/>
      <c r="F14" s="192"/>
      <c r="G14" s="193"/>
      <c r="H14" s="187"/>
      <c r="I14" s="16" t="s">
        <v>8</v>
      </c>
      <c r="J14" s="54">
        <f>J25</f>
        <v>55.5</v>
      </c>
      <c r="K14" s="192"/>
      <c r="L14" s="192"/>
      <c r="M14" s="193"/>
      <c r="N14" s="198"/>
      <c r="O14" s="18" t="s">
        <v>53</v>
      </c>
      <c r="P14" s="52">
        <v>58</v>
      </c>
      <c r="Q14" s="235"/>
      <c r="R14" s="192"/>
      <c r="S14" s="193"/>
      <c r="T14" s="209"/>
      <c r="U14" s="27" t="s">
        <v>10</v>
      </c>
      <c r="V14" s="38">
        <f>V13*J30</f>
        <v>3.4406400000000005E-3</v>
      </c>
      <c r="W14" s="184"/>
      <c r="X14" s="68" t="s">
        <v>95</v>
      </c>
      <c r="Y14" s="63">
        <v>0</v>
      </c>
      <c r="Z14" s="61">
        <f t="shared" si="0"/>
        <v>0</v>
      </c>
      <c r="AA14" s="114"/>
    </row>
    <row r="15" spans="1:27" ht="15" customHeight="1" thickBot="1" x14ac:dyDescent="0.45">
      <c r="A15" s="114"/>
      <c r="B15" s="187"/>
      <c r="C15" s="14" t="s">
        <v>9</v>
      </c>
      <c r="D15" s="54">
        <f>D26</f>
        <v>36</v>
      </c>
      <c r="E15" s="192"/>
      <c r="F15" s="192"/>
      <c r="G15" s="193"/>
      <c r="H15" s="187"/>
      <c r="I15" s="16" t="s">
        <v>9</v>
      </c>
      <c r="J15" s="54">
        <f>J26</f>
        <v>37.5</v>
      </c>
      <c r="K15" s="192"/>
      <c r="L15" s="192"/>
      <c r="M15" s="193"/>
      <c r="N15" s="198"/>
      <c r="O15" s="18" t="s">
        <v>9</v>
      </c>
      <c r="P15" s="52">
        <v>40</v>
      </c>
      <c r="Q15" s="235"/>
      <c r="R15" s="192"/>
      <c r="S15" s="193"/>
      <c r="T15" s="210" t="s">
        <v>79</v>
      </c>
      <c r="U15" s="26" t="s">
        <v>17</v>
      </c>
      <c r="V15" s="42">
        <v>20</v>
      </c>
      <c r="W15" s="211" t="s">
        <v>12</v>
      </c>
      <c r="X15" s="212"/>
      <c r="Y15" s="70">
        <f>SUM(Y7:Y14)</f>
        <v>0</v>
      </c>
      <c r="Z15" s="61">
        <f t="shared" si="0"/>
        <v>0</v>
      </c>
      <c r="AA15" s="114"/>
    </row>
    <row r="16" spans="1:27" ht="15" customHeight="1" x14ac:dyDescent="0.4">
      <c r="A16" s="114"/>
      <c r="B16" s="187"/>
      <c r="C16" s="14" t="s">
        <v>41</v>
      </c>
      <c r="D16" s="53">
        <f>(D13+D14)*D15/100</f>
        <v>38.880000000000003</v>
      </c>
      <c r="E16" s="192"/>
      <c r="F16" s="192"/>
      <c r="G16" s="193"/>
      <c r="H16" s="187"/>
      <c r="I16" s="16" t="s">
        <v>41</v>
      </c>
      <c r="J16" s="11">
        <f>(J13+J14)*J15/100</f>
        <v>41.625</v>
      </c>
      <c r="K16" s="192"/>
      <c r="L16" s="192"/>
      <c r="M16" s="193"/>
      <c r="N16" s="198"/>
      <c r="O16" s="18" t="s">
        <v>40</v>
      </c>
      <c r="P16" s="53">
        <f>(P13+P14)*P15/100</f>
        <v>46.4</v>
      </c>
      <c r="Q16" s="235"/>
      <c r="R16" s="192"/>
      <c r="S16" s="193"/>
      <c r="T16" s="198"/>
      <c r="U16" s="22" t="s">
        <v>9</v>
      </c>
      <c r="V16" s="40">
        <v>5</v>
      </c>
      <c r="W16" s="213" t="s">
        <v>39</v>
      </c>
      <c r="X16" s="214"/>
      <c r="Y16" s="215"/>
      <c r="Z16" s="82">
        <v>1.1000000000000001</v>
      </c>
      <c r="AA16" s="114"/>
    </row>
    <row r="17" spans="1:27" ht="15" customHeight="1" x14ac:dyDescent="0.4">
      <c r="A17" s="114"/>
      <c r="B17" s="187"/>
      <c r="C17" s="14" t="s">
        <v>42</v>
      </c>
      <c r="D17" s="36">
        <f>D12*D16/10000</f>
        <v>0.25660800000000006</v>
      </c>
      <c r="E17" s="192"/>
      <c r="F17" s="192"/>
      <c r="G17" s="193"/>
      <c r="H17" s="187"/>
      <c r="I17" s="16" t="s">
        <v>42</v>
      </c>
      <c r="J17" s="36">
        <f>J12*J16/10000</f>
        <v>0.28305000000000002</v>
      </c>
      <c r="K17" s="192"/>
      <c r="L17" s="192"/>
      <c r="M17" s="193"/>
      <c r="N17" s="198"/>
      <c r="O17" s="18" t="s">
        <v>37</v>
      </c>
      <c r="P17" s="36">
        <f>P12*P16/10000</f>
        <v>9.2799999999999994E-2</v>
      </c>
      <c r="Q17" s="235"/>
      <c r="R17" s="192"/>
      <c r="S17" s="193"/>
      <c r="T17" s="199"/>
      <c r="U17" s="22" t="s">
        <v>40</v>
      </c>
      <c r="V17" s="25">
        <f>V15*V16/100</f>
        <v>1</v>
      </c>
      <c r="W17" s="216" t="s">
        <v>58</v>
      </c>
      <c r="X17" s="217"/>
      <c r="Y17" s="218"/>
      <c r="Z17" s="107">
        <f>F3</f>
        <v>2.5</v>
      </c>
      <c r="AA17" s="114"/>
    </row>
    <row r="18" spans="1:27" ht="15" customHeight="1" x14ac:dyDescent="0.4">
      <c r="A18" s="114"/>
      <c r="B18" s="187"/>
      <c r="C18" s="14" t="s">
        <v>18</v>
      </c>
      <c r="D18" s="36">
        <f>G10</f>
        <v>0.77400860009555661</v>
      </c>
      <c r="E18" s="192"/>
      <c r="F18" s="192"/>
      <c r="G18" s="193"/>
      <c r="H18" s="187"/>
      <c r="I18" s="16" t="s">
        <v>18</v>
      </c>
      <c r="J18" s="36">
        <f>M10</f>
        <v>0.46266043348916286</v>
      </c>
      <c r="K18" s="192"/>
      <c r="L18" s="192"/>
      <c r="M18" s="193"/>
      <c r="N18" s="198"/>
      <c r="O18" s="18" t="s">
        <v>10</v>
      </c>
      <c r="P18" s="36">
        <f>P10</f>
        <v>5.0715199999999995E-2</v>
      </c>
      <c r="Q18" s="235"/>
      <c r="R18" s="192"/>
      <c r="S18" s="193"/>
      <c r="T18" s="210" t="s">
        <v>57</v>
      </c>
      <c r="U18" s="26" t="s">
        <v>36</v>
      </c>
      <c r="V18" s="6">
        <v>100</v>
      </c>
      <c r="W18" s="183" t="s">
        <v>10</v>
      </c>
      <c r="X18" s="239"/>
      <c r="Y18" s="240"/>
      <c r="Z18" s="61">
        <f>Z17*D43/1000</f>
        <v>0.38880000000000003</v>
      </c>
      <c r="AA18" s="114"/>
    </row>
    <row r="19" spans="1:27" ht="15" customHeight="1" thickBot="1" x14ac:dyDescent="0.45">
      <c r="A19" s="114"/>
      <c r="B19" s="187"/>
      <c r="C19" s="14" t="s">
        <v>39</v>
      </c>
      <c r="D19" s="59">
        <f>D18/D17</f>
        <v>3.0163073641334504</v>
      </c>
      <c r="E19" s="192"/>
      <c r="F19" s="192"/>
      <c r="G19" s="193"/>
      <c r="H19" s="187"/>
      <c r="I19" s="16" t="s">
        <v>39</v>
      </c>
      <c r="J19" s="59">
        <f>J18/J17</f>
        <v>1.634553730751326</v>
      </c>
      <c r="K19" s="192"/>
      <c r="L19" s="192"/>
      <c r="M19" s="193"/>
      <c r="N19" s="199"/>
      <c r="O19" s="18" t="s">
        <v>39</v>
      </c>
      <c r="P19" s="59">
        <f>P18/P17</f>
        <v>0.54649999999999999</v>
      </c>
      <c r="Q19" s="235"/>
      <c r="R19" s="192"/>
      <c r="S19" s="193"/>
      <c r="T19" s="198"/>
      <c r="U19" s="22" t="s">
        <v>37</v>
      </c>
      <c r="V19" s="10">
        <f>V17*V18/10000</f>
        <v>0.01</v>
      </c>
      <c r="W19" s="225" t="s">
        <v>37</v>
      </c>
      <c r="X19" s="241"/>
      <c r="Y19" s="242"/>
      <c r="Z19" s="71">
        <f>Z18/Z16</f>
        <v>0.35345454545454547</v>
      </c>
      <c r="AA19" s="114"/>
    </row>
    <row r="20" spans="1:27" ht="15" customHeight="1" thickBot="1" x14ac:dyDescent="0.45">
      <c r="A20" s="114"/>
      <c r="B20" s="187"/>
      <c r="C20" s="14" t="s">
        <v>75</v>
      </c>
      <c r="D20" s="59">
        <f>D10/D16*1000</f>
        <v>19.111323459149549</v>
      </c>
      <c r="E20" s="192"/>
      <c r="F20" s="192"/>
      <c r="G20" s="193"/>
      <c r="H20" s="187"/>
      <c r="I20" s="16" t="s">
        <v>75</v>
      </c>
      <c r="J20" s="59">
        <f>J10/J16*1000</f>
        <v>10.837091234881292</v>
      </c>
      <c r="K20" s="192"/>
      <c r="L20" s="192"/>
      <c r="M20" s="193"/>
      <c r="N20" s="231" t="s">
        <v>15</v>
      </c>
      <c r="O20" s="18" t="s">
        <v>37</v>
      </c>
      <c r="P20" s="59">
        <f>P17-P11</f>
        <v>3.8267526881720429E-2</v>
      </c>
      <c r="Q20" s="235"/>
      <c r="R20" s="192"/>
      <c r="S20" s="193"/>
      <c r="T20" s="198"/>
      <c r="U20" s="22" t="s">
        <v>10</v>
      </c>
      <c r="V20" s="10">
        <f>V19*V21</f>
        <v>2.699E-2</v>
      </c>
      <c r="W20" s="243" t="s">
        <v>101</v>
      </c>
      <c r="X20" s="244"/>
      <c r="Y20" s="245"/>
      <c r="Z20" s="246"/>
      <c r="AA20" s="114"/>
    </row>
    <row r="21" spans="1:27" ht="15" customHeight="1" thickBot="1" x14ac:dyDescent="0.45">
      <c r="A21" s="114"/>
      <c r="B21" s="188"/>
      <c r="C21" s="14" t="s">
        <v>47</v>
      </c>
      <c r="D21" s="108">
        <f>D3</f>
        <v>4</v>
      </c>
      <c r="E21" s="192"/>
      <c r="F21" s="192"/>
      <c r="G21" s="193"/>
      <c r="H21" s="188"/>
      <c r="I21" s="16" t="s">
        <v>47</v>
      </c>
      <c r="J21" s="59">
        <f>D43*D42/J16</f>
        <v>3.9230270270270275</v>
      </c>
      <c r="K21" s="192"/>
      <c r="L21" s="192"/>
      <c r="M21" s="193"/>
      <c r="N21" s="233"/>
      <c r="O21" s="19" t="s">
        <v>16</v>
      </c>
      <c r="P21" s="136">
        <f>P20/P17*100</f>
        <v>41.236559139784944</v>
      </c>
      <c r="Q21" s="235"/>
      <c r="R21" s="192"/>
      <c r="S21" s="193"/>
      <c r="T21" s="199"/>
      <c r="U21" s="22" t="s">
        <v>39</v>
      </c>
      <c r="V21" s="64">
        <v>2.6989999999999998</v>
      </c>
      <c r="W21" s="75" t="s">
        <v>28</v>
      </c>
      <c r="X21" s="76" t="s">
        <v>102</v>
      </c>
      <c r="Y21" s="77" t="s">
        <v>103</v>
      </c>
      <c r="Z21" s="74" t="s">
        <v>30</v>
      </c>
      <c r="AA21" s="114"/>
    </row>
    <row r="22" spans="1:27" ht="15" customHeight="1" x14ac:dyDescent="0.4">
      <c r="A22" s="114"/>
      <c r="B22" s="237" t="s">
        <v>15</v>
      </c>
      <c r="C22" s="13" t="s">
        <v>37</v>
      </c>
      <c r="D22" s="37">
        <f>D17-G11</f>
        <v>8.1215804963073263E-2</v>
      </c>
      <c r="E22" s="192"/>
      <c r="F22" s="192"/>
      <c r="G22" s="193"/>
      <c r="H22" s="238" t="s">
        <v>15</v>
      </c>
      <c r="I22" s="49" t="s">
        <v>37</v>
      </c>
      <c r="J22" s="37">
        <f>J17-M11</f>
        <v>6.7810515436874857E-2</v>
      </c>
      <c r="K22" s="192"/>
      <c r="L22" s="192"/>
      <c r="M22" s="193"/>
      <c r="N22" s="204" t="s">
        <v>54</v>
      </c>
      <c r="O22" s="134" t="s">
        <v>44</v>
      </c>
      <c r="P22" s="135">
        <v>0</v>
      </c>
      <c r="Q22" s="235"/>
      <c r="R22" s="192"/>
      <c r="S22" s="193"/>
      <c r="T22" s="219" t="s">
        <v>78</v>
      </c>
      <c r="U22" s="22" t="s">
        <v>36</v>
      </c>
      <c r="V22" s="7">
        <v>100</v>
      </c>
      <c r="W22" s="183" t="s">
        <v>45</v>
      </c>
      <c r="X22" s="20" t="s">
        <v>0</v>
      </c>
      <c r="Y22" s="36">
        <f>D22</f>
        <v>8.1215804963073263E-2</v>
      </c>
      <c r="Z22" s="10">
        <f>Y22*$Z$16</f>
        <v>8.9337385459380594E-2</v>
      </c>
      <c r="AA22" s="114"/>
    </row>
    <row r="23" spans="1:27" ht="15" customHeight="1" x14ac:dyDescent="0.4">
      <c r="A23" s="114"/>
      <c r="B23" s="188"/>
      <c r="C23" s="14" t="s">
        <v>16</v>
      </c>
      <c r="D23" s="60">
        <f>D22/D17*100</f>
        <v>31.649755644045879</v>
      </c>
      <c r="E23" s="192"/>
      <c r="F23" s="192"/>
      <c r="G23" s="193"/>
      <c r="H23" s="188"/>
      <c r="I23" s="16" t="s">
        <v>16</v>
      </c>
      <c r="J23" s="60">
        <f>J22/J17*100</f>
        <v>23.957080175543137</v>
      </c>
      <c r="K23" s="192"/>
      <c r="L23" s="192"/>
      <c r="M23" s="193"/>
      <c r="N23" s="231"/>
      <c r="O23" s="18" t="s">
        <v>55</v>
      </c>
      <c r="P23" s="54">
        <f>P13+P14</f>
        <v>116</v>
      </c>
      <c r="Q23" s="235"/>
      <c r="R23" s="192"/>
      <c r="S23" s="193"/>
      <c r="T23" s="198"/>
      <c r="U23" s="22" t="s">
        <v>37</v>
      </c>
      <c r="V23" s="10">
        <f>V17*V22/10000</f>
        <v>0.01</v>
      </c>
      <c r="W23" s="183"/>
      <c r="X23" s="20" t="s">
        <v>19</v>
      </c>
      <c r="Y23" s="36">
        <f>J22</f>
        <v>6.7810515436874857E-2</v>
      </c>
      <c r="Z23" s="10">
        <f t="shared" ref="Z23:Z25" si="2">Y23*$Z$16</f>
        <v>7.4591566980562352E-2</v>
      </c>
      <c r="AA23" s="114"/>
    </row>
    <row r="24" spans="1:27" ht="15" customHeight="1" x14ac:dyDescent="0.4">
      <c r="A24" s="114"/>
      <c r="B24" s="220" t="s">
        <v>104</v>
      </c>
      <c r="C24" s="14" t="s">
        <v>36</v>
      </c>
      <c r="D24" s="51">
        <v>12</v>
      </c>
      <c r="E24" s="192"/>
      <c r="F24" s="192"/>
      <c r="G24" s="193"/>
      <c r="H24" s="221" t="s">
        <v>105</v>
      </c>
      <c r="I24" s="16" t="s">
        <v>36</v>
      </c>
      <c r="J24" s="51">
        <v>8</v>
      </c>
      <c r="K24" s="192"/>
      <c r="L24" s="192"/>
      <c r="M24" s="193"/>
      <c r="N24" s="231"/>
      <c r="O24" s="18" t="s">
        <v>9</v>
      </c>
      <c r="P24" s="54">
        <f>P15</f>
        <v>40</v>
      </c>
      <c r="Q24" s="235"/>
      <c r="R24" s="192"/>
      <c r="S24" s="193"/>
      <c r="T24" s="198"/>
      <c r="U24" s="22" t="s">
        <v>10</v>
      </c>
      <c r="V24" s="10">
        <f>V23*V25</f>
        <v>8.9019999999999988E-2</v>
      </c>
      <c r="W24" s="183"/>
      <c r="X24" s="20" t="s">
        <v>26</v>
      </c>
      <c r="Y24" s="36">
        <f>P20</f>
        <v>3.8267526881720429E-2</v>
      </c>
      <c r="Z24" s="10">
        <f t="shared" si="2"/>
        <v>4.2094279569892472E-2</v>
      </c>
      <c r="AA24" s="114"/>
    </row>
    <row r="25" spans="1:27" ht="15" customHeight="1" thickBot="1" x14ac:dyDescent="0.45">
      <c r="A25" s="114"/>
      <c r="B25" s="220"/>
      <c r="C25" s="14" t="s">
        <v>17</v>
      </c>
      <c r="D25" s="52">
        <v>54</v>
      </c>
      <c r="E25" s="192"/>
      <c r="F25" s="192"/>
      <c r="G25" s="193"/>
      <c r="H25" s="221"/>
      <c r="I25" s="16" t="s">
        <v>17</v>
      </c>
      <c r="J25" s="52">
        <v>55.5</v>
      </c>
      <c r="K25" s="192"/>
      <c r="L25" s="192"/>
      <c r="M25" s="193"/>
      <c r="N25" s="231"/>
      <c r="O25" s="18" t="s">
        <v>40</v>
      </c>
      <c r="P25" s="53">
        <f>P23*P24/100</f>
        <v>46.4</v>
      </c>
      <c r="Q25" s="235"/>
      <c r="R25" s="192"/>
      <c r="S25" s="193"/>
      <c r="T25" s="198"/>
      <c r="U25" s="24" t="s">
        <v>39</v>
      </c>
      <c r="V25" s="65">
        <v>8.9019999999999992</v>
      </c>
      <c r="W25" s="183"/>
      <c r="X25" s="79" t="s">
        <v>54</v>
      </c>
      <c r="Y25" s="36">
        <f>P29</f>
        <v>1.0000000000000001E-5</v>
      </c>
      <c r="Z25" s="10">
        <f t="shared" si="2"/>
        <v>1.1000000000000001E-5</v>
      </c>
      <c r="AA25" s="114"/>
    </row>
    <row r="26" spans="1:27" ht="15" customHeight="1" thickBot="1" x14ac:dyDescent="0.45">
      <c r="A26" s="114"/>
      <c r="B26" s="220"/>
      <c r="C26" s="14" t="s">
        <v>9</v>
      </c>
      <c r="D26" s="52">
        <v>36</v>
      </c>
      <c r="E26" s="192"/>
      <c r="F26" s="192"/>
      <c r="G26" s="193"/>
      <c r="H26" s="221"/>
      <c r="I26" s="16" t="s">
        <v>9</v>
      </c>
      <c r="J26" s="52">
        <v>37.5</v>
      </c>
      <c r="K26" s="192"/>
      <c r="L26" s="192"/>
      <c r="M26" s="193"/>
      <c r="N26" s="231"/>
      <c r="O26" s="18" t="s">
        <v>37</v>
      </c>
      <c r="P26" s="36">
        <f>P22*P25/10000+0.00001</f>
        <v>1.0000000000000001E-5</v>
      </c>
      <c r="Q26" s="235"/>
      <c r="R26" s="192"/>
      <c r="S26" s="193"/>
      <c r="T26" s="222" t="s">
        <v>59</v>
      </c>
      <c r="U26" s="223"/>
      <c r="V26" s="224"/>
      <c r="W26" s="225" t="s">
        <v>56</v>
      </c>
      <c r="X26" s="79" t="str">
        <f>F6</f>
        <v>PVDF</v>
      </c>
      <c r="Y26" s="57">
        <v>0.14000000000000001</v>
      </c>
      <c r="Z26" s="10">
        <f>Y26*F10</f>
        <v>2.1672240802675588E-3</v>
      </c>
      <c r="AA26" s="114"/>
    </row>
    <row r="27" spans="1:27" ht="15" customHeight="1" x14ac:dyDescent="0.4">
      <c r="A27" s="114"/>
      <c r="B27" s="220"/>
      <c r="C27" s="14" t="s">
        <v>40</v>
      </c>
      <c r="D27" s="53">
        <f>D25*D26/100</f>
        <v>19.440000000000001</v>
      </c>
      <c r="E27" s="192"/>
      <c r="F27" s="192"/>
      <c r="G27" s="193"/>
      <c r="H27" s="221"/>
      <c r="I27" s="16" t="s">
        <v>40</v>
      </c>
      <c r="J27" s="53">
        <f>J25*J26/100</f>
        <v>20.8125</v>
      </c>
      <c r="K27" s="192"/>
      <c r="L27" s="192"/>
      <c r="M27" s="193"/>
      <c r="N27" s="231"/>
      <c r="O27" s="18" t="s">
        <v>10</v>
      </c>
      <c r="P27" s="36">
        <f>Q10+R10</f>
        <v>0</v>
      </c>
      <c r="Q27" s="235"/>
      <c r="R27" s="192"/>
      <c r="S27" s="193"/>
      <c r="T27" s="228" t="s">
        <v>83</v>
      </c>
      <c r="U27" s="46" t="s">
        <v>36</v>
      </c>
      <c r="V27" s="56">
        <v>88</v>
      </c>
      <c r="W27" s="226"/>
      <c r="X27" s="79" t="str">
        <f>K6</f>
        <v>CMC</v>
      </c>
      <c r="Y27" s="57">
        <v>0.02</v>
      </c>
      <c r="Z27" s="10">
        <f>Y27*K10</f>
        <v>9.2532086697832576E-5</v>
      </c>
      <c r="AA27" s="114"/>
    </row>
    <row r="28" spans="1:27" ht="15" customHeight="1" x14ac:dyDescent="0.4">
      <c r="A28" s="114"/>
      <c r="B28" s="220"/>
      <c r="C28" s="14" t="s">
        <v>37</v>
      </c>
      <c r="D28" s="36">
        <f>D24*D27/10000</f>
        <v>2.3328000000000002E-2</v>
      </c>
      <c r="E28" s="192"/>
      <c r="F28" s="192"/>
      <c r="G28" s="193"/>
      <c r="H28" s="221"/>
      <c r="I28" s="16" t="s">
        <v>37</v>
      </c>
      <c r="J28" s="36">
        <f>J24*J27/10000</f>
        <v>1.6650000000000002E-2</v>
      </c>
      <c r="K28" s="192"/>
      <c r="L28" s="192"/>
      <c r="M28" s="193"/>
      <c r="N28" s="231"/>
      <c r="O28" s="18" t="s">
        <v>39</v>
      </c>
      <c r="P28" s="36">
        <f>P27/P26</f>
        <v>0</v>
      </c>
      <c r="Q28" s="235"/>
      <c r="R28" s="192"/>
      <c r="S28" s="193"/>
      <c r="T28" s="229"/>
      <c r="U28" s="47" t="s">
        <v>17</v>
      </c>
      <c r="V28" s="39">
        <f>(D47+D48+D49)*2</f>
        <v>145.136912</v>
      </c>
      <c r="W28" s="226"/>
      <c r="X28" s="79" t="str">
        <f>L6</f>
        <v>SBR</v>
      </c>
      <c r="Y28" s="57">
        <v>0</v>
      </c>
      <c r="Z28" s="10">
        <f>Y28*L10</f>
        <v>0</v>
      </c>
      <c r="AA28" s="114"/>
    </row>
    <row r="29" spans="1:27" ht="15" customHeight="1" x14ac:dyDescent="0.4">
      <c r="A29" s="114"/>
      <c r="B29" s="220"/>
      <c r="C29" s="14" t="s">
        <v>10</v>
      </c>
      <c r="D29" s="36">
        <f>D30*D28</f>
        <v>6.2962272E-2</v>
      </c>
      <c r="E29" s="192"/>
      <c r="F29" s="192"/>
      <c r="G29" s="193"/>
      <c r="H29" s="221"/>
      <c r="I29" s="16" t="s">
        <v>10</v>
      </c>
      <c r="J29" s="36">
        <f>J30*J28</f>
        <v>0.14918400000000004</v>
      </c>
      <c r="K29" s="192"/>
      <c r="L29" s="192"/>
      <c r="M29" s="193"/>
      <c r="N29" s="231" t="s">
        <v>15</v>
      </c>
      <c r="O29" s="18" t="s">
        <v>37</v>
      </c>
      <c r="P29" s="36">
        <f>P26-(Q11+R11)</f>
        <v>1.0000000000000001E-5</v>
      </c>
      <c r="Q29" s="235"/>
      <c r="R29" s="192"/>
      <c r="S29" s="193"/>
      <c r="T29" s="229"/>
      <c r="U29" s="47" t="s">
        <v>9</v>
      </c>
      <c r="V29" s="39">
        <f>D47+D50</f>
        <v>44.068455999999998</v>
      </c>
      <c r="W29" s="226"/>
      <c r="X29" s="79" t="str">
        <f>Q7</f>
        <v>Alumina</v>
      </c>
      <c r="Y29" s="57">
        <v>0</v>
      </c>
      <c r="Z29" s="10">
        <f>Y30*Q10</f>
        <v>0</v>
      </c>
      <c r="AA29" s="114"/>
    </row>
    <row r="30" spans="1:27" ht="15" customHeight="1" x14ac:dyDescent="0.4">
      <c r="A30" s="114"/>
      <c r="B30" s="220"/>
      <c r="C30" s="14" t="s">
        <v>39</v>
      </c>
      <c r="D30" s="57">
        <v>2.6989999999999998</v>
      </c>
      <c r="E30" s="192"/>
      <c r="F30" s="192"/>
      <c r="G30" s="193"/>
      <c r="H30" s="221"/>
      <c r="I30" s="16" t="s">
        <v>39</v>
      </c>
      <c r="J30" s="57">
        <v>8.9600000000000009</v>
      </c>
      <c r="K30" s="192"/>
      <c r="L30" s="192"/>
      <c r="M30" s="193"/>
      <c r="N30" s="231"/>
      <c r="O30" s="18" t="s">
        <v>16</v>
      </c>
      <c r="P30" s="60">
        <f>P29/P26*100</f>
        <v>100</v>
      </c>
      <c r="Q30" s="235"/>
      <c r="R30" s="192"/>
      <c r="S30" s="193"/>
      <c r="T30" s="229"/>
      <c r="U30" s="47" t="s">
        <v>40</v>
      </c>
      <c r="V30" s="25">
        <f>V28*V29/100</f>
        <v>63.959596204478714</v>
      </c>
      <c r="W30" s="227"/>
      <c r="X30" s="79" t="str">
        <f>R7</f>
        <v>PVDF-HFP</v>
      </c>
      <c r="Y30" s="57">
        <v>0.14000000000000001</v>
      </c>
      <c r="Z30" s="10">
        <f>Y31*R10</f>
        <v>0</v>
      </c>
      <c r="AA30" s="114"/>
    </row>
    <row r="31" spans="1:27" ht="15" customHeight="1" x14ac:dyDescent="0.4">
      <c r="A31" s="114"/>
      <c r="B31" s="186" t="s">
        <v>1</v>
      </c>
      <c r="C31" s="14" t="s">
        <v>6</v>
      </c>
      <c r="D31" s="53">
        <f>D12*2+D24</f>
        <v>144</v>
      </c>
      <c r="E31" s="192"/>
      <c r="F31" s="192"/>
      <c r="G31" s="193"/>
      <c r="H31" s="196" t="s">
        <v>1</v>
      </c>
      <c r="I31" s="16" t="s">
        <v>6</v>
      </c>
      <c r="J31" s="53">
        <f>J12*2+J24</f>
        <v>144</v>
      </c>
      <c r="K31" s="192"/>
      <c r="L31" s="192"/>
      <c r="M31" s="193"/>
      <c r="N31" s="231" t="s">
        <v>89</v>
      </c>
      <c r="O31" s="18" t="s">
        <v>6</v>
      </c>
      <c r="P31" s="53">
        <f>P12+P22</f>
        <v>20</v>
      </c>
      <c r="Q31" s="235"/>
      <c r="R31" s="192"/>
      <c r="S31" s="193"/>
      <c r="T31" s="229"/>
      <c r="U31" s="47" t="s">
        <v>37</v>
      </c>
      <c r="V31" s="10">
        <f>V27*V30/10000</f>
        <v>0.56284444659941268</v>
      </c>
      <c r="W31" s="225" t="s">
        <v>100</v>
      </c>
      <c r="X31" s="20" t="s">
        <v>0</v>
      </c>
      <c r="Y31" s="57">
        <v>0</v>
      </c>
      <c r="Z31" s="10">
        <f>Y31*D16/1000</f>
        <v>0</v>
      </c>
      <c r="AA31" s="114"/>
    </row>
    <row r="32" spans="1:27" ht="15" customHeight="1" x14ac:dyDescent="0.4">
      <c r="A32" s="114"/>
      <c r="B32" s="187"/>
      <c r="C32" s="14" t="s">
        <v>37</v>
      </c>
      <c r="D32" s="36">
        <f>D17+D28</f>
        <v>0.27993600000000007</v>
      </c>
      <c r="E32" s="192"/>
      <c r="F32" s="192"/>
      <c r="G32" s="193"/>
      <c r="H32" s="187"/>
      <c r="I32" s="16" t="s">
        <v>37</v>
      </c>
      <c r="J32" s="36">
        <f>J17+J28</f>
        <v>0.29970000000000002</v>
      </c>
      <c r="K32" s="192"/>
      <c r="L32" s="192"/>
      <c r="M32" s="193"/>
      <c r="N32" s="231"/>
      <c r="O32" s="18" t="s">
        <v>37</v>
      </c>
      <c r="P32" s="36">
        <f>P17+P26</f>
        <v>9.280999999999999E-2</v>
      </c>
      <c r="Q32" s="235"/>
      <c r="R32" s="192"/>
      <c r="S32" s="193"/>
      <c r="T32" s="229"/>
      <c r="U32" s="47" t="s">
        <v>10</v>
      </c>
      <c r="V32" s="10">
        <f>V30*V33/1000</f>
        <v>0.93061212477516531</v>
      </c>
      <c r="W32" s="188"/>
      <c r="X32" s="20" t="s">
        <v>19</v>
      </c>
      <c r="Y32" s="57">
        <v>0</v>
      </c>
      <c r="Z32" s="10">
        <f>Y32*J16/1000</f>
        <v>0</v>
      </c>
      <c r="AA32" s="114"/>
    </row>
    <row r="33" spans="1:27" ht="15" customHeight="1" thickBot="1" x14ac:dyDescent="0.45">
      <c r="A33" s="114"/>
      <c r="B33" s="232"/>
      <c r="C33" s="15" t="s">
        <v>10</v>
      </c>
      <c r="D33" s="12">
        <f>D18+D29</f>
        <v>0.83697087209555665</v>
      </c>
      <c r="E33" s="194"/>
      <c r="F33" s="194"/>
      <c r="G33" s="195"/>
      <c r="H33" s="232"/>
      <c r="I33" s="17" t="s">
        <v>10</v>
      </c>
      <c r="J33" s="12">
        <f>J18+J29</f>
        <v>0.61184443348916284</v>
      </c>
      <c r="K33" s="194"/>
      <c r="L33" s="194"/>
      <c r="M33" s="195"/>
      <c r="N33" s="233"/>
      <c r="O33" s="19" t="s">
        <v>10</v>
      </c>
      <c r="P33" s="12">
        <f>P18+P27</f>
        <v>5.0715199999999995E-2</v>
      </c>
      <c r="Q33" s="236"/>
      <c r="R33" s="194"/>
      <c r="S33" s="195"/>
      <c r="T33" s="230"/>
      <c r="U33" s="48" t="s">
        <v>43</v>
      </c>
      <c r="V33" s="83">
        <v>14.55</v>
      </c>
      <c r="W33" s="23" t="s">
        <v>46</v>
      </c>
      <c r="X33" s="21" t="s">
        <v>29</v>
      </c>
      <c r="Y33" s="113">
        <f>Z33/Z16</f>
        <v>0.16409637438472655</v>
      </c>
      <c r="Z33" s="38">
        <f>Z18-SUM(Z22:Z32)</f>
        <v>0.18050601182319922</v>
      </c>
      <c r="AA33" s="114"/>
    </row>
    <row r="34" spans="1:27" ht="15" customHeight="1" thickBot="1" x14ac:dyDescent="0.45">
      <c r="A34" s="114"/>
      <c r="B34" s="114"/>
      <c r="C34" s="114"/>
      <c r="D34" s="115"/>
      <c r="E34" s="115"/>
      <c r="F34" s="115"/>
      <c r="G34" s="115"/>
      <c r="H34" s="114"/>
      <c r="I34" s="114"/>
      <c r="J34" s="115"/>
      <c r="K34" s="115"/>
      <c r="L34" s="115"/>
      <c r="M34" s="115"/>
      <c r="N34" s="127"/>
      <c r="O34" s="127"/>
      <c r="P34" s="128"/>
      <c r="Q34" s="115"/>
      <c r="R34" s="115"/>
      <c r="S34" s="115"/>
      <c r="T34" s="129"/>
      <c r="U34" s="129"/>
      <c r="V34" s="129"/>
      <c r="W34" s="130"/>
      <c r="X34" s="130"/>
      <c r="Y34" s="130"/>
      <c r="Z34" s="130"/>
      <c r="AA34" s="114"/>
    </row>
    <row r="35" spans="1:27" ht="15" customHeight="1" thickBot="1" x14ac:dyDescent="0.45">
      <c r="A35" s="114"/>
      <c r="B35" s="247" t="s">
        <v>31</v>
      </c>
      <c r="C35" s="248"/>
      <c r="D35" s="248"/>
      <c r="E35" s="248"/>
      <c r="F35" s="248"/>
      <c r="G35" s="249"/>
      <c r="H35" s="129"/>
      <c r="I35" s="88" t="s">
        <v>3</v>
      </c>
      <c r="J35" s="89" t="s">
        <v>30</v>
      </c>
      <c r="K35" s="90" t="s">
        <v>72</v>
      </c>
      <c r="L35" s="91" t="s">
        <v>71</v>
      </c>
      <c r="M35" s="90" t="s">
        <v>73</v>
      </c>
      <c r="N35" s="114"/>
      <c r="O35" s="114"/>
      <c r="P35" s="115"/>
      <c r="Q35" s="115"/>
      <c r="R35" s="115"/>
      <c r="S35" s="115"/>
      <c r="T35" s="129"/>
      <c r="U35" s="129"/>
      <c r="V35" s="129"/>
      <c r="W35" s="114"/>
      <c r="X35" s="114"/>
      <c r="Y35" s="114"/>
      <c r="Z35" s="114"/>
      <c r="AA35" s="114"/>
    </row>
    <row r="36" spans="1:27" ht="15" customHeight="1" x14ac:dyDescent="0.4">
      <c r="A36" s="114"/>
      <c r="B36" s="250" t="s">
        <v>33</v>
      </c>
      <c r="C36" s="31" t="s">
        <v>36</v>
      </c>
      <c r="D36" s="45">
        <f>D31+J31+P31*2</f>
        <v>328</v>
      </c>
      <c r="E36" s="253"/>
      <c r="F36" s="254"/>
      <c r="G36" s="255"/>
      <c r="H36" s="131"/>
      <c r="I36" s="92" t="str">
        <f>D6</f>
        <v>NCM811</v>
      </c>
      <c r="J36" s="93">
        <f>D10*$D$44</f>
        <v>5.2013377926421409</v>
      </c>
      <c r="K36" s="94">
        <f t="shared" ref="K36:K50" si="3">J36/$J$51*100</f>
        <v>36.209871383963311</v>
      </c>
      <c r="L36" s="95">
        <f>D11*$D$44</f>
        <v>1.1066676154557746</v>
      </c>
      <c r="M36" s="94">
        <f t="shared" ref="M36:M50" si="4">L36/$L$51*100</f>
        <v>17.068601974339295</v>
      </c>
      <c r="N36" s="132"/>
      <c r="O36" s="114"/>
      <c r="P36" s="115"/>
      <c r="Q36" s="115"/>
      <c r="R36" s="115"/>
      <c r="S36" s="115"/>
      <c r="T36" s="129"/>
      <c r="U36" s="129"/>
      <c r="V36" s="129"/>
      <c r="W36" s="114"/>
      <c r="X36" s="114"/>
      <c r="Y36" s="114"/>
      <c r="Z36" s="114"/>
      <c r="AA36" s="114"/>
    </row>
    <row r="37" spans="1:27" ht="15" customHeight="1" x14ac:dyDescent="0.4">
      <c r="A37" s="114"/>
      <c r="B37" s="251"/>
      <c r="C37" s="32" t="s">
        <v>17</v>
      </c>
      <c r="D37" s="39">
        <f>P13</f>
        <v>58</v>
      </c>
      <c r="E37" s="256"/>
      <c r="F37" s="257"/>
      <c r="G37" s="258"/>
      <c r="H37" s="129"/>
      <c r="I37" s="96" t="str">
        <f>E6</f>
        <v>AB</v>
      </c>
      <c r="J37" s="97">
        <f>E10*$D$44</f>
        <v>0.10836120401337793</v>
      </c>
      <c r="K37" s="39">
        <f t="shared" si="3"/>
        <v>0.75437232049923553</v>
      </c>
      <c r="L37" s="98">
        <f>E11*$D$44</f>
        <v>6.0200668896321058E-2</v>
      </c>
      <c r="M37" s="39">
        <f t="shared" si="4"/>
        <v>0.92850033888188277</v>
      </c>
      <c r="N37" s="132"/>
      <c r="O37" s="114"/>
      <c r="P37" s="115"/>
      <c r="Q37" s="115"/>
      <c r="R37" s="115"/>
      <c r="S37" s="115"/>
      <c r="T37" s="129"/>
      <c r="U37" s="129"/>
      <c r="V37" s="129"/>
      <c r="W37" s="114"/>
      <c r="X37" s="114"/>
      <c r="Y37" s="114"/>
      <c r="Z37" s="114"/>
      <c r="AA37" s="114"/>
    </row>
    <row r="38" spans="1:27" ht="15" customHeight="1" x14ac:dyDescent="0.4">
      <c r="A38" s="114"/>
      <c r="B38" s="251"/>
      <c r="C38" s="32" t="s">
        <v>9</v>
      </c>
      <c r="D38" s="39">
        <f>P15</f>
        <v>40</v>
      </c>
      <c r="E38" s="256"/>
      <c r="F38" s="257"/>
      <c r="G38" s="258"/>
      <c r="H38" s="129"/>
      <c r="I38" s="96" t="str">
        <f>F6</f>
        <v>PVDF</v>
      </c>
      <c r="J38" s="97">
        <f>F10*$D$44</f>
        <v>0.10836120401337793</v>
      </c>
      <c r="K38" s="39">
        <f t="shared" si="3"/>
        <v>0.75437232049923553</v>
      </c>
      <c r="L38" s="98">
        <f>F11*$D$44</f>
        <v>6.0877080906392093E-2</v>
      </c>
      <c r="M38" s="39">
        <f t="shared" si="4"/>
        <v>0.93893292695920749</v>
      </c>
      <c r="N38" s="132"/>
      <c r="O38" s="114"/>
      <c r="P38" s="115"/>
      <c r="Q38" s="115"/>
      <c r="R38" s="115"/>
      <c r="S38" s="115"/>
      <c r="T38" s="129"/>
      <c r="U38" s="129"/>
      <c r="V38" s="129"/>
      <c r="W38" s="114"/>
      <c r="X38" s="114"/>
      <c r="Y38" s="114"/>
      <c r="Z38" s="114"/>
      <c r="AA38" s="114"/>
    </row>
    <row r="39" spans="1:27" ht="15" customHeight="1" x14ac:dyDescent="0.4">
      <c r="A39" s="114"/>
      <c r="B39" s="251"/>
      <c r="C39" s="32" t="s">
        <v>40</v>
      </c>
      <c r="D39" s="25">
        <f>D37*D38/100</f>
        <v>23.2</v>
      </c>
      <c r="E39" s="256"/>
      <c r="F39" s="257"/>
      <c r="G39" s="258"/>
      <c r="H39" s="129"/>
      <c r="I39" s="99" t="str">
        <f>B24</f>
        <v>Substrate (Al)</v>
      </c>
      <c r="J39" s="97">
        <f>D29*($D$44+1)</f>
        <v>0.503698176</v>
      </c>
      <c r="K39" s="39">
        <f t="shared" si="3"/>
        <v>3.5065682900075723</v>
      </c>
      <c r="L39" s="98">
        <f>D28*($D$44+1)</f>
        <v>0.18662400000000001</v>
      </c>
      <c r="M39" s="39">
        <f t="shared" si="4"/>
        <v>2.8783807625446816</v>
      </c>
      <c r="N39" s="132"/>
      <c r="O39" s="114"/>
      <c r="P39" s="115"/>
      <c r="Q39" s="115"/>
      <c r="R39" s="115"/>
      <c r="S39" s="115"/>
      <c r="T39" s="129"/>
      <c r="U39" s="129"/>
      <c r="V39" s="129"/>
      <c r="W39" s="114"/>
      <c r="X39" s="114"/>
      <c r="Y39" s="114"/>
      <c r="Z39" s="114"/>
      <c r="AA39" s="114"/>
    </row>
    <row r="40" spans="1:27" ht="15" customHeight="1" x14ac:dyDescent="0.4">
      <c r="A40" s="114"/>
      <c r="B40" s="251"/>
      <c r="C40" s="32" t="s">
        <v>37</v>
      </c>
      <c r="D40" s="39">
        <f>D32+J32+P32+V10+V13+Z19</f>
        <v>1.0268605454545456</v>
      </c>
      <c r="E40" s="256"/>
      <c r="F40" s="257"/>
      <c r="G40" s="258"/>
      <c r="H40" s="131"/>
      <c r="I40" s="96" t="str">
        <f>J6</f>
        <v>Graphite</v>
      </c>
      <c r="J40" s="97">
        <f>J10*$D$44</f>
        <v>3.1576574585635364</v>
      </c>
      <c r="K40" s="39">
        <f t="shared" si="3"/>
        <v>21.982492775405241</v>
      </c>
      <c r="L40" s="98">
        <f>J11*$D$44</f>
        <v>1.4352988448016073</v>
      </c>
      <c r="M40" s="39">
        <f t="shared" si="4"/>
        <v>22.137220204151401</v>
      </c>
      <c r="N40" s="132"/>
      <c r="O40" s="114"/>
      <c r="P40" s="115"/>
      <c r="Q40" s="115"/>
      <c r="R40" s="115"/>
      <c r="S40" s="115"/>
      <c r="T40" s="129"/>
      <c r="U40" s="129"/>
      <c r="V40" s="129"/>
      <c r="W40" s="114"/>
      <c r="X40" s="114"/>
      <c r="Y40" s="114"/>
      <c r="Z40" s="114"/>
      <c r="AA40" s="114"/>
    </row>
    <row r="41" spans="1:27" ht="15" customHeight="1" x14ac:dyDescent="0.4">
      <c r="A41" s="114"/>
      <c r="B41" s="251"/>
      <c r="C41" s="32" t="s">
        <v>10</v>
      </c>
      <c r="D41" s="39">
        <f>D33+J33+P33+V11+V14+Z18</f>
        <v>1.8933257695847194</v>
      </c>
      <c r="E41" s="256"/>
      <c r="F41" s="257"/>
      <c r="G41" s="258"/>
      <c r="H41" s="129"/>
      <c r="I41" s="96" t="str">
        <f>K6</f>
        <v>CMC</v>
      </c>
      <c r="J41" s="97">
        <f>K10*$D$44</f>
        <v>3.2386230344241401E-2</v>
      </c>
      <c r="K41" s="39">
        <f t="shared" si="3"/>
        <v>0.22546146436313069</v>
      </c>
      <c r="L41" s="98">
        <f>K11*$D$44</f>
        <v>2.0241393965150876E-2</v>
      </c>
      <c r="M41" s="39">
        <f t="shared" si="4"/>
        <v>0.31219156698162237</v>
      </c>
      <c r="N41" s="132"/>
      <c r="O41" s="114"/>
      <c r="P41" s="115"/>
      <c r="Q41" s="115"/>
      <c r="R41" s="115"/>
      <c r="S41" s="115"/>
      <c r="T41" s="129"/>
      <c r="U41" s="129"/>
      <c r="V41" s="129"/>
      <c r="W41" s="114"/>
      <c r="X41" s="114"/>
      <c r="Y41" s="114"/>
      <c r="Z41" s="114"/>
      <c r="AA41" s="114"/>
    </row>
    <row r="42" spans="1:27" ht="15" customHeight="1" x14ac:dyDescent="0.4">
      <c r="A42" s="114"/>
      <c r="B42" s="251"/>
      <c r="C42" s="32" t="s">
        <v>50</v>
      </c>
      <c r="D42" s="109">
        <f>E3</f>
        <v>1.05</v>
      </c>
      <c r="E42" s="256"/>
      <c r="F42" s="257"/>
      <c r="G42" s="258"/>
      <c r="H42" s="129"/>
      <c r="I42" s="96" t="str">
        <f>L6</f>
        <v>SBR</v>
      </c>
      <c r="J42" s="97">
        <f>L10*$D$44</f>
        <v>4.8579345516362095E-2</v>
      </c>
      <c r="K42" s="39">
        <f t="shared" si="3"/>
        <v>0.33819219654469596</v>
      </c>
      <c r="L42" s="98">
        <f>L11*$D$44</f>
        <v>5.1136153175118E-2</v>
      </c>
      <c r="M42" s="39">
        <f t="shared" si="4"/>
        <v>0.78869448500620376</v>
      </c>
      <c r="N42" s="132"/>
      <c r="O42" s="114"/>
      <c r="P42" s="115"/>
      <c r="Q42" s="115"/>
      <c r="R42" s="115"/>
      <c r="S42" s="115"/>
      <c r="T42" s="129"/>
      <c r="U42" s="129"/>
      <c r="V42" s="129"/>
      <c r="W42" s="114"/>
      <c r="X42" s="114"/>
      <c r="Y42" s="114"/>
      <c r="Z42" s="114"/>
      <c r="AA42" s="114"/>
    </row>
    <row r="43" spans="1:27" ht="15" customHeight="1" thickBot="1" x14ac:dyDescent="0.45">
      <c r="A43" s="114"/>
      <c r="B43" s="252"/>
      <c r="C43" s="33" t="s">
        <v>13</v>
      </c>
      <c r="D43" s="84">
        <f>D16*D21</f>
        <v>155.52000000000001</v>
      </c>
      <c r="E43" s="256"/>
      <c r="F43" s="257"/>
      <c r="G43" s="258"/>
      <c r="H43" s="129"/>
      <c r="I43" s="99" t="str">
        <f>H24</f>
        <v>Substrate  (Cu)</v>
      </c>
      <c r="J43" s="97">
        <f>J29*$D$44</f>
        <v>1.0442880000000003</v>
      </c>
      <c r="K43" s="39">
        <f t="shared" si="3"/>
        <v>7.2699631662661188</v>
      </c>
      <c r="L43" s="98">
        <f>J28*$D$44</f>
        <v>0.11655000000000001</v>
      </c>
      <c r="M43" s="39">
        <f t="shared" si="4"/>
        <v>1.7975998685837977</v>
      </c>
      <c r="N43" s="132"/>
      <c r="O43" s="114"/>
      <c r="P43" s="115"/>
      <c r="Q43" s="115"/>
      <c r="R43" s="115"/>
      <c r="S43" s="115"/>
      <c r="T43" s="129"/>
      <c r="U43" s="129"/>
      <c r="V43" s="129"/>
      <c r="W43" s="114"/>
      <c r="X43" s="114"/>
      <c r="Y43" s="114"/>
      <c r="Z43" s="114"/>
      <c r="AA43" s="114"/>
    </row>
    <row r="44" spans="1:27" ht="15" customHeight="1" x14ac:dyDescent="0.4">
      <c r="A44" s="114"/>
      <c r="B44" s="250" t="s">
        <v>32</v>
      </c>
      <c r="C44" s="34" t="s">
        <v>85</v>
      </c>
      <c r="D44" s="111">
        <f>G3</f>
        <v>7</v>
      </c>
      <c r="E44" s="253"/>
      <c r="F44" s="260"/>
      <c r="G44" s="261"/>
      <c r="H44" s="131"/>
      <c r="I44" s="96" t="str">
        <f>P7</f>
        <v>PE</v>
      </c>
      <c r="J44" s="97">
        <f>P10*$D$44</f>
        <v>0.35500639999999994</v>
      </c>
      <c r="K44" s="39">
        <f t="shared" si="3"/>
        <v>2.4714288125390076</v>
      </c>
      <c r="L44" s="98">
        <f>P11*$D$44</f>
        <v>0.38172731182795694</v>
      </c>
      <c r="M44" s="39">
        <f t="shared" si="4"/>
        <v>5.8875415321903191</v>
      </c>
      <c r="N44" s="132"/>
      <c r="O44" s="114"/>
      <c r="P44" s="115"/>
      <c r="Q44" s="115"/>
      <c r="R44" s="115"/>
      <c r="S44" s="115"/>
      <c r="T44" s="114"/>
      <c r="U44" s="114"/>
      <c r="V44" s="114"/>
      <c r="W44" s="114"/>
      <c r="X44" s="114"/>
      <c r="Y44" s="114"/>
      <c r="Z44" s="114"/>
      <c r="AA44" s="114"/>
    </row>
    <row r="45" spans="1:27" ht="15" customHeight="1" x14ac:dyDescent="0.4">
      <c r="A45" s="114"/>
      <c r="B45" s="226"/>
      <c r="C45" s="32" t="s">
        <v>6</v>
      </c>
      <c r="D45" s="10">
        <f>(D36*D44+D24+V27*2)/1000</f>
        <v>2.484</v>
      </c>
      <c r="E45" s="262"/>
      <c r="F45" s="263"/>
      <c r="G45" s="264"/>
      <c r="H45" s="129"/>
      <c r="I45" s="96" t="str">
        <f>Q7</f>
        <v>Alumina</v>
      </c>
      <c r="J45" s="97">
        <f>Q10*$D$44</f>
        <v>0</v>
      </c>
      <c r="K45" s="39">
        <f t="shared" si="3"/>
        <v>0</v>
      </c>
      <c r="L45" s="98">
        <f>Q11*$D$44</f>
        <v>0</v>
      </c>
      <c r="M45" s="39">
        <f t="shared" si="4"/>
        <v>0</v>
      </c>
      <c r="N45" s="132"/>
      <c r="O45" s="114"/>
      <c r="P45" s="115"/>
      <c r="Q45" s="115"/>
      <c r="R45" s="115"/>
      <c r="S45" s="115"/>
      <c r="T45" s="114"/>
      <c r="U45" s="114"/>
      <c r="V45" s="114"/>
      <c r="W45" s="114"/>
      <c r="X45" s="114"/>
      <c r="Y45" s="114"/>
      <c r="Z45" s="114"/>
      <c r="AA45" s="114"/>
    </row>
    <row r="46" spans="1:27" ht="15" customHeight="1" x14ac:dyDescent="0.4">
      <c r="A46" s="114"/>
      <c r="B46" s="226"/>
      <c r="C46" s="32" t="s">
        <v>68</v>
      </c>
      <c r="D46" s="39">
        <f>J3</f>
        <v>3.4</v>
      </c>
      <c r="E46" s="262"/>
      <c r="F46" s="263"/>
      <c r="G46" s="264"/>
      <c r="H46" s="129"/>
      <c r="I46" s="96" t="str">
        <f>R7</f>
        <v>PVDF-HFP</v>
      </c>
      <c r="J46" s="97">
        <f>R10*$D$44</f>
        <v>0</v>
      </c>
      <c r="K46" s="39">
        <f t="shared" si="3"/>
        <v>0</v>
      </c>
      <c r="L46" s="98">
        <f>R11*$D$44</f>
        <v>0</v>
      </c>
      <c r="M46" s="39">
        <f t="shared" si="4"/>
        <v>0</v>
      </c>
      <c r="N46" s="132"/>
      <c r="O46" s="114"/>
      <c r="P46" s="115"/>
      <c r="Q46" s="115"/>
      <c r="R46" s="115"/>
      <c r="S46" s="115"/>
      <c r="T46" s="114"/>
      <c r="U46" s="114"/>
      <c r="V46" s="114"/>
      <c r="W46" s="114"/>
      <c r="X46" s="114"/>
      <c r="Y46" s="114"/>
      <c r="Z46" s="114"/>
      <c r="AA46" s="114"/>
    </row>
    <row r="47" spans="1:27" ht="15" customHeight="1" x14ac:dyDescent="0.4">
      <c r="A47" s="114"/>
      <c r="B47" s="226"/>
      <c r="C47" s="32" t="s">
        <v>67</v>
      </c>
      <c r="D47" s="10">
        <f>D45*(1+D46/100)</f>
        <v>2.5684559999999999</v>
      </c>
      <c r="E47" s="262"/>
      <c r="F47" s="263"/>
      <c r="G47" s="264"/>
      <c r="H47" s="129"/>
      <c r="I47" s="96" t="s">
        <v>28</v>
      </c>
      <c r="J47" s="97">
        <f>Z18*$D$44</f>
        <v>2.7216000000000005</v>
      </c>
      <c r="K47" s="39">
        <f t="shared" si="3"/>
        <v>18.946815201658804</v>
      </c>
      <c r="L47" s="98">
        <f>Z19*$D$44</f>
        <v>2.474181818181818</v>
      </c>
      <c r="M47" s="39">
        <f t="shared" si="4"/>
        <v>38.160351018584784</v>
      </c>
      <c r="N47" s="132"/>
      <c r="O47" s="114"/>
      <c r="P47" s="115"/>
      <c r="Q47" s="115"/>
      <c r="R47" s="115"/>
      <c r="S47" s="115"/>
      <c r="T47" s="114"/>
      <c r="U47" s="114"/>
      <c r="V47" s="114"/>
      <c r="W47" s="114"/>
      <c r="X47" s="114"/>
      <c r="Y47" s="114"/>
      <c r="Z47" s="114"/>
      <c r="AA47" s="114"/>
    </row>
    <row r="48" spans="1:27" ht="15" customHeight="1" x14ac:dyDescent="0.4">
      <c r="A48" s="114"/>
      <c r="B48" s="226"/>
      <c r="C48" s="32" t="s">
        <v>96</v>
      </c>
      <c r="D48" s="40">
        <v>60</v>
      </c>
      <c r="E48" s="262"/>
      <c r="F48" s="263"/>
      <c r="G48" s="264"/>
      <c r="H48" s="129"/>
      <c r="I48" s="96" t="s">
        <v>70</v>
      </c>
      <c r="J48" s="97">
        <f>(V11+V14)*$D$44+V11</f>
        <v>3.6521471999999999E-2</v>
      </c>
      <c r="K48" s="39">
        <f t="shared" si="3"/>
        <v>0.25424955205634781</v>
      </c>
      <c r="L48" s="98">
        <f>(V10+V13)*$D$44+V10</f>
        <v>7.2960000000000004E-3</v>
      </c>
      <c r="M48" s="39">
        <f t="shared" si="4"/>
        <v>0.11252928907067684</v>
      </c>
      <c r="N48" s="132"/>
      <c r="O48" s="114"/>
      <c r="P48" s="115"/>
      <c r="Q48" s="115"/>
      <c r="R48" s="115"/>
      <c r="S48" s="115"/>
      <c r="T48" s="114"/>
      <c r="U48" s="114"/>
      <c r="V48" s="114"/>
      <c r="W48" s="114"/>
      <c r="X48" s="114"/>
      <c r="Y48" s="114"/>
      <c r="Z48" s="114"/>
      <c r="AA48" s="114"/>
    </row>
    <row r="49" spans="1:27" ht="15" customHeight="1" x14ac:dyDescent="0.4">
      <c r="A49" s="114"/>
      <c r="B49" s="226"/>
      <c r="C49" s="32" t="s">
        <v>97</v>
      </c>
      <c r="D49" s="40">
        <v>10</v>
      </c>
      <c r="E49" s="262"/>
      <c r="F49" s="263"/>
      <c r="G49" s="264"/>
      <c r="H49" s="129"/>
      <c r="I49" s="96" t="s">
        <v>79</v>
      </c>
      <c r="J49" s="97">
        <f>V20+V24</f>
        <v>0.11600999999999999</v>
      </c>
      <c r="K49" s="39">
        <f t="shared" si="3"/>
        <v>0.80762052893314129</v>
      </c>
      <c r="L49" s="98">
        <f>V19+V23</f>
        <v>0.02</v>
      </c>
      <c r="M49" s="39">
        <f t="shared" si="4"/>
        <v>0.30846844591742556</v>
      </c>
      <c r="N49" s="132"/>
      <c r="O49" s="114"/>
      <c r="P49" s="115"/>
      <c r="Q49" s="115"/>
      <c r="R49" s="115"/>
      <c r="S49" s="115"/>
      <c r="T49" s="114"/>
      <c r="U49" s="114"/>
      <c r="V49" s="114"/>
      <c r="W49" s="114"/>
      <c r="X49" s="114"/>
      <c r="Y49" s="114"/>
      <c r="Z49" s="114"/>
      <c r="AA49" s="114"/>
    </row>
    <row r="50" spans="1:27" ht="15" customHeight="1" thickBot="1" x14ac:dyDescent="0.45">
      <c r="A50" s="114"/>
      <c r="B50" s="226"/>
      <c r="C50" s="32" t="s">
        <v>9</v>
      </c>
      <c r="D50" s="40">
        <v>41.5</v>
      </c>
      <c r="E50" s="262"/>
      <c r="F50" s="263"/>
      <c r="G50" s="264"/>
      <c r="H50" s="129"/>
      <c r="I50" s="100" t="s">
        <v>59</v>
      </c>
      <c r="J50" s="101">
        <f>V32</f>
        <v>0.93061212477516531</v>
      </c>
      <c r="K50" s="84">
        <f t="shared" si="3"/>
        <v>6.4785919872641458</v>
      </c>
      <c r="L50" s="102">
        <f>V31</f>
        <v>0.56284444659941268</v>
      </c>
      <c r="M50" s="84">
        <f t="shared" si="4"/>
        <v>8.6809875867887136</v>
      </c>
      <c r="N50" s="132"/>
      <c r="O50" s="114"/>
      <c r="P50" s="115"/>
      <c r="Q50" s="115"/>
      <c r="R50" s="115"/>
      <c r="S50" s="115"/>
      <c r="T50" s="114"/>
      <c r="U50" s="114"/>
      <c r="V50" s="114"/>
      <c r="W50" s="114"/>
      <c r="X50" s="114"/>
      <c r="Y50" s="114"/>
      <c r="Z50" s="114"/>
      <c r="AA50" s="114"/>
    </row>
    <row r="51" spans="1:27" ht="15" customHeight="1" thickBot="1" x14ac:dyDescent="0.45">
      <c r="A51" s="114"/>
      <c r="B51" s="226"/>
      <c r="C51" s="32" t="s">
        <v>40</v>
      </c>
      <c r="D51" s="25">
        <f>D48*D50/100</f>
        <v>24.9</v>
      </c>
      <c r="E51" s="262"/>
      <c r="F51" s="263"/>
      <c r="G51" s="264"/>
      <c r="H51" s="129"/>
      <c r="I51" s="103" t="s">
        <v>12</v>
      </c>
      <c r="J51" s="104">
        <f>SUM(J36:J50)</f>
        <v>14.364419407868205</v>
      </c>
      <c r="K51" s="105">
        <f>SUM(K36:K50)</f>
        <v>100</v>
      </c>
      <c r="L51" s="106">
        <f>SUM(L36:L50)</f>
        <v>6.4836453338095508</v>
      </c>
      <c r="M51" s="105">
        <f>SUM(M36:M50)</f>
        <v>100.00000000000003</v>
      </c>
      <c r="N51" s="114"/>
      <c r="O51" s="114"/>
      <c r="P51" s="115"/>
      <c r="Q51" s="115"/>
      <c r="R51" s="115"/>
      <c r="S51" s="115"/>
      <c r="T51" s="114"/>
      <c r="U51" s="114"/>
      <c r="V51" s="114"/>
      <c r="W51" s="114"/>
      <c r="X51" s="114"/>
      <c r="Y51" s="114"/>
      <c r="Z51" s="114"/>
      <c r="AA51" s="114"/>
    </row>
    <row r="52" spans="1:27" ht="15" customHeight="1" x14ac:dyDescent="0.4">
      <c r="A52" s="114"/>
      <c r="B52" s="226"/>
      <c r="C52" s="32" t="s">
        <v>37</v>
      </c>
      <c r="D52" s="10">
        <f>(D47*D51/10)+(D49/10*D50/10*V27*2/10000)+(V15/10*V16/10*(V18+V22)/10000)</f>
        <v>6.4884954399999986</v>
      </c>
      <c r="E52" s="262"/>
      <c r="F52" s="263"/>
      <c r="G52" s="264"/>
      <c r="H52" s="129"/>
      <c r="I52" s="129"/>
      <c r="J52" s="129"/>
      <c r="K52" s="115"/>
      <c r="L52" s="115"/>
      <c r="M52" s="115"/>
      <c r="N52" s="114"/>
      <c r="O52" s="114"/>
      <c r="P52" s="115"/>
      <c r="Q52" s="115"/>
      <c r="R52" s="115"/>
      <c r="S52" s="115"/>
      <c r="T52" s="114"/>
      <c r="U52" s="114"/>
      <c r="V52" s="114"/>
      <c r="W52" s="114"/>
      <c r="X52" s="114"/>
      <c r="Y52" s="114"/>
      <c r="Z52" s="114"/>
      <c r="AA52" s="114"/>
    </row>
    <row r="53" spans="1:27" ht="15" customHeight="1" x14ac:dyDescent="0.4">
      <c r="A53" s="114"/>
      <c r="B53" s="226"/>
      <c r="C53" s="32" t="s">
        <v>69</v>
      </c>
      <c r="D53" s="112">
        <f>D52-L51</f>
        <v>4.8501061904477893E-3</v>
      </c>
      <c r="E53" s="262"/>
      <c r="F53" s="263"/>
      <c r="G53" s="264"/>
      <c r="H53" s="129"/>
      <c r="I53" s="129"/>
      <c r="J53" s="133"/>
      <c r="K53" s="115"/>
      <c r="L53" s="115"/>
      <c r="M53" s="115"/>
      <c r="N53" s="114"/>
      <c r="O53" s="114"/>
      <c r="P53" s="115"/>
      <c r="Q53" s="115"/>
      <c r="R53" s="115"/>
      <c r="S53" s="115"/>
      <c r="T53" s="114"/>
      <c r="U53" s="114"/>
      <c r="V53" s="114"/>
      <c r="W53" s="114"/>
      <c r="X53" s="114"/>
      <c r="Y53" s="114"/>
      <c r="Z53" s="114"/>
      <c r="AA53" s="114"/>
    </row>
    <row r="54" spans="1:27" ht="15" customHeight="1" x14ac:dyDescent="0.4">
      <c r="A54" s="114"/>
      <c r="B54" s="226"/>
      <c r="C54" s="32" t="s">
        <v>10</v>
      </c>
      <c r="D54" s="10">
        <f>D41*D44+(D29+V11)+V20+V24+V32</f>
        <v>14.364419407868201</v>
      </c>
      <c r="E54" s="262"/>
      <c r="F54" s="263"/>
      <c r="G54" s="264"/>
      <c r="H54" s="129"/>
      <c r="I54" s="129"/>
      <c r="J54" s="133"/>
      <c r="K54" s="115"/>
      <c r="L54" s="115"/>
      <c r="M54" s="115"/>
      <c r="N54" s="114"/>
      <c r="O54" s="114"/>
      <c r="P54" s="115"/>
      <c r="Q54" s="115"/>
      <c r="R54" s="115"/>
      <c r="S54" s="115"/>
      <c r="T54" s="114"/>
      <c r="U54" s="114"/>
      <c r="V54" s="114"/>
      <c r="W54" s="114"/>
      <c r="X54" s="114"/>
      <c r="Y54" s="114"/>
      <c r="Z54" s="114"/>
      <c r="AA54" s="114"/>
    </row>
    <row r="55" spans="1:27" ht="15" customHeight="1" thickBot="1" x14ac:dyDescent="0.45">
      <c r="A55" s="114"/>
      <c r="B55" s="259"/>
      <c r="C55" s="35" t="s">
        <v>48</v>
      </c>
      <c r="D55" s="38">
        <f>D54/D52</f>
        <v>2.2138290056143131</v>
      </c>
      <c r="E55" s="262"/>
      <c r="F55" s="263"/>
      <c r="G55" s="264"/>
      <c r="H55" s="129"/>
      <c r="I55" s="129"/>
      <c r="J55" s="133"/>
      <c r="K55" s="115"/>
      <c r="L55" s="115"/>
      <c r="M55" s="115"/>
      <c r="N55" s="114"/>
      <c r="O55" s="114"/>
      <c r="P55" s="115"/>
      <c r="Q55" s="115"/>
      <c r="R55" s="115"/>
      <c r="S55" s="115"/>
      <c r="T55" s="114"/>
      <c r="U55" s="114"/>
      <c r="V55" s="116"/>
      <c r="W55" s="114"/>
      <c r="X55" s="114"/>
      <c r="Y55" s="114"/>
      <c r="Z55" s="114"/>
      <c r="AA55" s="114"/>
    </row>
    <row r="56" spans="1:27" ht="15" customHeight="1" x14ac:dyDescent="0.4">
      <c r="A56" s="114"/>
      <c r="B56" s="250" t="s">
        <v>66</v>
      </c>
      <c r="C56" s="31" t="s">
        <v>74</v>
      </c>
      <c r="D56" s="50">
        <f>D43*D44/1000</f>
        <v>1.0886400000000001</v>
      </c>
      <c r="E56" s="262"/>
      <c r="F56" s="263"/>
      <c r="G56" s="264"/>
      <c r="H56" s="129"/>
      <c r="I56" s="129"/>
      <c r="J56" s="133"/>
      <c r="K56" s="115"/>
      <c r="L56" s="115"/>
      <c r="M56" s="115"/>
      <c r="N56" s="114"/>
      <c r="O56" s="114"/>
      <c r="P56" s="115"/>
      <c r="Q56" s="115"/>
      <c r="R56" s="115"/>
      <c r="S56" s="115"/>
      <c r="T56" s="114"/>
      <c r="U56" s="114"/>
      <c r="V56" s="116"/>
      <c r="W56" s="114"/>
      <c r="X56" s="114"/>
      <c r="Y56" s="114"/>
      <c r="Z56" s="114"/>
      <c r="AA56" s="114"/>
    </row>
    <row r="57" spans="1:27" ht="15" customHeight="1" x14ac:dyDescent="0.4">
      <c r="A57" s="114"/>
      <c r="B57" s="226"/>
      <c r="C57" s="32" t="s">
        <v>34</v>
      </c>
      <c r="D57" s="110">
        <f>H3</f>
        <v>3.75</v>
      </c>
      <c r="E57" s="262"/>
      <c r="F57" s="263"/>
      <c r="G57" s="264"/>
      <c r="H57" s="129"/>
      <c r="I57" s="129"/>
      <c r="J57" s="133"/>
      <c r="K57" s="115"/>
      <c r="L57" s="115"/>
      <c r="M57" s="115"/>
      <c r="N57" s="114"/>
      <c r="O57" s="114"/>
      <c r="P57" s="115"/>
      <c r="Q57" s="115"/>
      <c r="R57" s="115"/>
      <c r="S57" s="115"/>
      <c r="T57" s="114"/>
      <c r="U57" s="114"/>
      <c r="V57" s="116"/>
      <c r="W57" s="114"/>
      <c r="X57" s="114"/>
      <c r="Y57" s="114"/>
      <c r="Z57" s="114"/>
      <c r="AA57" s="114"/>
    </row>
    <row r="58" spans="1:27" ht="15" customHeight="1" x14ac:dyDescent="0.4">
      <c r="A58" s="114"/>
      <c r="B58" s="226"/>
      <c r="C58" s="32" t="s">
        <v>35</v>
      </c>
      <c r="D58" s="8">
        <f>D56*D57</f>
        <v>4.0823999999999998</v>
      </c>
      <c r="E58" s="262"/>
      <c r="F58" s="263"/>
      <c r="G58" s="264"/>
      <c r="H58" s="114"/>
      <c r="I58" s="129"/>
      <c r="J58" s="133"/>
      <c r="K58" s="115"/>
      <c r="L58" s="115"/>
      <c r="M58" s="115"/>
      <c r="N58" s="114"/>
      <c r="O58" s="114"/>
      <c r="P58" s="115"/>
      <c r="Q58" s="115"/>
      <c r="R58" s="115"/>
      <c r="S58" s="115"/>
      <c r="T58" s="114"/>
      <c r="U58" s="114"/>
      <c r="V58" s="116"/>
      <c r="W58" s="114"/>
      <c r="X58" s="114"/>
      <c r="Y58" s="114"/>
      <c r="Z58" s="114"/>
      <c r="AA58" s="114"/>
    </row>
    <row r="59" spans="1:27" ht="15" customHeight="1" x14ac:dyDescent="0.4">
      <c r="A59" s="114"/>
      <c r="B59" s="226"/>
      <c r="C59" s="32" t="s">
        <v>64</v>
      </c>
      <c r="D59" s="29">
        <f>D58/D54*1000</f>
        <v>284.20222802488206</v>
      </c>
      <c r="E59" s="262"/>
      <c r="F59" s="263"/>
      <c r="G59" s="264"/>
      <c r="H59" s="114"/>
      <c r="I59" s="129"/>
      <c r="J59" s="133"/>
      <c r="K59" s="115"/>
      <c r="L59" s="115"/>
      <c r="M59" s="115"/>
      <c r="N59" s="114"/>
      <c r="O59" s="114"/>
      <c r="P59" s="115"/>
      <c r="Q59" s="115"/>
      <c r="R59" s="115"/>
      <c r="S59" s="115"/>
      <c r="T59" s="114"/>
      <c r="U59" s="114"/>
      <c r="V59" s="116"/>
      <c r="W59" s="114"/>
      <c r="X59" s="114"/>
      <c r="Y59" s="114"/>
      <c r="Z59" s="114"/>
      <c r="AA59" s="114"/>
    </row>
    <row r="60" spans="1:27" ht="15" customHeight="1" thickBot="1" x14ac:dyDescent="0.45">
      <c r="A60" s="114"/>
      <c r="B60" s="259"/>
      <c r="C60" s="35" t="s">
        <v>65</v>
      </c>
      <c r="D60" s="30">
        <f>D58/D52*1000</f>
        <v>629.17513586169696</v>
      </c>
      <c r="E60" s="265"/>
      <c r="F60" s="266"/>
      <c r="G60" s="267"/>
      <c r="H60" s="114"/>
      <c r="I60" s="114"/>
      <c r="J60" s="115"/>
      <c r="K60" s="115"/>
      <c r="L60" s="115"/>
      <c r="M60" s="115"/>
      <c r="N60" s="114"/>
      <c r="O60" s="114"/>
      <c r="P60" s="115"/>
      <c r="Q60" s="115"/>
      <c r="R60" s="115"/>
      <c r="S60" s="115"/>
      <c r="T60" s="114"/>
      <c r="U60" s="114"/>
      <c r="V60" s="116"/>
      <c r="W60" s="114"/>
      <c r="X60" s="114"/>
      <c r="Y60" s="114"/>
      <c r="Z60" s="114"/>
      <c r="AA60" s="114"/>
    </row>
    <row r="61" spans="1:27" ht="15" customHeight="1" x14ac:dyDescent="0.4">
      <c r="A61" s="114"/>
      <c r="B61" s="114"/>
      <c r="C61" s="114"/>
      <c r="D61" s="126"/>
      <c r="E61" s="115"/>
      <c r="F61" s="115"/>
      <c r="G61" s="115"/>
      <c r="H61" s="114"/>
      <c r="I61" s="114"/>
      <c r="J61" s="115"/>
      <c r="K61" s="115"/>
      <c r="L61" s="115"/>
      <c r="M61" s="115"/>
      <c r="N61" s="114"/>
      <c r="O61" s="114"/>
      <c r="P61" s="115"/>
      <c r="Q61" s="115"/>
      <c r="R61" s="115"/>
      <c r="S61" s="115"/>
      <c r="T61" s="114"/>
      <c r="U61" s="114"/>
      <c r="V61" s="116"/>
      <c r="W61" s="114"/>
      <c r="X61" s="114"/>
      <c r="Y61" s="114"/>
      <c r="Z61" s="114"/>
      <c r="AA61" s="114"/>
    </row>
    <row r="62" spans="1:27" ht="15" customHeight="1" x14ac:dyDescent="0.4">
      <c r="A62" s="114"/>
      <c r="B62" s="114"/>
      <c r="C62" s="114"/>
      <c r="D62" s="115"/>
      <c r="E62" s="115"/>
      <c r="F62" s="115"/>
      <c r="G62" s="115"/>
      <c r="H62" s="114"/>
      <c r="I62" s="114"/>
      <c r="J62" s="115"/>
      <c r="K62" s="115"/>
      <c r="L62" s="115"/>
      <c r="M62" s="115"/>
      <c r="N62" s="114"/>
      <c r="O62" s="114"/>
      <c r="P62" s="115"/>
      <c r="Q62" s="115"/>
      <c r="R62" s="115"/>
      <c r="S62" s="115"/>
      <c r="T62" s="114"/>
      <c r="U62" s="114"/>
      <c r="V62" s="116"/>
      <c r="W62" s="114"/>
      <c r="X62" s="114"/>
      <c r="Y62" s="114"/>
      <c r="Z62" s="114"/>
      <c r="AA62" s="114"/>
    </row>
    <row r="63" spans="1:27" ht="15" customHeight="1" x14ac:dyDescent="0.4">
      <c r="A63" s="114"/>
      <c r="B63" s="114"/>
      <c r="C63" s="114"/>
      <c r="D63" s="115"/>
      <c r="E63" s="115"/>
      <c r="F63" s="115"/>
      <c r="G63" s="115"/>
      <c r="H63" s="114"/>
      <c r="I63" s="114"/>
      <c r="J63" s="115"/>
      <c r="K63" s="115"/>
      <c r="L63" s="115"/>
      <c r="M63" s="115"/>
      <c r="N63" s="114"/>
      <c r="O63" s="114"/>
      <c r="P63" s="115"/>
      <c r="Q63" s="115"/>
      <c r="R63" s="115"/>
      <c r="S63" s="115"/>
      <c r="T63" s="114"/>
      <c r="U63" s="114"/>
      <c r="V63" s="116"/>
      <c r="W63" s="114"/>
      <c r="X63" s="114"/>
      <c r="Y63" s="114"/>
      <c r="Z63" s="114"/>
      <c r="AA63" s="114"/>
    </row>
  </sheetData>
  <mergeCells count="58">
    <mergeCell ref="B35:G35"/>
    <mergeCell ref="B36:B43"/>
    <mergeCell ref="E36:G43"/>
    <mergeCell ref="B44:B55"/>
    <mergeCell ref="E44:G60"/>
    <mergeCell ref="B56:B60"/>
    <mergeCell ref="T18:T21"/>
    <mergeCell ref="W18:Y18"/>
    <mergeCell ref="W19:Y19"/>
    <mergeCell ref="N20:N21"/>
    <mergeCell ref="W20:Z20"/>
    <mergeCell ref="T22:T25"/>
    <mergeCell ref="W22:W25"/>
    <mergeCell ref="B24:B30"/>
    <mergeCell ref="H24:H30"/>
    <mergeCell ref="T26:V26"/>
    <mergeCell ref="W26:W30"/>
    <mergeCell ref="T27:T33"/>
    <mergeCell ref="N29:N30"/>
    <mergeCell ref="B31:B33"/>
    <mergeCell ref="H31:H33"/>
    <mergeCell ref="N31:N33"/>
    <mergeCell ref="W31:W32"/>
    <mergeCell ref="Q12:S33"/>
    <mergeCell ref="B22:B23"/>
    <mergeCell ref="H22:H23"/>
    <mergeCell ref="N22:N28"/>
    <mergeCell ref="T12:T14"/>
    <mergeCell ref="W12:W14"/>
    <mergeCell ref="T15:T17"/>
    <mergeCell ref="W15:X15"/>
    <mergeCell ref="W16:Y16"/>
    <mergeCell ref="W17:Y17"/>
    <mergeCell ref="B6:B11"/>
    <mergeCell ref="H6:H11"/>
    <mergeCell ref="N6:N11"/>
    <mergeCell ref="O6:O7"/>
    <mergeCell ref="S6:S7"/>
    <mergeCell ref="B12:B21"/>
    <mergeCell ref="E12:G33"/>
    <mergeCell ref="H12:H21"/>
    <mergeCell ref="K12:M33"/>
    <mergeCell ref="N12:N19"/>
    <mergeCell ref="T5:V5"/>
    <mergeCell ref="W5:Z5"/>
    <mergeCell ref="T6:T8"/>
    <mergeCell ref="W7:W8"/>
    <mergeCell ref="T9:T11"/>
    <mergeCell ref="W9:W11"/>
    <mergeCell ref="J2:K2"/>
    <mergeCell ref="J3:K3"/>
    <mergeCell ref="B5:G5"/>
    <mergeCell ref="H5:M5"/>
    <mergeCell ref="N5:S5"/>
    <mergeCell ref="L2:M2"/>
    <mergeCell ref="L3:M3"/>
    <mergeCell ref="N2:P2"/>
    <mergeCell ref="N3:P3"/>
  </mergeCells>
  <phoneticPr fontId="1"/>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EA0036-3BAC-4EAF-8F94-7B8AE3F509B9}">
  <dimension ref="A1:AA63"/>
  <sheetViews>
    <sheetView zoomScaleNormal="100" workbookViewId="0"/>
  </sheetViews>
  <sheetFormatPr defaultColWidth="9.625" defaultRowHeight="15" customHeight="1" x14ac:dyDescent="0.4"/>
  <cols>
    <col min="1" max="1" width="4.125" style="1" customWidth="1"/>
    <col min="2" max="2" width="8.625" style="1" customWidth="1"/>
    <col min="3" max="3" width="17.625" style="1" customWidth="1"/>
    <col min="4" max="7" width="6.625" style="2" customWidth="1"/>
    <col min="8" max="8" width="8.625" style="1" customWidth="1"/>
    <col min="9" max="9" width="17.625" style="1" customWidth="1"/>
    <col min="10" max="13" width="6.625" style="2" customWidth="1"/>
    <col min="14" max="14" width="8.625" style="1" customWidth="1"/>
    <col min="15" max="15" width="17.625" style="1" customWidth="1"/>
    <col min="16" max="19" width="6.625" style="2" customWidth="1"/>
    <col min="20" max="20" width="8.625" style="1" customWidth="1"/>
    <col min="21" max="21" width="17.625" style="1" customWidth="1"/>
    <col min="22" max="22" width="6.625" style="3" customWidth="1"/>
    <col min="23" max="23" width="9.625" style="1"/>
    <col min="24" max="24" width="17.625" style="1" customWidth="1"/>
    <col min="25" max="26" width="6.625" style="1" customWidth="1"/>
    <col min="27" max="27" width="4" style="1" customWidth="1"/>
    <col min="28" max="16384" width="9.625" style="1"/>
  </cols>
  <sheetData>
    <row r="1" spans="1:27" ht="15" customHeight="1" thickBot="1" x14ac:dyDescent="0.45">
      <c r="A1" s="114"/>
      <c r="B1" s="114"/>
      <c r="C1" s="114"/>
      <c r="D1" s="115"/>
      <c r="E1" s="115"/>
      <c r="F1" s="115"/>
      <c r="G1" s="115"/>
      <c r="H1" s="114"/>
      <c r="I1" s="114"/>
      <c r="J1" s="115"/>
      <c r="K1" s="115"/>
      <c r="L1" s="115"/>
      <c r="M1" s="115"/>
      <c r="N1" s="114"/>
      <c r="O1" s="114"/>
      <c r="P1" s="115"/>
      <c r="Q1" s="115"/>
      <c r="R1" s="115"/>
      <c r="S1" s="115"/>
      <c r="T1" s="114"/>
      <c r="U1" s="114"/>
      <c r="V1" s="116"/>
      <c r="W1" s="114"/>
      <c r="X1" s="114"/>
      <c r="Y1" s="114"/>
      <c r="Z1" s="114"/>
      <c r="AA1" s="114"/>
    </row>
    <row r="2" spans="1:27" ht="15" customHeight="1" x14ac:dyDescent="0.4">
      <c r="A2" s="114"/>
      <c r="B2" s="114"/>
      <c r="C2" s="114"/>
      <c r="D2" s="117" t="s">
        <v>109</v>
      </c>
      <c r="E2" s="118" t="s">
        <v>110</v>
      </c>
      <c r="F2" s="119" t="s">
        <v>111</v>
      </c>
      <c r="G2" s="120" t="s">
        <v>112</v>
      </c>
      <c r="H2" s="120" t="s">
        <v>127</v>
      </c>
      <c r="I2" s="120" t="s">
        <v>114</v>
      </c>
      <c r="J2" s="156" t="s">
        <v>125</v>
      </c>
      <c r="K2" s="157"/>
      <c r="L2" s="156" t="s">
        <v>69</v>
      </c>
      <c r="M2" s="157"/>
      <c r="N2" s="156" t="s">
        <v>129</v>
      </c>
      <c r="O2" s="171"/>
      <c r="P2" s="171"/>
      <c r="Q2" s="151">
        <f>D59</f>
        <v>292.10111612863835</v>
      </c>
      <c r="R2" s="115"/>
      <c r="S2" s="115"/>
      <c r="T2" s="114"/>
      <c r="U2" s="114"/>
      <c r="V2" s="116"/>
      <c r="W2" s="114"/>
      <c r="X2" s="114"/>
      <c r="Y2" s="114"/>
      <c r="Z2" s="114"/>
      <c r="AA2" s="114"/>
    </row>
    <row r="3" spans="1:27" ht="15" customHeight="1" thickBot="1" x14ac:dyDescent="0.45">
      <c r="A3" s="114"/>
      <c r="B3" s="114"/>
      <c r="C3" s="114"/>
      <c r="D3" s="121">
        <v>3.8</v>
      </c>
      <c r="E3" s="122">
        <v>3</v>
      </c>
      <c r="F3" s="123">
        <v>3</v>
      </c>
      <c r="G3" s="124">
        <v>7</v>
      </c>
      <c r="H3" s="125">
        <v>3.73</v>
      </c>
      <c r="I3" s="141">
        <f>D56</f>
        <v>1.034208</v>
      </c>
      <c r="J3" s="158">
        <v>22.2</v>
      </c>
      <c r="K3" s="159"/>
      <c r="L3" s="169">
        <f>D53</f>
        <v>2.0258125079015699E-3</v>
      </c>
      <c r="M3" s="170"/>
      <c r="N3" s="172" t="s">
        <v>128</v>
      </c>
      <c r="O3" s="173"/>
      <c r="P3" s="173"/>
      <c r="Q3" s="152">
        <f>D60</f>
        <v>536.75598049438702</v>
      </c>
      <c r="R3" s="115"/>
      <c r="S3" s="115"/>
      <c r="T3" s="114"/>
      <c r="U3" s="114"/>
      <c r="V3" s="116"/>
      <c r="W3" s="114"/>
      <c r="X3" s="114"/>
      <c r="Y3" s="114"/>
      <c r="Z3" s="114"/>
      <c r="AA3" s="114"/>
    </row>
    <row r="4" spans="1:27" ht="15" customHeight="1" thickBot="1" x14ac:dyDescent="0.45">
      <c r="A4" s="114"/>
      <c r="B4" s="114"/>
      <c r="C4" s="114"/>
      <c r="D4" s="115"/>
      <c r="E4" s="115"/>
      <c r="F4" s="115"/>
      <c r="G4" s="115"/>
      <c r="H4" s="114"/>
      <c r="I4" s="114"/>
      <c r="J4" s="115"/>
      <c r="K4" s="115"/>
      <c r="L4" s="115"/>
      <c r="M4" s="115"/>
      <c r="N4" s="114"/>
      <c r="O4" s="114"/>
      <c r="P4" s="115"/>
      <c r="Q4" s="115"/>
      <c r="R4" s="115"/>
      <c r="S4" s="115"/>
      <c r="T4" s="114"/>
      <c r="U4" s="114"/>
      <c r="V4" s="116"/>
      <c r="W4" s="114"/>
      <c r="X4" s="114"/>
      <c r="Y4" s="114"/>
      <c r="Z4" s="114"/>
      <c r="AA4" s="114"/>
    </row>
    <row r="5" spans="1:27" ht="15" customHeight="1" thickBot="1" x14ac:dyDescent="0.45">
      <c r="A5" s="114"/>
      <c r="B5" s="160" t="s">
        <v>0</v>
      </c>
      <c r="C5" s="161"/>
      <c r="D5" s="161"/>
      <c r="E5" s="161"/>
      <c r="F5" s="161"/>
      <c r="G5" s="162"/>
      <c r="H5" s="163" t="s">
        <v>19</v>
      </c>
      <c r="I5" s="164"/>
      <c r="J5" s="164"/>
      <c r="K5" s="164"/>
      <c r="L5" s="164"/>
      <c r="M5" s="165"/>
      <c r="N5" s="166" t="s">
        <v>23</v>
      </c>
      <c r="O5" s="167"/>
      <c r="P5" s="167"/>
      <c r="Q5" s="167"/>
      <c r="R5" s="167"/>
      <c r="S5" s="168"/>
      <c r="T5" s="174" t="s">
        <v>82</v>
      </c>
      <c r="U5" s="175"/>
      <c r="V5" s="176"/>
      <c r="W5" s="177" t="s">
        <v>28</v>
      </c>
      <c r="X5" s="178"/>
      <c r="Y5" s="178"/>
      <c r="Z5" s="179"/>
      <c r="AA5" s="114"/>
    </row>
    <row r="6" spans="1:27" ht="15" customHeight="1" x14ac:dyDescent="0.4">
      <c r="A6" s="114"/>
      <c r="B6" s="200" t="s">
        <v>3</v>
      </c>
      <c r="C6" s="13" t="s">
        <v>14</v>
      </c>
      <c r="D6" s="66" t="s">
        <v>130</v>
      </c>
      <c r="E6" s="66" t="s">
        <v>98</v>
      </c>
      <c r="F6" s="66" t="s">
        <v>90</v>
      </c>
      <c r="G6" s="4" t="s">
        <v>12</v>
      </c>
      <c r="H6" s="201" t="s">
        <v>3</v>
      </c>
      <c r="I6" s="16" t="s">
        <v>14</v>
      </c>
      <c r="J6" s="66" t="s">
        <v>76</v>
      </c>
      <c r="K6" s="66" t="s">
        <v>99</v>
      </c>
      <c r="L6" s="66" t="s">
        <v>91</v>
      </c>
      <c r="M6" s="5" t="s">
        <v>12</v>
      </c>
      <c r="N6" s="202" t="s">
        <v>3</v>
      </c>
      <c r="O6" s="205" t="s">
        <v>14</v>
      </c>
      <c r="P6" s="67" t="s">
        <v>26</v>
      </c>
      <c r="Q6" s="67" t="s">
        <v>27</v>
      </c>
      <c r="R6" s="67" t="s">
        <v>92</v>
      </c>
      <c r="S6" s="207" t="s">
        <v>12</v>
      </c>
      <c r="T6" s="180" t="s">
        <v>70</v>
      </c>
      <c r="U6" s="43" t="s">
        <v>17</v>
      </c>
      <c r="V6" s="55">
        <v>6</v>
      </c>
      <c r="W6" s="28" t="s">
        <v>113</v>
      </c>
      <c r="X6" s="69" t="s">
        <v>95</v>
      </c>
      <c r="Y6" s="72" t="s">
        <v>63</v>
      </c>
      <c r="Z6" s="73" t="s">
        <v>30</v>
      </c>
      <c r="AA6" s="114"/>
    </row>
    <row r="7" spans="1:27" ht="15" customHeight="1" x14ac:dyDescent="0.4">
      <c r="A7" s="114"/>
      <c r="B7" s="198"/>
      <c r="C7" s="14" t="s">
        <v>49</v>
      </c>
      <c r="D7" s="80">
        <v>180</v>
      </c>
      <c r="E7" s="80">
        <v>0</v>
      </c>
      <c r="F7" s="80">
        <v>0</v>
      </c>
      <c r="G7" s="25">
        <f>D7</f>
        <v>180</v>
      </c>
      <c r="H7" s="198"/>
      <c r="I7" s="16" t="s">
        <v>49</v>
      </c>
      <c r="J7" s="80">
        <v>3860</v>
      </c>
      <c r="K7" s="80">
        <v>0</v>
      </c>
      <c r="L7" s="80">
        <v>0</v>
      </c>
      <c r="M7" s="25">
        <f>J7</f>
        <v>3860</v>
      </c>
      <c r="N7" s="203"/>
      <c r="O7" s="206"/>
      <c r="P7" s="67" t="s">
        <v>24</v>
      </c>
      <c r="Q7" s="67" t="s">
        <v>93</v>
      </c>
      <c r="R7" s="67" t="s">
        <v>94</v>
      </c>
      <c r="S7" s="208"/>
      <c r="T7" s="181"/>
      <c r="U7" s="44" t="s">
        <v>9</v>
      </c>
      <c r="V7" s="40">
        <v>8</v>
      </c>
      <c r="W7" s="183" t="s">
        <v>61</v>
      </c>
      <c r="X7" s="68" t="s">
        <v>95</v>
      </c>
      <c r="Y7" s="62">
        <v>0</v>
      </c>
      <c r="Z7" s="61">
        <f>Y7*$Z$18/100</f>
        <v>0</v>
      </c>
      <c r="AA7" s="114"/>
    </row>
    <row r="8" spans="1:27" ht="15" customHeight="1" x14ac:dyDescent="0.4">
      <c r="A8" s="114"/>
      <c r="B8" s="198"/>
      <c r="C8" s="14" t="s">
        <v>11</v>
      </c>
      <c r="D8" s="81">
        <v>96</v>
      </c>
      <c r="E8" s="81">
        <v>2</v>
      </c>
      <c r="F8" s="81">
        <v>2</v>
      </c>
      <c r="G8" s="39">
        <f>SUM(D8:F8)</f>
        <v>100</v>
      </c>
      <c r="H8" s="198"/>
      <c r="I8" s="16" t="s">
        <v>11</v>
      </c>
      <c r="J8" s="81">
        <v>100</v>
      </c>
      <c r="K8" s="81">
        <v>0</v>
      </c>
      <c r="L8" s="81">
        <v>0</v>
      </c>
      <c r="M8" s="39">
        <f>SUM(J8:L8)</f>
        <v>100</v>
      </c>
      <c r="N8" s="203"/>
      <c r="O8" s="18" t="s">
        <v>43</v>
      </c>
      <c r="P8" s="58">
        <v>1.093</v>
      </c>
      <c r="Q8" s="58">
        <v>0</v>
      </c>
      <c r="R8" s="58">
        <v>0</v>
      </c>
      <c r="S8" s="8">
        <f>SUM(P8:R8)</f>
        <v>1.093</v>
      </c>
      <c r="T8" s="182"/>
      <c r="U8" s="44" t="s">
        <v>40</v>
      </c>
      <c r="V8" s="25">
        <f>V6*V7/100</f>
        <v>0.48</v>
      </c>
      <c r="W8" s="184"/>
      <c r="X8" s="68" t="s">
        <v>95</v>
      </c>
      <c r="Y8" s="62">
        <v>0</v>
      </c>
      <c r="Z8" s="61">
        <f t="shared" ref="Z8:Z15" si="0">Y8*$Z$18/100</f>
        <v>0</v>
      </c>
      <c r="AA8" s="114"/>
    </row>
    <row r="9" spans="1:27" ht="15" customHeight="1" x14ac:dyDescent="0.4">
      <c r="A9" s="114"/>
      <c r="B9" s="198"/>
      <c r="C9" s="14" t="s">
        <v>38</v>
      </c>
      <c r="D9" s="58">
        <v>4.7</v>
      </c>
      <c r="E9" s="58">
        <v>1.8</v>
      </c>
      <c r="F9" s="58">
        <v>1.78</v>
      </c>
      <c r="G9" s="9">
        <f>G10/G11</f>
        <v>4.4130162116541047</v>
      </c>
      <c r="H9" s="198"/>
      <c r="I9" s="16" t="s">
        <v>38</v>
      </c>
      <c r="J9" s="57">
        <v>0.53400000000000003</v>
      </c>
      <c r="K9" s="57">
        <v>0</v>
      </c>
      <c r="L9" s="57">
        <v>0</v>
      </c>
      <c r="M9" s="10">
        <f>M10/M11</f>
        <v>0.53399999999999992</v>
      </c>
      <c r="N9" s="203"/>
      <c r="O9" s="18" t="s">
        <v>38</v>
      </c>
      <c r="P9" s="57">
        <v>0.93</v>
      </c>
      <c r="Q9" s="57">
        <v>0</v>
      </c>
      <c r="R9" s="57">
        <v>0</v>
      </c>
      <c r="S9" s="10">
        <f>S10/S11</f>
        <v>0.93</v>
      </c>
      <c r="T9" s="185" t="s">
        <v>81</v>
      </c>
      <c r="U9" s="26" t="s">
        <v>36</v>
      </c>
      <c r="V9" s="45">
        <f>D24</f>
        <v>15</v>
      </c>
      <c r="W9" s="183" t="s">
        <v>60</v>
      </c>
      <c r="X9" s="68" t="s">
        <v>95</v>
      </c>
      <c r="Y9" s="62">
        <v>0</v>
      </c>
      <c r="Z9" s="61">
        <f t="shared" si="0"/>
        <v>0</v>
      </c>
      <c r="AA9" s="114"/>
    </row>
    <row r="10" spans="1:27" ht="15" customHeight="1" x14ac:dyDescent="0.4">
      <c r="A10" s="114"/>
      <c r="B10" s="198"/>
      <c r="C10" s="14" t="s">
        <v>10</v>
      </c>
      <c r="D10" s="36">
        <f>D43/G7</f>
        <v>0.82079999999999997</v>
      </c>
      <c r="E10" s="36">
        <f>G10*E8/100</f>
        <v>1.7100000000000001E-2</v>
      </c>
      <c r="F10" s="36">
        <f>G10*F8/100</f>
        <v>1.7100000000000001E-2</v>
      </c>
      <c r="G10" s="10">
        <f>D10/D8*100</f>
        <v>0.85499999999999998</v>
      </c>
      <c r="H10" s="198"/>
      <c r="I10" s="16" t="s">
        <v>10</v>
      </c>
      <c r="J10" s="36">
        <f>D43*D42/M7</f>
        <v>0.11482694300518134</v>
      </c>
      <c r="K10" s="36">
        <f>M10*K8/100</f>
        <v>0</v>
      </c>
      <c r="L10" s="36">
        <f>M10*L8/100</f>
        <v>0</v>
      </c>
      <c r="M10" s="10">
        <f>J10/J8*100</f>
        <v>0.11482694300518133</v>
      </c>
      <c r="N10" s="203"/>
      <c r="O10" s="18" t="s">
        <v>10</v>
      </c>
      <c r="P10" s="36">
        <f>P8*P16/1000</f>
        <v>5.0715199999999995E-2</v>
      </c>
      <c r="Q10" s="36">
        <f>Q8*P25/1000</f>
        <v>0</v>
      </c>
      <c r="R10" s="36">
        <f>R8*P25/1000</f>
        <v>0</v>
      </c>
      <c r="S10" s="10">
        <f>SUM(P10:R10)</f>
        <v>5.0715199999999995E-2</v>
      </c>
      <c r="T10" s="181"/>
      <c r="U10" s="44" t="s">
        <v>37</v>
      </c>
      <c r="V10" s="10">
        <f>V8*V9/10000</f>
        <v>7.1999999999999994E-4</v>
      </c>
      <c r="W10" s="184"/>
      <c r="X10" s="68" t="s">
        <v>95</v>
      </c>
      <c r="Y10" s="62">
        <v>0</v>
      </c>
      <c r="Z10" s="61">
        <f t="shared" si="0"/>
        <v>0</v>
      </c>
      <c r="AA10" s="114"/>
    </row>
    <row r="11" spans="1:27" ht="15" customHeight="1" x14ac:dyDescent="0.4">
      <c r="A11" s="114"/>
      <c r="B11" s="199"/>
      <c r="C11" s="14" t="s">
        <v>37</v>
      </c>
      <c r="D11" s="36">
        <f>D10/D9</f>
        <v>0.17463829787234042</v>
      </c>
      <c r="E11" s="36">
        <f t="shared" ref="E11:F11" si="1">E10/E9</f>
        <v>9.4999999999999998E-3</v>
      </c>
      <c r="F11" s="36">
        <f t="shared" si="1"/>
        <v>9.6067415730337075E-3</v>
      </c>
      <c r="G11" s="10">
        <f>SUM(D11:F11)</f>
        <v>0.19374503944537413</v>
      </c>
      <c r="H11" s="199"/>
      <c r="I11" s="16" t="s">
        <v>37</v>
      </c>
      <c r="J11" s="36">
        <f>J10/J9</f>
        <v>0.21503172847412236</v>
      </c>
      <c r="K11" s="36">
        <f>K10/(K9+0.00001)</f>
        <v>0</v>
      </c>
      <c r="L11" s="36">
        <f>L10/(L9+0.00001)</f>
        <v>0</v>
      </c>
      <c r="M11" s="10">
        <f>SUM(J11:L11)</f>
        <v>0.21503172847412236</v>
      </c>
      <c r="N11" s="204"/>
      <c r="O11" s="18" t="s">
        <v>37</v>
      </c>
      <c r="P11" s="36">
        <f>P10/P9</f>
        <v>5.4532473118279565E-2</v>
      </c>
      <c r="Q11" s="36">
        <f>Q10/(Q9+0.00001)</f>
        <v>0</v>
      </c>
      <c r="R11" s="36">
        <f>R10/(R9+0.00001)</f>
        <v>0</v>
      </c>
      <c r="S11" s="10">
        <f>SUM(P11:R11)</f>
        <v>5.4532473118279565E-2</v>
      </c>
      <c r="T11" s="182"/>
      <c r="U11" s="22" t="s">
        <v>10</v>
      </c>
      <c r="V11" s="10">
        <f>V10*D30</f>
        <v>1.9432799999999997E-3</v>
      </c>
      <c r="W11" s="184"/>
      <c r="X11" s="68" t="s">
        <v>95</v>
      </c>
      <c r="Y11" s="63">
        <v>0</v>
      </c>
      <c r="Z11" s="61">
        <f t="shared" si="0"/>
        <v>0</v>
      </c>
      <c r="AA11" s="114"/>
    </row>
    <row r="12" spans="1:27" ht="15" customHeight="1" x14ac:dyDescent="0.4">
      <c r="A12" s="114"/>
      <c r="B12" s="186" t="s">
        <v>2</v>
      </c>
      <c r="C12" s="14" t="s">
        <v>36</v>
      </c>
      <c r="D12" s="51">
        <v>67</v>
      </c>
      <c r="E12" s="189"/>
      <c r="F12" s="190"/>
      <c r="G12" s="191"/>
      <c r="H12" s="196" t="s">
        <v>2</v>
      </c>
      <c r="I12" s="16" t="s">
        <v>36</v>
      </c>
      <c r="J12" s="51">
        <v>50</v>
      </c>
      <c r="K12" s="189"/>
      <c r="L12" s="190"/>
      <c r="M12" s="191"/>
      <c r="N12" s="197" t="s">
        <v>26</v>
      </c>
      <c r="O12" s="18" t="s">
        <v>36</v>
      </c>
      <c r="P12" s="52">
        <v>20</v>
      </c>
      <c r="Q12" s="234"/>
      <c r="R12" s="190"/>
      <c r="S12" s="191"/>
      <c r="T12" s="185" t="s">
        <v>80</v>
      </c>
      <c r="U12" s="26" t="s">
        <v>36</v>
      </c>
      <c r="V12" s="25">
        <f>J24</f>
        <v>8</v>
      </c>
      <c r="W12" s="183" t="s">
        <v>62</v>
      </c>
      <c r="X12" s="68" t="s">
        <v>95</v>
      </c>
      <c r="Y12" s="63">
        <v>0</v>
      </c>
      <c r="Z12" s="61">
        <f t="shared" si="0"/>
        <v>0</v>
      </c>
      <c r="AA12" s="114"/>
    </row>
    <row r="13" spans="1:27" ht="15" customHeight="1" x14ac:dyDescent="0.4">
      <c r="A13" s="114"/>
      <c r="B13" s="187"/>
      <c r="C13" s="14" t="s">
        <v>7</v>
      </c>
      <c r="D13" s="54">
        <f>D25</f>
        <v>54</v>
      </c>
      <c r="E13" s="192"/>
      <c r="F13" s="192"/>
      <c r="G13" s="193"/>
      <c r="H13" s="187"/>
      <c r="I13" s="16" t="s">
        <v>7</v>
      </c>
      <c r="J13" s="54">
        <f>J25</f>
        <v>55.5</v>
      </c>
      <c r="K13" s="192"/>
      <c r="L13" s="192"/>
      <c r="M13" s="193"/>
      <c r="N13" s="198"/>
      <c r="O13" s="18" t="s">
        <v>52</v>
      </c>
      <c r="P13" s="52">
        <v>58</v>
      </c>
      <c r="Q13" s="235"/>
      <c r="R13" s="192"/>
      <c r="S13" s="193"/>
      <c r="T13" s="181"/>
      <c r="U13" s="44" t="s">
        <v>37</v>
      </c>
      <c r="V13" s="10">
        <f>V8*V12/10000</f>
        <v>3.8400000000000001E-4</v>
      </c>
      <c r="W13" s="184"/>
      <c r="X13" s="68" t="s">
        <v>95</v>
      </c>
      <c r="Y13" s="63">
        <v>0</v>
      </c>
      <c r="Z13" s="61">
        <f t="shared" si="0"/>
        <v>0</v>
      </c>
      <c r="AA13" s="114"/>
    </row>
    <row r="14" spans="1:27" ht="15" customHeight="1" thickBot="1" x14ac:dyDescent="0.45">
      <c r="A14" s="114"/>
      <c r="B14" s="187"/>
      <c r="C14" s="14" t="s">
        <v>8</v>
      </c>
      <c r="D14" s="54">
        <f>D25</f>
        <v>54</v>
      </c>
      <c r="E14" s="192"/>
      <c r="F14" s="192"/>
      <c r="G14" s="193"/>
      <c r="H14" s="187"/>
      <c r="I14" s="16" t="s">
        <v>8</v>
      </c>
      <c r="J14" s="54">
        <f>J25</f>
        <v>55.5</v>
      </c>
      <c r="K14" s="192"/>
      <c r="L14" s="192"/>
      <c r="M14" s="193"/>
      <c r="N14" s="198"/>
      <c r="O14" s="18" t="s">
        <v>53</v>
      </c>
      <c r="P14" s="52">
        <v>58</v>
      </c>
      <c r="Q14" s="235"/>
      <c r="R14" s="192"/>
      <c r="S14" s="193"/>
      <c r="T14" s="209"/>
      <c r="U14" s="27" t="s">
        <v>10</v>
      </c>
      <c r="V14" s="38">
        <f>V13*J30</f>
        <v>3.4406400000000005E-3</v>
      </c>
      <c r="W14" s="184"/>
      <c r="X14" s="68" t="s">
        <v>95</v>
      </c>
      <c r="Y14" s="63">
        <v>0</v>
      </c>
      <c r="Z14" s="61">
        <f t="shared" si="0"/>
        <v>0</v>
      </c>
      <c r="AA14" s="114"/>
    </row>
    <row r="15" spans="1:27" ht="15" customHeight="1" thickBot="1" x14ac:dyDescent="0.45">
      <c r="A15" s="114"/>
      <c r="B15" s="187"/>
      <c r="C15" s="14" t="s">
        <v>9</v>
      </c>
      <c r="D15" s="54">
        <f>D26</f>
        <v>36</v>
      </c>
      <c r="E15" s="192"/>
      <c r="F15" s="192"/>
      <c r="G15" s="193"/>
      <c r="H15" s="187"/>
      <c r="I15" s="16" t="s">
        <v>9</v>
      </c>
      <c r="J15" s="54">
        <f>J26</f>
        <v>37.5</v>
      </c>
      <c r="K15" s="192"/>
      <c r="L15" s="192"/>
      <c r="M15" s="193"/>
      <c r="N15" s="198"/>
      <c r="O15" s="18" t="s">
        <v>9</v>
      </c>
      <c r="P15" s="52">
        <v>40</v>
      </c>
      <c r="Q15" s="235"/>
      <c r="R15" s="192"/>
      <c r="S15" s="193"/>
      <c r="T15" s="210" t="s">
        <v>79</v>
      </c>
      <c r="U15" s="26" t="s">
        <v>17</v>
      </c>
      <c r="V15" s="42">
        <v>20</v>
      </c>
      <c r="W15" s="211" t="s">
        <v>12</v>
      </c>
      <c r="X15" s="212"/>
      <c r="Y15" s="70">
        <f>SUM(Y7:Y14)</f>
        <v>0</v>
      </c>
      <c r="Z15" s="61">
        <f t="shared" si="0"/>
        <v>0</v>
      </c>
      <c r="AA15" s="114"/>
    </row>
    <row r="16" spans="1:27" ht="15" customHeight="1" x14ac:dyDescent="0.4">
      <c r="A16" s="114"/>
      <c r="B16" s="187"/>
      <c r="C16" s="14" t="s">
        <v>41</v>
      </c>
      <c r="D16" s="53">
        <f>(D13+D14)*D15/100</f>
        <v>38.880000000000003</v>
      </c>
      <c r="E16" s="192"/>
      <c r="F16" s="192"/>
      <c r="G16" s="193"/>
      <c r="H16" s="187"/>
      <c r="I16" s="16" t="s">
        <v>41</v>
      </c>
      <c r="J16" s="11">
        <f>(J13+J14)*J15/100</f>
        <v>41.625</v>
      </c>
      <c r="K16" s="192"/>
      <c r="L16" s="192"/>
      <c r="M16" s="193"/>
      <c r="N16" s="198"/>
      <c r="O16" s="18" t="s">
        <v>40</v>
      </c>
      <c r="P16" s="53">
        <f>(P13+P14)*P15/100</f>
        <v>46.4</v>
      </c>
      <c r="Q16" s="235"/>
      <c r="R16" s="192"/>
      <c r="S16" s="193"/>
      <c r="T16" s="198"/>
      <c r="U16" s="22" t="s">
        <v>9</v>
      </c>
      <c r="V16" s="40">
        <v>5</v>
      </c>
      <c r="W16" s="213" t="s">
        <v>39</v>
      </c>
      <c r="X16" s="214"/>
      <c r="Y16" s="215"/>
      <c r="Z16" s="82">
        <v>1.1000000000000001</v>
      </c>
      <c r="AA16" s="114"/>
    </row>
    <row r="17" spans="1:27" ht="15" customHeight="1" x14ac:dyDescent="0.4">
      <c r="A17" s="114"/>
      <c r="B17" s="187"/>
      <c r="C17" s="14" t="s">
        <v>42</v>
      </c>
      <c r="D17" s="36">
        <f>D12*D16/10000</f>
        <v>0.26049600000000001</v>
      </c>
      <c r="E17" s="192"/>
      <c r="F17" s="192"/>
      <c r="G17" s="193"/>
      <c r="H17" s="187"/>
      <c r="I17" s="16" t="s">
        <v>42</v>
      </c>
      <c r="J17" s="36">
        <f>J12*J16/10000</f>
        <v>0.208125</v>
      </c>
      <c r="K17" s="192"/>
      <c r="L17" s="192"/>
      <c r="M17" s="193"/>
      <c r="N17" s="198"/>
      <c r="O17" s="18" t="s">
        <v>37</v>
      </c>
      <c r="P17" s="36">
        <f>P12*P16/10000</f>
        <v>9.2799999999999994E-2</v>
      </c>
      <c r="Q17" s="235"/>
      <c r="R17" s="192"/>
      <c r="S17" s="193"/>
      <c r="T17" s="199"/>
      <c r="U17" s="22" t="s">
        <v>40</v>
      </c>
      <c r="V17" s="25">
        <f>V15*V16/100</f>
        <v>1</v>
      </c>
      <c r="W17" s="216" t="s">
        <v>58</v>
      </c>
      <c r="X17" s="217"/>
      <c r="Y17" s="218"/>
      <c r="Z17" s="107">
        <f>F3</f>
        <v>3</v>
      </c>
      <c r="AA17" s="114"/>
    </row>
    <row r="18" spans="1:27" ht="15" customHeight="1" x14ac:dyDescent="0.4">
      <c r="A18" s="114"/>
      <c r="B18" s="187"/>
      <c r="C18" s="14" t="s">
        <v>18</v>
      </c>
      <c r="D18" s="36">
        <f>G10</f>
        <v>0.85499999999999998</v>
      </c>
      <c r="E18" s="192"/>
      <c r="F18" s="192"/>
      <c r="G18" s="193"/>
      <c r="H18" s="187"/>
      <c r="I18" s="16" t="s">
        <v>18</v>
      </c>
      <c r="J18" s="36">
        <f>M10</f>
        <v>0.11482694300518133</v>
      </c>
      <c r="K18" s="192"/>
      <c r="L18" s="192"/>
      <c r="M18" s="193"/>
      <c r="N18" s="198"/>
      <c r="O18" s="18" t="s">
        <v>10</v>
      </c>
      <c r="P18" s="36">
        <f>P10</f>
        <v>5.0715199999999995E-2</v>
      </c>
      <c r="Q18" s="235"/>
      <c r="R18" s="192"/>
      <c r="S18" s="193"/>
      <c r="T18" s="210" t="s">
        <v>57</v>
      </c>
      <c r="U18" s="26" t="s">
        <v>36</v>
      </c>
      <c r="V18" s="6">
        <v>100</v>
      </c>
      <c r="W18" s="183" t="s">
        <v>10</v>
      </c>
      <c r="X18" s="239"/>
      <c r="Y18" s="240"/>
      <c r="Z18" s="61">
        <f>Z17*D43/1000</f>
        <v>0.44323199999999996</v>
      </c>
      <c r="AA18" s="114"/>
    </row>
    <row r="19" spans="1:27" ht="15" customHeight="1" thickBot="1" x14ac:dyDescent="0.45">
      <c r="A19" s="114"/>
      <c r="B19" s="187"/>
      <c r="C19" s="14" t="s">
        <v>39</v>
      </c>
      <c r="D19" s="59">
        <f>D18/D17</f>
        <v>3.2822001105583194</v>
      </c>
      <c r="E19" s="192"/>
      <c r="F19" s="192"/>
      <c r="G19" s="193"/>
      <c r="H19" s="187"/>
      <c r="I19" s="16" t="s">
        <v>39</v>
      </c>
      <c r="J19" s="59">
        <f>J18/J17</f>
        <v>0.55172104747234274</v>
      </c>
      <c r="K19" s="192"/>
      <c r="L19" s="192"/>
      <c r="M19" s="193"/>
      <c r="N19" s="199"/>
      <c r="O19" s="18" t="s">
        <v>39</v>
      </c>
      <c r="P19" s="59">
        <f>P18/P17</f>
        <v>0.54649999999999999</v>
      </c>
      <c r="Q19" s="235"/>
      <c r="R19" s="192"/>
      <c r="S19" s="193"/>
      <c r="T19" s="198"/>
      <c r="U19" s="22" t="s">
        <v>37</v>
      </c>
      <c r="V19" s="10">
        <f>V17*V18/10000</f>
        <v>0.01</v>
      </c>
      <c r="W19" s="225" t="s">
        <v>37</v>
      </c>
      <c r="X19" s="241"/>
      <c r="Y19" s="242"/>
      <c r="Z19" s="71">
        <f>Z18/Z16</f>
        <v>0.40293818181818175</v>
      </c>
      <c r="AA19" s="114"/>
    </row>
    <row r="20" spans="1:27" ht="15" customHeight="1" thickBot="1" x14ac:dyDescent="0.45">
      <c r="A20" s="114"/>
      <c r="B20" s="187"/>
      <c r="C20" s="14" t="s">
        <v>75</v>
      </c>
      <c r="D20" s="59">
        <f>D10/D16*1000</f>
        <v>21.111111111111107</v>
      </c>
      <c r="E20" s="192"/>
      <c r="F20" s="192"/>
      <c r="G20" s="193"/>
      <c r="H20" s="187"/>
      <c r="I20" s="16" t="s">
        <v>75</v>
      </c>
      <c r="J20" s="59">
        <f>J10/J16*1000</f>
        <v>2.758605237361714</v>
      </c>
      <c r="K20" s="192"/>
      <c r="L20" s="192"/>
      <c r="M20" s="193"/>
      <c r="N20" s="231" t="s">
        <v>15</v>
      </c>
      <c r="O20" s="18" t="s">
        <v>37</v>
      </c>
      <c r="P20" s="59">
        <f>P17-P11</f>
        <v>3.8267526881720429E-2</v>
      </c>
      <c r="Q20" s="235"/>
      <c r="R20" s="192"/>
      <c r="S20" s="193"/>
      <c r="T20" s="198"/>
      <c r="U20" s="22" t="s">
        <v>10</v>
      </c>
      <c r="V20" s="10">
        <f>V19*V21</f>
        <v>2.699E-2</v>
      </c>
      <c r="W20" s="243" t="s">
        <v>101</v>
      </c>
      <c r="X20" s="244"/>
      <c r="Y20" s="245"/>
      <c r="Z20" s="246"/>
      <c r="AA20" s="114"/>
    </row>
    <row r="21" spans="1:27" ht="15" customHeight="1" thickBot="1" x14ac:dyDescent="0.45">
      <c r="A21" s="114"/>
      <c r="B21" s="188"/>
      <c r="C21" s="14" t="s">
        <v>47</v>
      </c>
      <c r="D21" s="108">
        <f>D3</f>
        <v>3.8</v>
      </c>
      <c r="E21" s="192"/>
      <c r="F21" s="192"/>
      <c r="G21" s="193"/>
      <c r="H21" s="188"/>
      <c r="I21" s="16" t="s">
        <v>47</v>
      </c>
      <c r="J21" s="59">
        <f>D43*D42/J16</f>
        <v>10.648216216216216</v>
      </c>
      <c r="K21" s="192"/>
      <c r="L21" s="192"/>
      <c r="M21" s="193"/>
      <c r="N21" s="233"/>
      <c r="O21" s="19" t="s">
        <v>16</v>
      </c>
      <c r="P21" s="136">
        <f>P20/P17*100</f>
        <v>41.236559139784944</v>
      </c>
      <c r="Q21" s="235"/>
      <c r="R21" s="192"/>
      <c r="S21" s="193"/>
      <c r="T21" s="199"/>
      <c r="U21" s="22" t="s">
        <v>39</v>
      </c>
      <c r="V21" s="64">
        <v>2.6989999999999998</v>
      </c>
      <c r="W21" s="75" t="s">
        <v>28</v>
      </c>
      <c r="X21" s="76" t="s">
        <v>102</v>
      </c>
      <c r="Y21" s="77" t="s">
        <v>103</v>
      </c>
      <c r="Z21" s="74" t="s">
        <v>30</v>
      </c>
      <c r="AA21" s="114"/>
    </row>
    <row r="22" spans="1:27" ht="15" customHeight="1" x14ac:dyDescent="0.4">
      <c r="A22" s="114"/>
      <c r="B22" s="237" t="s">
        <v>15</v>
      </c>
      <c r="C22" s="13" t="s">
        <v>37</v>
      </c>
      <c r="D22" s="37">
        <f>D17-G11</f>
        <v>6.6750960554625871E-2</v>
      </c>
      <c r="E22" s="192"/>
      <c r="F22" s="192"/>
      <c r="G22" s="193"/>
      <c r="H22" s="238" t="s">
        <v>15</v>
      </c>
      <c r="I22" s="49" t="s">
        <v>37</v>
      </c>
      <c r="J22" s="37">
        <f>J17-M11</f>
        <v>-6.9067284741223534E-3</v>
      </c>
      <c r="K22" s="192"/>
      <c r="L22" s="192"/>
      <c r="M22" s="193"/>
      <c r="N22" s="204" t="s">
        <v>54</v>
      </c>
      <c r="O22" s="134" t="s">
        <v>44</v>
      </c>
      <c r="P22" s="135">
        <v>0</v>
      </c>
      <c r="Q22" s="235"/>
      <c r="R22" s="192"/>
      <c r="S22" s="193"/>
      <c r="T22" s="219" t="s">
        <v>78</v>
      </c>
      <c r="U22" s="22" t="s">
        <v>36</v>
      </c>
      <c r="V22" s="7">
        <v>100</v>
      </c>
      <c r="W22" s="183" t="s">
        <v>45</v>
      </c>
      <c r="X22" s="20" t="s">
        <v>0</v>
      </c>
      <c r="Y22" s="36">
        <f>D22</f>
        <v>6.6750960554625871E-2</v>
      </c>
      <c r="Z22" s="10">
        <f>Y22*$Z$16</f>
        <v>7.3426056610088469E-2</v>
      </c>
      <c r="AA22" s="114"/>
    </row>
    <row r="23" spans="1:27" ht="15" customHeight="1" x14ac:dyDescent="0.4">
      <c r="A23" s="114"/>
      <c r="B23" s="188"/>
      <c r="C23" s="14" t="s">
        <v>16</v>
      </c>
      <c r="D23" s="60">
        <f>D22/D17*100</f>
        <v>25.624562586230066</v>
      </c>
      <c r="E23" s="192"/>
      <c r="F23" s="192"/>
      <c r="G23" s="193"/>
      <c r="H23" s="188"/>
      <c r="I23" s="16" t="s">
        <v>16</v>
      </c>
      <c r="J23" s="60">
        <f>J22/J17*100</f>
        <v>-3.3185482157945243</v>
      </c>
      <c r="K23" s="192"/>
      <c r="L23" s="192"/>
      <c r="M23" s="193"/>
      <c r="N23" s="231"/>
      <c r="O23" s="18" t="s">
        <v>55</v>
      </c>
      <c r="P23" s="54">
        <f>P13+P14</f>
        <v>116</v>
      </c>
      <c r="Q23" s="235"/>
      <c r="R23" s="192"/>
      <c r="S23" s="193"/>
      <c r="T23" s="198"/>
      <c r="U23" s="22" t="s">
        <v>37</v>
      </c>
      <c r="V23" s="10">
        <f>V17*V22/10000</f>
        <v>0.01</v>
      </c>
      <c r="W23" s="183"/>
      <c r="X23" s="20" t="s">
        <v>19</v>
      </c>
      <c r="Y23" s="36">
        <f>J22</f>
        <v>-6.9067284741223534E-3</v>
      </c>
      <c r="Z23" s="10">
        <f t="shared" ref="Z23:Z25" si="2">Y23*$Z$16</f>
        <v>-7.597401321534589E-3</v>
      </c>
      <c r="AA23" s="114"/>
    </row>
    <row r="24" spans="1:27" ht="15" customHeight="1" x14ac:dyDescent="0.4">
      <c r="A24" s="114"/>
      <c r="B24" s="220" t="s">
        <v>104</v>
      </c>
      <c r="C24" s="14" t="s">
        <v>36</v>
      </c>
      <c r="D24" s="51">
        <v>15</v>
      </c>
      <c r="E24" s="192"/>
      <c r="F24" s="192"/>
      <c r="G24" s="193"/>
      <c r="H24" s="221" t="s">
        <v>105</v>
      </c>
      <c r="I24" s="16" t="s">
        <v>36</v>
      </c>
      <c r="J24" s="51">
        <v>8</v>
      </c>
      <c r="K24" s="192"/>
      <c r="L24" s="192"/>
      <c r="M24" s="193"/>
      <c r="N24" s="231"/>
      <c r="O24" s="18" t="s">
        <v>9</v>
      </c>
      <c r="P24" s="54">
        <f>P15</f>
        <v>40</v>
      </c>
      <c r="Q24" s="235"/>
      <c r="R24" s="192"/>
      <c r="S24" s="193"/>
      <c r="T24" s="198"/>
      <c r="U24" s="22" t="s">
        <v>10</v>
      </c>
      <c r="V24" s="10">
        <f>V23*V25</f>
        <v>8.9019999999999988E-2</v>
      </c>
      <c r="W24" s="183"/>
      <c r="X24" s="20" t="s">
        <v>26</v>
      </c>
      <c r="Y24" s="36">
        <f>P20</f>
        <v>3.8267526881720429E-2</v>
      </c>
      <c r="Z24" s="10">
        <f t="shared" si="2"/>
        <v>4.2094279569892472E-2</v>
      </c>
      <c r="AA24" s="114"/>
    </row>
    <row r="25" spans="1:27" ht="15" customHeight="1" thickBot="1" x14ac:dyDescent="0.45">
      <c r="A25" s="114"/>
      <c r="B25" s="220"/>
      <c r="C25" s="14" t="s">
        <v>17</v>
      </c>
      <c r="D25" s="52">
        <v>54</v>
      </c>
      <c r="E25" s="192"/>
      <c r="F25" s="192"/>
      <c r="G25" s="193"/>
      <c r="H25" s="221"/>
      <c r="I25" s="16" t="s">
        <v>17</v>
      </c>
      <c r="J25" s="52">
        <v>55.5</v>
      </c>
      <c r="K25" s="192"/>
      <c r="L25" s="192"/>
      <c r="M25" s="193"/>
      <c r="N25" s="231"/>
      <c r="O25" s="18" t="s">
        <v>40</v>
      </c>
      <c r="P25" s="53">
        <f>P23*P24/100</f>
        <v>46.4</v>
      </c>
      <c r="Q25" s="235"/>
      <c r="R25" s="192"/>
      <c r="S25" s="193"/>
      <c r="T25" s="198"/>
      <c r="U25" s="24" t="s">
        <v>39</v>
      </c>
      <c r="V25" s="65">
        <v>8.9019999999999992</v>
      </c>
      <c r="W25" s="183"/>
      <c r="X25" s="20" t="s">
        <v>54</v>
      </c>
      <c r="Y25" s="36">
        <f>P29</f>
        <v>1.0000000000000001E-5</v>
      </c>
      <c r="Z25" s="10">
        <f t="shared" si="2"/>
        <v>1.1000000000000001E-5</v>
      </c>
      <c r="AA25" s="114"/>
    </row>
    <row r="26" spans="1:27" ht="15" customHeight="1" thickBot="1" x14ac:dyDescent="0.45">
      <c r="A26" s="114"/>
      <c r="B26" s="220"/>
      <c r="C26" s="14" t="s">
        <v>9</v>
      </c>
      <c r="D26" s="52">
        <v>36</v>
      </c>
      <c r="E26" s="192"/>
      <c r="F26" s="192"/>
      <c r="G26" s="193"/>
      <c r="H26" s="221"/>
      <c r="I26" s="16" t="s">
        <v>9</v>
      </c>
      <c r="J26" s="52">
        <v>37.5</v>
      </c>
      <c r="K26" s="192"/>
      <c r="L26" s="192"/>
      <c r="M26" s="193"/>
      <c r="N26" s="231"/>
      <c r="O26" s="18" t="s">
        <v>37</v>
      </c>
      <c r="P26" s="36">
        <f>P22*P25/10000+0.00001</f>
        <v>1.0000000000000001E-5</v>
      </c>
      <c r="Q26" s="235"/>
      <c r="R26" s="192"/>
      <c r="S26" s="193"/>
      <c r="T26" s="222" t="s">
        <v>59</v>
      </c>
      <c r="U26" s="223"/>
      <c r="V26" s="224"/>
      <c r="W26" s="225" t="s">
        <v>56</v>
      </c>
      <c r="X26" s="79" t="str">
        <f>F6</f>
        <v>Binder 1</v>
      </c>
      <c r="Y26" s="57">
        <v>0</v>
      </c>
      <c r="Z26" s="10">
        <f>Y26*F10</f>
        <v>0</v>
      </c>
      <c r="AA26" s="114"/>
    </row>
    <row r="27" spans="1:27" ht="15" customHeight="1" x14ac:dyDescent="0.4">
      <c r="A27" s="114"/>
      <c r="B27" s="220"/>
      <c r="C27" s="14" t="s">
        <v>40</v>
      </c>
      <c r="D27" s="53">
        <f>D25*D26/100</f>
        <v>19.440000000000001</v>
      </c>
      <c r="E27" s="192"/>
      <c r="F27" s="192"/>
      <c r="G27" s="193"/>
      <c r="H27" s="221"/>
      <c r="I27" s="16" t="s">
        <v>40</v>
      </c>
      <c r="J27" s="53">
        <f>J25*J26/100</f>
        <v>20.8125</v>
      </c>
      <c r="K27" s="192"/>
      <c r="L27" s="192"/>
      <c r="M27" s="193"/>
      <c r="N27" s="231"/>
      <c r="O27" s="18" t="s">
        <v>10</v>
      </c>
      <c r="P27" s="36">
        <f>Q10+R10</f>
        <v>0</v>
      </c>
      <c r="Q27" s="235"/>
      <c r="R27" s="192"/>
      <c r="S27" s="193"/>
      <c r="T27" s="228" t="s">
        <v>83</v>
      </c>
      <c r="U27" s="46" t="s">
        <v>36</v>
      </c>
      <c r="V27" s="56">
        <v>115</v>
      </c>
      <c r="W27" s="226"/>
      <c r="X27" s="79" t="str">
        <f>K6</f>
        <v>Carbon 2</v>
      </c>
      <c r="Y27" s="57">
        <v>0</v>
      </c>
      <c r="Z27" s="10">
        <f>Y27*K10</f>
        <v>0</v>
      </c>
      <c r="AA27" s="114"/>
    </row>
    <row r="28" spans="1:27" ht="15" customHeight="1" x14ac:dyDescent="0.4">
      <c r="A28" s="114"/>
      <c r="B28" s="220"/>
      <c r="C28" s="14" t="s">
        <v>37</v>
      </c>
      <c r="D28" s="36">
        <f>D24*D27/10000</f>
        <v>2.9160000000000002E-2</v>
      </c>
      <c r="E28" s="192"/>
      <c r="F28" s="192"/>
      <c r="G28" s="193"/>
      <c r="H28" s="221"/>
      <c r="I28" s="16" t="s">
        <v>37</v>
      </c>
      <c r="J28" s="36">
        <f>J24*J27/10000</f>
        <v>1.6650000000000002E-2</v>
      </c>
      <c r="K28" s="192"/>
      <c r="L28" s="192"/>
      <c r="M28" s="193"/>
      <c r="N28" s="231"/>
      <c r="O28" s="18" t="s">
        <v>39</v>
      </c>
      <c r="P28" s="36">
        <f>P27/P26</f>
        <v>0</v>
      </c>
      <c r="Q28" s="235"/>
      <c r="R28" s="192"/>
      <c r="S28" s="193"/>
      <c r="T28" s="229"/>
      <c r="U28" s="47" t="s">
        <v>17</v>
      </c>
      <c r="V28" s="39">
        <f>(D47+D48+D49)*2</f>
        <v>145.679856</v>
      </c>
      <c r="W28" s="226"/>
      <c r="X28" s="79" t="str">
        <f>L6</f>
        <v>Binder 2</v>
      </c>
      <c r="Y28" s="57">
        <v>0</v>
      </c>
      <c r="Z28" s="10">
        <f>Y28*L10</f>
        <v>0</v>
      </c>
      <c r="AA28" s="114"/>
    </row>
    <row r="29" spans="1:27" ht="15" customHeight="1" x14ac:dyDescent="0.4">
      <c r="A29" s="114"/>
      <c r="B29" s="220"/>
      <c r="C29" s="14" t="s">
        <v>10</v>
      </c>
      <c r="D29" s="36">
        <f>D30*D28</f>
        <v>7.8702839999999996E-2</v>
      </c>
      <c r="E29" s="192"/>
      <c r="F29" s="192"/>
      <c r="G29" s="193"/>
      <c r="H29" s="221"/>
      <c r="I29" s="16" t="s">
        <v>10</v>
      </c>
      <c r="J29" s="36">
        <f>J30*J28</f>
        <v>0.14918400000000004</v>
      </c>
      <c r="K29" s="192"/>
      <c r="L29" s="192"/>
      <c r="M29" s="193"/>
      <c r="N29" s="231" t="s">
        <v>15</v>
      </c>
      <c r="O29" s="18" t="s">
        <v>37</v>
      </c>
      <c r="P29" s="36">
        <f>P26-(Q11+R11)</f>
        <v>1.0000000000000001E-5</v>
      </c>
      <c r="Q29" s="235"/>
      <c r="R29" s="192"/>
      <c r="S29" s="193"/>
      <c r="T29" s="229"/>
      <c r="U29" s="47" t="s">
        <v>9</v>
      </c>
      <c r="V29" s="39">
        <f>D47+D50</f>
        <v>44.339928</v>
      </c>
      <c r="W29" s="226"/>
      <c r="X29" s="79" t="str">
        <f>Q7</f>
        <v>Name 1</v>
      </c>
      <c r="Y29" s="57">
        <v>0</v>
      </c>
      <c r="Z29" s="10">
        <f>Y30*Q10</f>
        <v>0</v>
      </c>
      <c r="AA29" s="114"/>
    </row>
    <row r="30" spans="1:27" ht="15" customHeight="1" x14ac:dyDescent="0.4">
      <c r="A30" s="114"/>
      <c r="B30" s="220"/>
      <c r="C30" s="14" t="s">
        <v>39</v>
      </c>
      <c r="D30" s="57">
        <v>2.6989999999999998</v>
      </c>
      <c r="E30" s="192"/>
      <c r="F30" s="192"/>
      <c r="G30" s="193"/>
      <c r="H30" s="221"/>
      <c r="I30" s="16" t="s">
        <v>39</v>
      </c>
      <c r="J30" s="57">
        <v>8.9600000000000009</v>
      </c>
      <c r="K30" s="192"/>
      <c r="L30" s="192"/>
      <c r="M30" s="193"/>
      <c r="N30" s="231"/>
      <c r="O30" s="18" t="s">
        <v>16</v>
      </c>
      <c r="P30" s="60">
        <f>P29/P26*100</f>
        <v>100</v>
      </c>
      <c r="Q30" s="235"/>
      <c r="R30" s="192"/>
      <c r="S30" s="193"/>
      <c r="T30" s="229"/>
      <c r="U30" s="47" t="s">
        <v>40</v>
      </c>
      <c r="V30" s="25">
        <f>V28*V29/100</f>
        <v>64.594343260903685</v>
      </c>
      <c r="W30" s="227"/>
      <c r="X30" s="79" t="str">
        <f>R7</f>
        <v>Name 2</v>
      </c>
      <c r="Y30" s="57">
        <v>0</v>
      </c>
      <c r="Z30" s="10">
        <f>Y31*R10</f>
        <v>0</v>
      </c>
      <c r="AA30" s="114"/>
    </row>
    <row r="31" spans="1:27" ht="15" customHeight="1" x14ac:dyDescent="0.4">
      <c r="A31" s="114"/>
      <c r="B31" s="186" t="s">
        <v>1</v>
      </c>
      <c r="C31" s="14" t="s">
        <v>6</v>
      </c>
      <c r="D31" s="53">
        <f>D12*2+D24</f>
        <v>149</v>
      </c>
      <c r="E31" s="192"/>
      <c r="F31" s="192"/>
      <c r="G31" s="193"/>
      <c r="H31" s="196" t="s">
        <v>1</v>
      </c>
      <c r="I31" s="16" t="s">
        <v>6</v>
      </c>
      <c r="J31" s="53">
        <f>J12*2+J24</f>
        <v>108</v>
      </c>
      <c r="K31" s="192"/>
      <c r="L31" s="192"/>
      <c r="M31" s="193"/>
      <c r="N31" s="231" t="s">
        <v>89</v>
      </c>
      <c r="O31" s="18" t="s">
        <v>6</v>
      </c>
      <c r="P31" s="53">
        <f>P12+P22</f>
        <v>20</v>
      </c>
      <c r="Q31" s="235"/>
      <c r="R31" s="192"/>
      <c r="S31" s="193"/>
      <c r="T31" s="229"/>
      <c r="U31" s="47" t="s">
        <v>37</v>
      </c>
      <c r="V31" s="10">
        <f>V27*V30/10000</f>
        <v>0.74283494750039236</v>
      </c>
      <c r="W31" s="225" t="s">
        <v>100</v>
      </c>
      <c r="X31" s="20" t="s">
        <v>0</v>
      </c>
      <c r="Y31" s="57">
        <v>0</v>
      </c>
      <c r="Z31" s="10">
        <f>Y31*D16/1000</f>
        <v>0</v>
      </c>
      <c r="AA31" s="114"/>
    </row>
    <row r="32" spans="1:27" ht="15" customHeight="1" x14ac:dyDescent="0.4">
      <c r="A32" s="114"/>
      <c r="B32" s="187"/>
      <c r="C32" s="14" t="s">
        <v>37</v>
      </c>
      <c r="D32" s="36">
        <f>D17+D28</f>
        <v>0.28965600000000002</v>
      </c>
      <c r="E32" s="192"/>
      <c r="F32" s="192"/>
      <c r="G32" s="193"/>
      <c r="H32" s="187"/>
      <c r="I32" s="16" t="s">
        <v>37</v>
      </c>
      <c r="J32" s="36">
        <f>J17+J28</f>
        <v>0.224775</v>
      </c>
      <c r="K32" s="192"/>
      <c r="L32" s="192"/>
      <c r="M32" s="193"/>
      <c r="N32" s="231"/>
      <c r="O32" s="18" t="s">
        <v>37</v>
      </c>
      <c r="P32" s="36">
        <f>P17+P26</f>
        <v>9.280999999999999E-2</v>
      </c>
      <c r="Q32" s="235"/>
      <c r="R32" s="192"/>
      <c r="S32" s="193"/>
      <c r="T32" s="229"/>
      <c r="U32" s="47" t="s">
        <v>10</v>
      </c>
      <c r="V32" s="10">
        <f>V30*V33/1000</f>
        <v>1.1304010070658144</v>
      </c>
      <c r="W32" s="188"/>
      <c r="X32" s="20" t="s">
        <v>19</v>
      </c>
      <c r="Y32" s="57">
        <v>0</v>
      </c>
      <c r="Z32" s="10">
        <f>Y32*J16/1000</f>
        <v>0</v>
      </c>
      <c r="AA32" s="114"/>
    </row>
    <row r="33" spans="1:27" ht="15" customHeight="1" thickBot="1" x14ac:dyDescent="0.45">
      <c r="A33" s="114"/>
      <c r="B33" s="232"/>
      <c r="C33" s="15" t="s">
        <v>10</v>
      </c>
      <c r="D33" s="12">
        <f>D18+D29</f>
        <v>0.93370284000000003</v>
      </c>
      <c r="E33" s="194"/>
      <c r="F33" s="194"/>
      <c r="G33" s="195"/>
      <c r="H33" s="232"/>
      <c r="I33" s="17" t="s">
        <v>10</v>
      </c>
      <c r="J33" s="12">
        <f>J18+J29</f>
        <v>0.26401094300518135</v>
      </c>
      <c r="K33" s="194"/>
      <c r="L33" s="194"/>
      <c r="M33" s="195"/>
      <c r="N33" s="233"/>
      <c r="O33" s="19" t="s">
        <v>10</v>
      </c>
      <c r="P33" s="12">
        <f>P18+P27</f>
        <v>5.0715199999999995E-2</v>
      </c>
      <c r="Q33" s="236"/>
      <c r="R33" s="194"/>
      <c r="S33" s="195"/>
      <c r="T33" s="230"/>
      <c r="U33" s="48" t="s">
        <v>43</v>
      </c>
      <c r="V33" s="83">
        <v>17.5</v>
      </c>
      <c r="W33" s="23" t="s">
        <v>46</v>
      </c>
      <c r="X33" s="21" t="s">
        <v>29</v>
      </c>
      <c r="Y33" s="113">
        <f>Z33/Z16</f>
        <v>0.30481642285595784</v>
      </c>
      <c r="Z33" s="38">
        <f>Z18-SUM(Z22:Z32)</f>
        <v>0.33529806514155364</v>
      </c>
      <c r="AA33" s="114"/>
    </row>
    <row r="34" spans="1:27" ht="15" customHeight="1" thickBot="1" x14ac:dyDescent="0.45">
      <c r="A34" s="114"/>
      <c r="B34" s="114"/>
      <c r="C34" s="114"/>
      <c r="D34" s="115"/>
      <c r="E34" s="115"/>
      <c r="F34" s="115"/>
      <c r="G34" s="115"/>
      <c r="H34" s="114"/>
      <c r="I34" s="114"/>
      <c r="J34" s="115"/>
      <c r="K34" s="115"/>
      <c r="L34" s="115"/>
      <c r="M34" s="115"/>
      <c r="N34" s="127"/>
      <c r="O34" s="127"/>
      <c r="P34" s="128"/>
      <c r="Q34" s="115"/>
      <c r="R34" s="115"/>
      <c r="S34" s="115"/>
      <c r="T34" s="129"/>
      <c r="U34" s="129"/>
      <c r="V34" s="129"/>
      <c r="W34" s="130"/>
      <c r="X34" s="130"/>
      <c r="Y34" s="130"/>
      <c r="Z34" s="130"/>
      <c r="AA34" s="114"/>
    </row>
    <row r="35" spans="1:27" ht="15" customHeight="1" thickBot="1" x14ac:dyDescent="0.45">
      <c r="A35" s="114"/>
      <c r="B35" s="247" t="s">
        <v>31</v>
      </c>
      <c r="C35" s="248"/>
      <c r="D35" s="248"/>
      <c r="E35" s="248"/>
      <c r="F35" s="248"/>
      <c r="G35" s="249"/>
      <c r="H35" s="129"/>
      <c r="I35" s="88" t="s">
        <v>3</v>
      </c>
      <c r="J35" s="89" t="s">
        <v>30</v>
      </c>
      <c r="K35" s="90" t="s">
        <v>72</v>
      </c>
      <c r="L35" s="91" t="s">
        <v>71</v>
      </c>
      <c r="M35" s="90" t="s">
        <v>73</v>
      </c>
      <c r="N35" s="114"/>
      <c r="O35" s="114"/>
      <c r="P35" s="115"/>
      <c r="Q35" s="115"/>
      <c r="R35" s="115"/>
      <c r="S35" s="115"/>
      <c r="T35" s="129"/>
      <c r="U35" s="129"/>
      <c r="V35" s="129"/>
      <c r="W35" s="114"/>
      <c r="X35" s="114"/>
      <c r="Y35" s="114"/>
      <c r="Z35" s="114"/>
      <c r="AA35" s="114"/>
    </row>
    <row r="36" spans="1:27" ht="15" customHeight="1" x14ac:dyDescent="0.4">
      <c r="A36" s="114"/>
      <c r="B36" s="250" t="s">
        <v>33</v>
      </c>
      <c r="C36" s="31" t="s">
        <v>36</v>
      </c>
      <c r="D36" s="45">
        <f>D31+J31+P31*2</f>
        <v>297</v>
      </c>
      <c r="E36" s="253"/>
      <c r="F36" s="254"/>
      <c r="G36" s="255"/>
      <c r="H36" s="131"/>
      <c r="I36" s="92" t="str">
        <f>D6</f>
        <v>NCM622</v>
      </c>
      <c r="J36" s="93">
        <f>D10*$D$44</f>
        <v>5.7455999999999996</v>
      </c>
      <c r="K36" s="94">
        <f t="shared" ref="K36:K50" si="3">J36/$J$51*100</f>
        <v>43.506272881834711</v>
      </c>
      <c r="L36" s="95">
        <f>D11*$D$44</f>
        <v>1.2224680851063829</v>
      </c>
      <c r="M36" s="94">
        <f t="shared" ref="M36:M50" si="4">L36/$L$51*100</f>
        <v>17.014536859823341</v>
      </c>
      <c r="N36" s="132"/>
      <c r="O36" s="114"/>
      <c r="P36" s="115"/>
      <c r="Q36" s="115"/>
      <c r="R36" s="115"/>
      <c r="S36" s="115"/>
      <c r="T36" s="129"/>
      <c r="U36" s="129"/>
      <c r="V36" s="129"/>
      <c r="W36" s="114"/>
      <c r="X36" s="114"/>
      <c r="Y36" s="114"/>
      <c r="Z36" s="114"/>
      <c r="AA36" s="114"/>
    </row>
    <row r="37" spans="1:27" ht="15" customHeight="1" x14ac:dyDescent="0.4">
      <c r="A37" s="114"/>
      <c r="B37" s="251"/>
      <c r="C37" s="32" t="s">
        <v>17</v>
      </c>
      <c r="D37" s="39">
        <f>P13</f>
        <v>58</v>
      </c>
      <c r="E37" s="256"/>
      <c r="F37" s="257"/>
      <c r="G37" s="258"/>
      <c r="H37" s="129"/>
      <c r="I37" s="96" t="str">
        <f>E6</f>
        <v>Carbon 1</v>
      </c>
      <c r="J37" s="97">
        <f>E10*$D$44</f>
        <v>0.1197</v>
      </c>
      <c r="K37" s="39">
        <f t="shared" si="3"/>
        <v>0.90638068503822322</v>
      </c>
      <c r="L37" s="98">
        <f>E11*$D$44</f>
        <v>6.6500000000000004E-2</v>
      </c>
      <c r="M37" s="39">
        <f t="shared" si="4"/>
        <v>0.92555929677279758</v>
      </c>
      <c r="N37" s="132"/>
      <c r="O37" s="114"/>
      <c r="P37" s="115"/>
      <c r="Q37" s="115"/>
      <c r="R37" s="115"/>
      <c r="S37" s="115"/>
      <c r="T37" s="129"/>
      <c r="U37" s="129"/>
      <c r="V37" s="129"/>
      <c r="W37" s="114"/>
      <c r="X37" s="114"/>
      <c r="Y37" s="114"/>
      <c r="Z37" s="114"/>
      <c r="AA37" s="114"/>
    </row>
    <row r="38" spans="1:27" ht="15" customHeight="1" x14ac:dyDescent="0.4">
      <c r="A38" s="114"/>
      <c r="B38" s="251"/>
      <c r="C38" s="32" t="s">
        <v>9</v>
      </c>
      <c r="D38" s="39">
        <f>P15</f>
        <v>40</v>
      </c>
      <c r="E38" s="256"/>
      <c r="F38" s="257"/>
      <c r="G38" s="258"/>
      <c r="H38" s="129"/>
      <c r="I38" s="96" t="str">
        <f>F6</f>
        <v>Binder 1</v>
      </c>
      <c r="J38" s="97">
        <f>F10*$D$44</f>
        <v>0.1197</v>
      </c>
      <c r="K38" s="39">
        <f t="shared" si="3"/>
        <v>0.90638068503822322</v>
      </c>
      <c r="L38" s="98">
        <f>F11*$D$44</f>
        <v>6.7247191011235954E-2</v>
      </c>
      <c r="M38" s="39">
        <f t="shared" si="4"/>
        <v>0.93595883943316593</v>
      </c>
      <c r="N38" s="132"/>
      <c r="O38" s="114"/>
      <c r="P38" s="115"/>
      <c r="Q38" s="115"/>
      <c r="R38" s="115"/>
      <c r="S38" s="115"/>
      <c r="T38" s="129"/>
      <c r="U38" s="129"/>
      <c r="V38" s="129"/>
      <c r="W38" s="114"/>
      <c r="X38" s="114"/>
      <c r="Y38" s="114"/>
      <c r="Z38" s="114"/>
      <c r="AA38" s="114"/>
    </row>
    <row r="39" spans="1:27" ht="15" customHeight="1" x14ac:dyDescent="0.4">
      <c r="A39" s="114"/>
      <c r="B39" s="251"/>
      <c r="C39" s="32" t="s">
        <v>40</v>
      </c>
      <c r="D39" s="25">
        <f>D37*D38/100</f>
        <v>23.2</v>
      </c>
      <c r="E39" s="256"/>
      <c r="F39" s="257"/>
      <c r="G39" s="258"/>
      <c r="H39" s="129"/>
      <c r="I39" s="99" t="str">
        <f>B24</f>
        <v>Substrate (Al)</v>
      </c>
      <c r="J39" s="97">
        <f>D29*($D$44+1)</f>
        <v>0.62962271999999997</v>
      </c>
      <c r="K39" s="39">
        <f t="shared" si="3"/>
        <v>4.7675678552149492</v>
      </c>
      <c r="L39" s="98">
        <f>D28*($D$44+1)</f>
        <v>0.23328000000000002</v>
      </c>
      <c r="M39" s="39">
        <f t="shared" si="4"/>
        <v>3.2468341767091458</v>
      </c>
      <c r="N39" s="132"/>
      <c r="O39" s="114"/>
      <c r="P39" s="115"/>
      <c r="Q39" s="115"/>
      <c r="R39" s="115"/>
      <c r="S39" s="115"/>
      <c r="T39" s="129"/>
      <c r="U39" s="129"/>
      <c r="V39" s="129"/>
      <c r="W39" s="114"/>
      <c r="X39" s="114"/>
      <c r="Y39" s="114"/>
      <c r="Z39" s="114"/>
      <c r="AA39" s="114"/>
    </row>
    <row r="40" spans="1:27" ht="15" customHeight="1" x14ac:dyDescent="0.4">
      <c r="A40" s="114"/>
      <c r="B40" s="251"/>
      <c r="C40" s="32" t="s">
        <v>37</v>
      </c>
      <c r="D40" s="39">
        <f>D32+J32+P32+V10+V13+Z19</f>
        <v>1.011283181818182</v>
      </c>
      <c r="E40" s="256"/>
      <c r="F40" s="257"/>
      <c r="G40" s="258"/>
      <c r="H40" s="131"/>
      <c r="I40" s="96" t="str">
        <f>J6</f>
        <v>Li</v>
      </c>
      <c r="J40" s="97">
        <f>J10*$D$44</f>
        <v>0.80378860103626937</v>
      </c>
      <c r="K40" s="39">
        <f t="shared" si="3"/>
        <v>6.0863697813965656</v>
      </c>
      <c r="L40" s="98">
        <f>J11*$D$44</f>
        <v>1.5052220993188565</v>
      </c>
      <c r="M40" s="39">
        <f t="shared" si="4"/>
        <v>20.949959514773457</v>
      </c>
      <c r="N40" s="132"/>
      <c r="O40" s="114"/>
      <c r="P40" s="115"/>
      <c r="Q40" s="115"/>
      <c r="R40" s="115"/>
      <c r="S40" s="115"/>
      <c r="T40" s="129"/>
      <c r="U40" s="129"/>
      <c r="V40" s="129"/>
      <c r="W40" s="114"/>
      <c r="X40" s="114"/>
      <c r="Y40" s="114"/>
      <c r="Z40" s="114"/>
      <c r="AA40" s="114"/>
    </row>
    <row r="41" spans="1:27" ht="15" customHeight="1" x14ac:dyDescent="0.4">
      <c r="A41" s="114"/>
      <c r="B41" s="251"/>
      <c r="C41" s="32" t="s">
        <v>10</v>
      </c>
      <c r="D41" s="39">
        <f>D33+J33+P33+V11+V14+Z18</f>
        <v>1.6970449030051813</v>
      </c>
      <c r="E41" s="256"/>
      <c r="F41" s="257"/>
      <c r="G41" s="258"/>
      <c r="H41" s="129"/>
      <c r="I41" s="96" t="str">
        <f>K6</f>
        <v>Carbon 2</v>
      </c>
      <c r="J41" s="97">
        <f>K10*$D$44</f>
        <v>0</v>
      </c>
      <c r="K41" s="39">
        <f t="shared" si="3"/>
        <v>0</v>
      </c>
      <c r="L41" s="98">
        <f>K11*$D$44</f>
        <v>0</v>
      </c>
      <c r="M41" s="39">
        <f t="shared" si="4"/>
        <v>0</v>
      </c>
      <c r="N41" s="132"/>
      <c r="O41" s="114"/>
      <c r="P41" s="115"/>
      <c r="Q41" s="115"/>
      <c r="R41" s="115"/>
      <c r="S41" s="115"/>
      <c r="T41" s="129"/>
      <c r="U41" s="129"/>
      <c r="V41" s="129"/>
      <c r="W41" s="114"/>
      <c r="X41" s="114"/>
      <c r="Y41" s="114"/>
      <c r="Z41" s="114"/>
      <c r="AA41" s="114"/>
    </row>
    <row r="42" spans="1:27" ht="15" customHeight="1" x14ac:dyDescent="0.4">
      <c r="A42" s="114"/>
      <c r="B42" s="251"/>
      <c r="C42" s="32" t="s">
        <v>50</v>
      </c>
      <c r="D42" s="109">
        <f>E3</f>
        <v>3</v>
      </c>
      <c r="E42" s="256"/>
      <c r="F42" s="257"/>
      <c r="G42" s="258"/>
      <c r="H42" s="129"/>
      <c r="I42" s="96" t="str">
        <f>L6</f>
        <v>Binder 2</v>
      </c>
      <c r="J42" s="97">
        <f>L10*$D$44</f>
        <v>0</v>
      </c>
      <c r="K42" s="39">
        <f t="shared" si="3"/>
        <v>0</v>
      </c>
      <c r="L42" s="98">
        <f>L11*$D$44</f>
        <v>0</v>
      </c>
      <c r="M42" s="39">
        <f t="shared" si="4"/>
        <v>0</v>
      </c>
      <c r="N42" s="132"/>
      <c r="O42" s="114"/>
      <c r="P42" s="115"/>
      <c r="Q42" s="115"/>
      <c r="R42" s="115"/>
      <c r="S42" s="115"/>
      <c r="T42" s="129"/>
      <c r="U42" s="129"/>
      <c r="V42" s="129"/>
      <c r="W42" s="114"/>
      <c r="X42" s="114"/>
      <c r="Y42" s="114"/>
      <c r="Z42" s="114"/>
      <c r="AA42" s="114"/>
    </row>
    <row r="43" spans="1:27" ht="15" customHeight="1" thickBot="1" x14ac:dyDescent="0.45">
      <c r="A43" s="114"/>
      <c r="B43" s="252"/>
      <c r="C43" s="33" t="s">
        <v>13</v>
      </c>
      <c r="D43" s="84">
        <f>D16*D21</f>
        <v>147.744</v>
      </c>
      <c r="E43" s="256"/>
      <c r="F43" s="257"/>
      <c r="G43" s="258"/>
      <c r="H43" s="129"/>
      <c r="I43" s="99" t="str">
        <f>H24</f>
        <v>Substrate  (Cu)</v>
      </c>
      <c r="J43" s="97">
        <f>J29*$D$44</f>
        <v>1.0442880000000003</v>
      </c>
      <c r="K43" s="39">
        <f t="shared" si="3"/>
        <v>7.9074559132597866</v>
      </c>
      <c r="L43" s="98">
        <f>J28*$D$44</f>
        <v>0.11655000000000001</v>
      </c>
      <c r="M43" s="39">
        <f t="shared" si="4"/>
        <v>1.6221644517123242</v>
      </c>
      <c r="N43" s="132"/>
      <c r="O43" s="114"/>
      <c r="P43" s="115"/>
      <c r="Q43" s="115"/>
      <c r="R43" s="115"/>
      <c r="S43" s="115"/>
      <c r="T43" s="129"/>
      <c r="U43" s="129"/>
      <c r="V43" s="129"/>
      <c r="W43" s="114"/>
      <c r="X43" s="114"/>
      <c r="Y43" s="114"/>
      <c r="Z43" s="114"/>
      <c r="AA43" s="114"/>
    </row>
    <row r="44" spans="1:27" ht="15" customHeight="1" x14ac:dyDescent="0.4">
      <c r="A44" s="114"/>
      <c r="B44" s="250" t="s">
        <v>32</v>
      </c>
      <c r="C44" s="34" t="s">
        <v>85</v>
      </c>
      <c r="D44" s="111">
        <f>G3</f>
        <v>7</v>
      </c>
      <c r="E44" s="253"/>
      <c r="F44" s="260"/>
      <c r="G44" s="261"/>
      <c r="H44" s="131"/>
      <c r="I44" s="96" t="str">
        <f>P7</f>
        <v>PE</v>
      </c>
      <c r="J44" s="97">
        <f>P10*$D$44</f>
        <v>0.35500639999999994</v>
      </c>
      <c r="K44" s="39">
        <f t="shared" si="3"/>
        <v>2.6881448957807308</v>
      </c>
      <c r="L44" s="98">
        <f>P11*$D$44</f>
        <v>0.38172731182795694</v>
      </c>
      <c r="M44" s="39">
        <f t="shared" si="4"/>
        <v>5.3129513126985595</v>
      </c>
      <c r="N44" s="132"/>
      <c r="O44" s="114"/>
      <c r="P44" s="115"/>
      <c r="Q44" s="115"/>
      <c r="R44" s="115"/>
      <c r="S44" s="115"/>
      <c r="T44" s="114"/>
      <c r="U44" s="114"/>
      <c r="V44" s="114"/>
      <c r="W44" s="114"/>
      <c r="X44" s="114"/>
      <c r="Y44" s="114"/>
      <c r="Z44" s="114"/>
      <c r="AA44" s="114"/>
    </row>
    <row r="45" spans="1:27" ht="15" customHeight="1" x14ac:dyDescent="0.4">
      <c r="A45" s="114"/>
      <c r="B45" s="226"/>
      <c r="C45" s="32" t="s">
        <v>6</v>
      </c>
      <c r="D45" s="10">
        <f>(D36*D44+D24+V27*2)/1000</f>
        <v>2.3239999999999998</v>
      </c>
      <c r="E45" s="262"/>
      <c r="F45" s="263"/>
      <c r="G45" s="264"/>
      <c r="H45" s="129"/>
      <c r="I45" s="96" t="str">
        <f>Q7</f>
        <v>Name 1</v>
      </c>
      <c r="J45" s="97">
        <f>Q10*$D$44</f>
        <v>0</v>
      </c>
      <c r="K45" s="39">
        <f t="shared" si="3"/>
        <v>0</v>
      </c>
      <c r="L45" s="98">
        <f>Q11*$D$44</f>
        <v>0</v>
      </c>
      <c r="M45" s="39">
        <f t="shared" si="4"/>
        <v>0</v>
      </c>
      <c r="N45" s="132"/>
      <c r="O45" s="114"/>
      <c r="P45" s="115"/>
      <c r="Q45" s="115"/>
      <c r="R45" s="115"/>
      <c r="S45" s="115"/>
      <c r="T45" s="114"/>
      <c r="U45" s="114"/>
      <c r="V45" s="114"/>
      <c r="W45" s="114"/>
      <c r="X45" s="114"/>
      <c r="Y45" s="114"/>
      <c r="Z45" s="114"/>
      <c r="AA45" s="114"/>
    </row>
    <row r="46" spans="1:27" ht="15" customHeight="1" x14ac:dyDescent="0.4">
      <c r="A46" s="114"/>
      <c r="B46" s="226"/>
      <c r="C46" s="32" t="s">
        <v>68</v>
      </c>
      <c r="D46" s="39">
        <f>J3</f>
        <v>22.2</v>
      </c>
      <c r="E46" s="262"/>
      <c r="F46" s="263"/>
      <c r="G46" s="264"/>
      <c r="H46" s="129"/>
      <c r="I46" s="96" t="str">
        <f>R7</f>
        <v>Name 2</v>
      </c>
      <c r="J46" s="97">
        <f>R10*$D$44</f>
        <v>0</v>
      </c>
      <c r="K46" s="39">
        <f t="shared" si="3"/>
        <v>0</v>
      </c>
      <c r="L46" s="98">
        <f>R11*$D$44</f>
        <v>0</v>
      </c>
      <c r="M46" s="39">
        <f t="shared" si="4"/>
        <v>0</v>
      </c>
      <c r="N46" s="132"/>
      <c r="O46" s="114"/>
      <c r="P46" s="115"/>
      <c r="Q46" s="115"/>
      <c r="R46" s="115"/>
      <c r="S46" s="115"/>
      <c r="T46" s="114"/>
      <c r="U46" s="114"/>
      <c r="V46" s="114"/>
      <c r="W46" s="114"/>
      <c r="X46" s="114"/>
      <c r="Y46" s="114"/>
      <c r="Z46" s="114"/>
      <c r="AA46" s="114"/>
    </row>
    <row r="47" spans="1:27" ht="15" customHeight="1" x14ac:dyDescent="0.4">
      <c r="A47" s="114"/>
      <c r="B47" s="226"/>
      <c r="C47" s="32" t="s">
        <v>67</v>
      </c>
      <c r="D47" s="10">
        <f>D45*(1+D46/100)</f>
        <v>2.8399279999999996</v>
      </c>
      <c r="E47" s="262"/>
      <c r="F47" s="263"/>
      <c r="G47" s="264"/>
      <c r="H47" s="129"/>
      <c r="I47" s="96" t="s">
        <v>28</v>
      </c>
      <c r="J47" s="97">
        <f>Z18*$D$44</f>
        <v>3.1026239999999996</v>
      </c>
      <c r="K47" s="39">
        <f t="shared" si="3"/>
        <v>23.493387356190745</v>
      </c>
      <c r="L47" s="98">
        <f>Z19*$D$44</f>
        <v>2.8205672727272724</v>
      </c>
      <c r="M47" s="39">
        <f t="shared" si="4"/>
        <v>39.257176863846936</v>
      </c>
      <c r="N47" s="132"/>
      <c r="O47" s="114"/>
      <c r="P47" s="115"/>
      <c r="Q47" s="115"/>
      <c r="R47" s="115"/>
      <c r="S47" s="115"/>
      <c r="T47" s="114"/>
      <c r="U47" s="114"/>
      <c r="V47" s="114"/>
      <c r="W47" s="114"/>
      <c r="X47" s="114"/>
      <c r="Y47" s="114"/>
      <c r="Z47" s="114"/>
      <c r="AA47" s="114"/>
    </row>
    <row r="48" spans="1:27" ht="15" customHeight="1" x14ac:dyDescent="0.4">
      <c r="A48" s="114"/>
      <c r="B48" s="226"/>
      <c r="C48" s="32" t="s">
        <v>96</v>
      </c>
      <c r="D48" s="40">
        <v>60</v>
      </c>
      <c r="E48" s="262"/>
      <c r="F48" s="263"/>
      <c r="G48" s="264"/>
      <c r="H48" s="129"/>
      <c r="I48" s="96" t="s">
        <v>70</v>
      </c>
      <c r="J48" s="97">
        <f>(V11+V14)*$D$44+V11</f>
        <v>3.9630720000000001E-2</v>
      </c>
      <c r="K48" s="39">
        <f t="shared" si="3"/>
        <v>0.30008787921602353</v>
      </c>
      <c r="L48" s="98">
        <f>(V10+V13)*$D$44+V10</f>
        <v>8.4479999999999989E-3</v>
      </c>
      <c r="M48" s="39">
        <f t="shared" si="4"/>
        <v>0.11758082615242996</v>
      </c>
      <c r="N48" s="132"/>
      <c r="O48" s="114"/>
      <c r="P48" s="115"/>
      <c r="Q48" s="115"/>
      <c r="R48" s="115"/>
      <c r="S48" s="115"/>
      <c r="T48" s="114"/>
      <c r="U48" s="114"/>
      <c r="V48" s="114"/>
      <c r="W48" s="114"/>
      <c r="X48" s="114"/>
      <c r="Y48" s="114"/>
      <c r="Z48" s="114"/>
      <c r="AA48" s="114"/>
    </row>
    <row r="49" spans="1:27" ht="15" customHeight="1" x14ac:dyDescent="0.4">
      <c r="A49" s="114"/>
      <c r="B49" s="226"/>
      <c r="C49" s="32" t="s">
        <v>97</v>
      </c>
      <c r="D49" s="40">
        <v>10</v>
      </c>
      <c r="E49" s="262"/>
      <c r="F49" s="263"/>
      <c r="G49" s="264"/>
      <c r="H49" s="129"/>
      <c r="I49" s="96" t="s">
        <v>79</v>
      </c>
      <c r="J49" s="97">
        <f>V20+V24</f>
        <v>0.11600999999999999</v>
      </c>
      <c r="K49" s="39">
        <f t="shared" si="3"/>
        <v>0.87843962632651851</v>
      </c>
      <c r="L49" s="98">
        <f>V19+V23</f>
        <v>0.02</v>
      </c>
      <c r="M49" s="39">
        <f t="shared" si="4"/>
        <v>0.27836369827753304</v>
      </c>
      <c r="N49" s="132"/>
      <c r="O49" s="114"/>
      <c r="P49" s="115"/>
      <c r="Q49" s="115"/>
      <c r="R49" s="115"/>
      <c r="S49" s="115"/>
      <c r="T49" s="114"/>
      <c r="U49" s="114"/>
      <c r="V49" s="114"/>
      <c r="W49" s="114"/>
      <c r="X49" s="114"/>
      <c r="Y49" s="114"/>
      <c r="Z49" s="114"/>
      <c r="AA49" s="114"/>
    </row>
    <row r="50" spans="1:27" ht="15" customHeight="1" thickBot="1" x14ac:dyDescent="0.45">
      <c r="A50" s="114"/>
      <c r="B50" s="226"/>
      <c r="C50" s="32" t="s">
        <v>9</v>
      </c>
      <c r="D50" s="40">
        <v>41.5</v>
      </c>
      <c r="E50" s="262"/>
      <c r="F50" s="263"/>
      <c r="G50" s="264"/>
      <c r="H50" s="129"/>
      <c r="I50" s="100" t="s">
        <v>59</v>
      </c>
      <c r="J50" s="101">
        <f>V32</f>
        <v>1.1304010070658144</v>
      </c>
      <c r="K50" s="84">
        <f t="shared" si="3"/>
        <v>8.5595124407035108</v>
      </c>
      <c r="L50" s="102">
        <f>V31</f>
        <v>0.74283494750039236</v>
      </c>
      <c r="M50" s="84">
        <f t="shared" si="4"/>
        <v>10.338914159800316</v>
      </c>
      <c r="N50" s="132"/>
      <c r="O50" s="114"/>
      <c r="P50" s="115"/>
      <c r="Q50" s="115"/>
      <c r="R50" s="115"/>
      <c r="S50" s="115"/>
      <c r="T50" s="114"/>
      <c r="U50" s="114"/>
      <c r="V50" s="114"/>
      <c r="W50" s="114"/>
      <c r="X50" s="114"/>
      <c r="Y50" s="114"/>
      <c r="Z50" s="114"/>
      <c r="AA50" s="114"/>
    </row>
    <row r="51" spans="1:27" ht="15" customHeight="1" thickBot="1" x14ac:dyDescent="0.45">
      <c r="A51" s="114"/>
      <c r="B51" s="226"/>
      <c r="C51" s="32" t="s">
        <v>40</v>
      </c>
      <c r="D51" s="25">
        <f>D48*D50/100</f>
        <v>24.9</v>
      </c>
      <c r="E51" s="262"/>
      <c r="F51" s="263"/>
      <c r="G51" s="264"/>
      <c r="H51" s="129"/>
      <c r="I51" s="103" t="s">
        <v>12</v>
      </c>
      <c r="J51" s="104">
        <f>SUM(J36:J50)</f>
        <v>13.206371448102084</v>
      </c>
      <c r="K51" s="105">
        <f>SUM(K36:K50)</f>
        <v>99.999999999999972</v>
      </c>
      <c r="L51" s="106">
        <f>SUM(L36:L50)</f>
        <v>7.1848449074920966</v>
      </c>
      <c r="M51" s="105">
        <f>SUM(M36:M50)</f>
        <v>100</v>
      </c>
      <c r="N51" s="114"/>
      <c r="O51" s="114"/>
      <c r="P51" s="115"/>
      <c r="Q51" s="115"/>
      <c r="R51" s="115"/>
      <c r="S51" s="115"/>
      <c r="T51" s="114"/>
      <c r="U51" s="114"/>
      <c r="V51" s="114"/>
      <c r="W51" s="114"/>
      <c r="X51" s="114"/>
      <c r="Y51" s="114"/>
      <c r="Z51" s="114"/>
      <c r="AA51" s="114"/>
    </row>
    <row r="52" spans="1:27" ht="15" customHeight="1" x14ac:dyDescent="0.4">
      <c r="A52" s="114"/>
      <c r="B52" s="226"/>
      <c r="C52" s="32" t="s">
        <v>37</v>
      </c>
      <c r="D52" s="10">
        <f>(D47*D51/10)+(D49/10*D50/10*V27*2/10000)+(V15/10*V16/10*(V18+V22)/10000)</f>
        <v>7.1868707199999982</v>
      </c>
      <c r="E52" s="262"/>
      <c r="F52" s="263"/>
      <c r="G52" s="264"/>
      <c r="H52" s="129"/>
      <c r="I52" s="41"/>
      <c r="J52" s="41"/>
      <c r="N52" s="114"/>
      <c r="O52" s="114"/>
      <c r="P52" s="115"/>
      <c r="Q52" s="115"/>
      <c r="R52" s="115"/>
      <c r="S52" s="115"/>
      <c r="T52" s="114"/>
      <c r="U52" s="114"/>
      <c r="V52" s="114"/>
      <c r="W52" s="114"/>
      <c r="X52" s="114"/>
      <c r="Y52" s="114"/>
      <c r="Z52" s="114"/>
      <c r="AA52" s="114"/>
    </row>
    <row r="53" spans="1:27" ht="15" customHeight="1" x14ac:dyDescent="0.4">
      <c r="A53" s="114"/>
      <c r="B53" s="226"/>
      <c r="C53" s="32" t="s">
        <v>69</v>
      </c>
      <c r="D53" s="112">
        <f>D52-L51</f>
        <v>2.0258125079015699E-3</v>
      </c>
      <c r="E53" s="262"/>
      <c r="F53" s="263"/>
      <c r="G53" s="264"/>
      <c r="H53" s="129"/>
      <c r="I53" s="129"/>
      <c r="J53" s="133"/>
      <c r="K53" s="115"/>
      <c r="L53" s="115"/>
      <c r="M53" s="115"/>
      <c r="N53" s="114"/>
      <c r="O53" s="114"/>
      <c r="P53" s="115"/>
      <c r="Q53" s="115"/>
      <c r="R53" s="115"/>
      <c r="S53" s="115"/>
      <c r="T53" s="114"/>
      <c r="U53" s="114"/>
      <c r="V53" s="114"/>
      <c r="W53" s="114"/>
      <c r="X53" s="114"/>
      <c r="Y53" s="114"/>
      <c r="Z53" s="114"/>
      <c r="AA53" s="114"/>
    </row>
    <row r="54" spans="1:27" ht="15" customHeight="1" x14ac:dyDescent="0.4">
      <c r="A54" s="114"/>
      <c r="B54" s="226"/>
      <c r="C54" s="32" t="s">
        <v>10</v>
      </c>
      <c r="D54" s="10">
        <f>D41*D44+(D29+V11)+V20+V24+V32</f>
        <v>13.206371448102082</v>
      </c>
      <c r="E54" s="262"/>
      <c r="F54" s="263"/>
      <c r="G54" s="264"/>
      <c r="H54" s="129"/>
      <c r="I54" s="129"/>
      <c r="J54" s="133"/>
      <c r="K54" s="115"/>
      <c r="L54" s="115"/>
      <c r="M54" s="115"/>
      <c r="N54" s="114"/>
      <c r="O54" s="114"/>
      <c r="P54" s="115"/>
      <c r="Q54" s="115"/>
      <c r="R54" s="115"/>
      <c r="S54" s="115"/>
      <c r="T54" s="114"/>
      <c r="U54" s="114"/>
      <c r="V54" s="114"/>
      <c r="W54" s="114"/>
      <c r="X54" s="114"/>
      <c r="Y54" s="114"/>
      <c r="Z54" s="114"/>
      <c r="AA54" s="114"/>
    </row>
    <row r="55" spans="1:27" ht="15" customHeight="1" thickBot="1" x14ac:dyDescent="0.45">
      <c r="A55" s="114"/>
      <c r="B55" s="259"/>
      <c r="C55" s="35" t="s">
        <v>48</v>
      </c>
      <c r="D55" s="38">
        <f>D54/D52</f>
        <v>1.8375690843235435</v>
      </c>
      <c r="E55" s="262"/>
      <c r="F55" s="263"/>
      <c r="G55" s="264"/>
      <c r="H55" s="129"/>
      <c r="I55" s="129"/>
      <c r="J55" s="133"/>
      <c r="K55" s="115"/>
      <c r="L55" s="115"/>
      <c r="M55" s="115"/>
      <c r="N55" s="114"/>
      <c r="O55" s="114"/>
      <c r="P55" s="115"/>
      <c r="Q55" s="115"/>
      <c r="R55" s="115"/>
      <c r="S55" s="115"/>
      <c r="T55" s="114"/>
      <c r="U55" s="114"/>
      <c r="V55" s="116"/>
      <c r="W55" s="114"/>
      <c r="X55" s="114"/>
      <c r="Y55" s="114"/>
      <c r="Z55" s="114"/>
      <c r="AA55" s="114"/>
    </row>
    <row r="56" spans="1:27" ht="15" customHeight="1" x14ac:dyDescent="0.4">
      <c r="A56" s="114"/>
      <c r="B56" s="250" t="s">
        <v>66</v>
      </c>
      <c r="C56" s="31" t="s">
        <v>74</v>
      </c>
      <c r="D56" s="50">
        <f>D43*D44/1000</f>
        <v>1.034208</v>
      </c>
      <c r="E56" s="262"/>
      <c r="F56" s="263"/>
      <c r="G56" s="264"/>
      <c r="H56" s="129"/>
      <c r="I56" s="129"/>
      <c r="J56" s="133"/>
      <c r="K56" s="115"/>
      <c r="L56" s="115"/>
      <c r="M56" s="115"/>
      <c r="N56" s="114"/>
      <c r="O56" s="114"/>
      <c r="P56" s="115"/>
      <c r="Q56" s="115"/>
      <c r="R56" s="115"/>
      <c r="S56" s="115"/>
      <c r="T56" s="114"/>
      <c r="U56" s="114"/>
      <c r="V56" s="116"/>
      <c r="W56" s="114"/>
      <c r="X56" s="114"/>
      <c r="Y56" s="114"/>
      <c r="Z56" s="114"/>
      <c r="AA56" s="114"/>
    </row>
    <row r="57" spans="1:27" ht="15" customHeight="1" x14ac:dyDescent="0.4">
      <c r="A57" s="114"/>
      <c r="B57" s="226"/>
      <c r="C57" s="32" t="s">
        <v>34</v>
      </c>
      <c r="D57" s="110">
        <f>H3</f>
        <v>3.73</v>
      </c>
      <c r="E57" s="262"/>
      <c r="F57" s="263"/>
      <c r="G57" s="264"/>
      <c r="H57" s="129"/>
      <c r="I57" s="129"/>
      <c r="J57" s="133"/>
      <c r="K57" s="115"/>
      <c r="L57" s="115"/>
      <c r="M57" s="115"/>
      <c r="N57" s="114"/>
      <c r="O57" s="114"/>
      <c r="P57" s="115"/>
      <c r="Q57" s="115"/>
      <c r="R57" s="115"/>
      <c r="S57" s="115"/>
      <c r="T57" s="114"/>
      <c r="U57" s="114"/>
      <c r="V57" s="116"/>
      <c r="W57" s="114"/>
      <c r="X57" s="114"/>
      <c r="Y57" s="114"/>
      <c r="Z57" s="114"/>
      <c r="AA57" s="114"/>
    </row>
    <row r="58" spans="1:27" ht="15" customHeight="1" x14ac:dyDescent="0.4">
      <c r="A58" s="114"/>
      <c r="B58" s="226"/>
      <c r="C58" s="32" t="s">
        <v>35</v>
      </c>
      <c r="D58" s="8">
        <f>D56*D57</f>
        <v>3.8575958400000001</v>
      </c>
      <c r="E58" s="262"/>
      <c r="F58" s="263"/>
      <c r="G58" s="264"/>
      <c r="H58" s="114"/>
      <c r="I58" s="129"/>
      <c r="J58" s="133"/>
      <c r="K58" s="115"/>
      <c r="L58" s="115"/>
      <c r="M58" s="115"/>
      <c r="N58" s="114"/>
      <c r="O58" s="114"/>
      <c r="P58" s="115"/>
      <c r="Q58" s="115"/>
      <c r="R58" s="115"/>
      <c r="S58" s="115"/>
      <c r="T58" s="114"/>
      <c r="U58" s="114"/>
      <c r="V58" s="116"/>
      <c r="W58" s="114"/>
      <c r="X58" s="114"/>
      <c r="Y58" s="114"/>
      <c r="Z58" s="114"/>
      <c r="AA58" s="114"/>
    </row>
    <row r="59" spans="1:27" ht="15" customHeight="1" x14ac:dyDescent="0.4">
      <c r="A59" s="114"/>
      <c r="B59" s="226"/>
      <c r="C59" s="32" t="s">
        <v>64</v>
      </c>
      <c r="D59" s="29">
        <f>D58/D54*1000</f>
        <v>292.10111612863835</v>
      </c>
      <c r="E59" s="262"/>
      <c r="F59" s="263"/>
      <c r="G59" s="264"/>
      <c r="H59" s="114"/>
      <c r="I59" s="129"/>
      <c r="J59" s="133"/>
      <c r="K59" s="115"/>
      <c r="L59" s="115"/>
      <c r="M59" s="115"/>
      <c r="N59" s="114"/>
      <c r="O59" s="114"/>
      <c r="P59" s="115"/>
      <c r="Q59" s="115"/>
      <c r="R59" s="115"/>
      <c r="S59" s="115"/>
      <c r="T59" s="114"/>
      <c r="U59" s="114"/>
      <c r="V59" s="116"/>
      <c r="W59" s="114"/>
      <c r="X59" s="114"/>
      <c r="Y59" s="114"/>
      <c r="Z59" s="114"/>
      <c r="AA59" s="114"/>
    </row>
    <row r="60" spans="1:27" ht="15" customHeight="1" thickBot="1" x14ac:dyDescent="0.45">
      <c r="A60" s="114"/>
      <c r="B60" s="259"/>
      <c r="C60" s="35" t="s">
        <v>65</v>
      </c>
      <c r="D60" s="30">
        <f>D58/D52*1000</f>
        <v>536.75598049438702</v>
      </c>
      <c r="E60" s="265"/>
      <c r="F60" s="266"/>
      <c r="G60" s="267"/>
      <c r="H60" s="114"/>
      <c r="I60" s="114"/>
      <c r="J60" s="115"/>
      <c r="K60" s="115"/>
      <c r="L60" s="115"/>
      <c r="M60" s="115"/>
      <c r="N60" s="114"/>
      <c r="O60" s="114"/>
      <c r="P60" s="115"/>
      <c r="Q60" s="115"/>
      <c r="R60" s="115"/>
      <c r="S60" s="115"/>
      <c r="T60" s="114"/>
      <c r="U60" s="114"/>
      <c r="V60" s="116"/>
      <c r="W60" s="114"/>
      <c r="X60" s="114"/>
      <c r="Y60" s="114"/>
      <c r="Z60" s="114"/>
      <c r="AA60" s="114"/>
    </row>
    <row r="61" spans="1:27" ht="15" customHeight="1" x14ac:dyDescent="0.4">
      <c r="A61" s="114"/>
      <c r="B61" s="114"/>
      <c r="C61" s="114"/>
      <c r="D61" s="126"/>
      <c r="E61" s="115"/>
      <c r="F61" s="115"/>
      <c r="G61" s="115"/>
      <c r="H61" s="114"/>
      <c r="I61" s="114"/>
      <c r="J61" s="115"/>
      <c r="K61" s="115"/>
      <c r="L61" s="115"/>
      <c r="M61" s="115"/>
      <c r="N61" s="114"/>
      <c r="O61" s="114"/>
      <c r="P61" s="115"/>
      <c r="Q61" s="115"/>
      <c r="R61" s="115"/>
      <c r="S61" s="115"/>
      <c r="T61" s="114"/>
      <c r="U61" s="114"/>
      <c r="V61" s="116"/>
      <c r="W61" s="114"/>
      <c r="X61" s="114"/>
      <c r="Y61" s="114"/>
      <c r="Z61" s="114"/>
      <c r="AA61" s="114"/>
    </row>
    <row r="62" spans="1:27" ht="15" customHeight="1" x14ac:dyDescent="0.4">
      <c r="A62" s="114"/>
      <c r="B62" s="114"/>
      <c r="C62" s="114"/>
      <c r="D62" s="115"/>
      <c r="E62" s="115"/>
      <c r="F62" s="115"/>
      <c r="G62" s="115"/>
      <c r="H62" s="114"/>
      <c r="I62" s="114"/>
      <c r="J62" s="115"/>
      <c r="K62" s="115"/>
      <c r="L62" s="115"/>
      <c r="M62" s="115"/>
      <c r="N62" s="114"/>
      <c r="O62" s="114"/>
      <c r="P62" s="115"/>
      <c r="Q62" s="115"/>
      <c r="R62" s="115"/>
      <c r="S62" s="115"/>
      <c r="T62" s="114"/>
      <c r="U62" s="114"/>
      <c r="V62" s="116"/>
      <c r="W62" s="114"/>
      <c r="X62" s="114"/>
      <c r="Y62" s="114"/>
      <c r="Z62" s="114"/>
      <c r="AA62" s="114"/>
    </row>
    <row r="63" spans="1:27" ht="15" customHeight="1" x14ac:dyDescent="0.4">
      <c r="A63" s="114"/>
      <c r="B63" s="114"/>
      <c r="C63" s="114"/>
      <c r="D63" s="115"/>
      <c r="E63" s="115"/>
      <c r="F63" s="115"/>
      <c r="G63" s="115"/>
      <c r="H63" s="114"/>
      <c r="I63" s="114"/>
      <c r="J63" s="115"/>
      <c r="K63" s="115"/>
      <c r="L63" s="115"/>
      <c r="M63" s="115"/>
      <c r="N63" s="114"/>
      <c r="O63" s="114"/>
      <c r="P63" s="115"/>
      <c r="Q63" s="115"/>
      <c r="R63" s="115"/>
      <c r="S63" s="115"/>
      <c r="T63" s="114"/>
      <c r="U63" s="114"/>
      <c r="V63" s="116"/>
      <c r="W63" s="114"/>
      <c r="X63" s="114"/>
      <c r="Y63" s="114"/>
      <c r="Z63" s="114"/>
      <c r="AA63" s="114"/>
    </row>
  </sheetData>
  <mergeCells count="58">
    <mergeCell ref="B35:G35"/>
    <mergeCell ref="B36:B43"/>
    <mergeCell ref="E36:G43"/>
    <mergeCell ref="B44:B55"/>
    <mergeCell ref="E44:G60"/>
    <mergeCell ref="B56:B60"/>
    <mergeCell ref="T18:T21"/>
    <mergeCell ref="W18:Y18"/>
    <mergeCell ref="W19:Y19"/>
    <mergeCell ref="N20:N21"/>
    <mergeCell ref="W20:Z20"/>
    <mergeCell ref="B22:B23"/>
    <mergeCell ref="H22:H23"/>
    <mergeCell ref="N22:N28"/>
    <mergeCell ref="T22:T25"/>
    <mergeCell ref="W22:W25"/>
    <mergeCell ref="B24:B30"/>
    <mergeCell ref="H24:H30"/>
    <mergeCell ref="T26:V26"/>
    <mergeCell ref="W26:W30"/>
    <mergeCell ref="T27:T33"/>
    <mergeCell ref="N29:N30"/>
    <mergeCell ref="B31:B33"/>
    <mergeCell ref="H31:H33"/>
    <mergeCell ref="N31:N33"/>
    <mergeCell ref="W31:W32"/>
    <mergeCell ref="W12:W14"/>
    <mergeCell ref="T15:T17"/>
    <mergeCell ref="W15:X15"/>
    <mergeCell ref="W16:Y16"/>
    <mergeCell ref="W17:Y17"/>
    <mergeCell ref="T6:T8"/>
    <mergeCell ref="W7:W8"/>
    <mergeCell ref="T9:T11"/>
    <mergeCell ref="W9:W11"/>
    <mergeCell ref="B12:B21"/>
    <mergeCell ref="E12:G33"/>
    <mergeCell ref="H12:H21"/>
    <mergeCell ref="K12:M33"/>
    <mergeCell ref="N12:N19"/>
    <mergeCell ref="Q12:S33"/>
    <mergeCell ref="B6:B11"/>
    <mergeCell ref="H6:H11"/>
    <mergeCell ref="N6:N11"/>
    <mergeCell ref="O6:O7"/>
    <mergeCell ref="S6:S7"/>
    <mergeCell ref="T12:T14"/>
    <mergeCell ref="B5:G5"/>
    <mergeCell ref="H5:M5"/>
    <mergeCell ref="N5:S5"/>
    <mergeCell ref="T5:V5"/>
    <mergeCell ref="W5:Z5"/>
    <mergeCell ref="J2:K2"/>
    <mergeCell ref="L2:M2"/>
    <mergeCell ref="N2:P2"/>
    <mergeCell ref="J3:K3"/>
    <mergeCell ref="L3:M3"/>
    <mergeCell ref="N3:P3"/>
  </mergeCells>
  <phoneticPr fontId="1"/>
  <pageMargins left="0.7" right="0.7" top="0.75" bottom="0.75" header="0.3" footer="0.3"/>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E7BE68-B68D-4619-89CF-77E5F58A3676}">
  <dimension ref="A1:AA63"/>
  <sheetViews>
    <sheetView zoomScaleNormal="100" workbookViewId="0"/>
  </sheetViews>
  <sheetFormatPr defaultColWidth="9.625" defaultRowHeight="15" customHeight="1" x14ac:dyDescent="0.4"/>
  <cols>
    <col min="1" max="1" width="4.125" style="1" customWidth="1"/>
    <col min="2" max="2" width="8.625" style="1" customWidth="1"/>
    <col min="3" max="3" width="17.625" style="1" customWidth="1"/>
    <col min="4" max="7" width="6.625" style="2" customWidth="1"/>
    <col min="8" max="8" width="8.625" style="1" customWidth="1"/>
    <col min="9" max="9" width="17.625" style="1" customWidth="1"/>
    <col min="10" max="13" width="6.625" style="2" customWidth="1"/>
    <col min="14" max="14" width="8.625" style="1" customWidth="1"/>
    <col min="15" max="15" width="17.625" style="1" customWidth="1"/>
    <col min="16" max="19" width="6.625" style="2" customWidth="1"/>
    <col min="20" max="20" width="8.625" style="1" customWidth="1"/>
    <col min="21" max="21" width="17.625" style="1" customWidth="1"/>
    <col min="22" max="22" width="6.625" style="3" customWidth="1"/>
    <col min="23" max="23" width="9.625" style="1"/>
    <col min="24" max="24" width="17.625" style="1" customWidth="1"/>
    <col min="25" max="26" width="6.625" style="1" customWidth="1"/>
    <col min="27" max="27" width="4" style="1" customWidth="1"/>
    <col min="28" max="16384" width="9.625" style="1"/>
  </cols>
  <sheetData>
    <row r="1" spans="1:27" ht="15" customHeight="1" thickBot="1" x14ac:dyDescent="0.45">
      <c r="A1" s="114"/>
      <c r="B1" s="114"/>
      <c r="C1" s="114"/>
      <c r="D1" s="115"/>
      <c r="E1" s="115"/>
      <c r="F1" s="115"/>
      <c r="G1" s="115"/>
      <c r="H1" s="114"/>
      <c r="I1" s="114"/>
      <c r="J1" s="115"/>
      <c r="K1" s="115"/>
      <c r="L1" s="115"/>
      <c r="M1" s="115"/>
      <c r="N1" s="114"/>
      <c r="O1" s="114"/>
      <c r="P1" s="115"/>
      <c r="Q1" s="115"/>
      <c r="R1" s="115"/>
      <c r="S1" s="115"/>
      <c r="T1" s="114"/>
      <c r="U1" s="114"/>
      <c r="V1" s="116"/>
      <c r="W1" s="114"/>
      <c r="X1" s="114"/>
      <c r="Y1" s="114"/>
      <c r="Z1" s="114"/>
      <c r="AA1" s="114"/>
    </row>
    <row r="2" spans="1:27" ht="15" customHeight="1" x14ac:dyDescent="0.4">
      <c r="A2" s="114"/>
      <c r="B2" s="114"/>
      <c r="C2" s="114"/>
      <c r="D2" s="117" t="s">
        <v>109</v>
      </c>
      <c r="E2" s="118" t="s">
        <v>110</v>
      </c>
      <c r="F2" s="119" t="s">
        <v>111</v>
      </c>
      <c r="G2" s="120" t="s">
        <v>112</v>
      </c>
      <c r="H2" s="120" t="s">
        <v>127</v>
      </c>
      <c r="I2" s="120" t="s">
        <v>114</v>
      </c>
      <c r="J2" s="156" t="s">
        <v>125</v>
      </c>
      <c r="K2" s="157"/>
      <c r="L2" s="156" t="s">
        <v>69</v>
      </c>
      <c r="M2" s="157"/>
      <c r="N2" s="156" t="s">
        <v>129</v>
      </c>
      <c r="O2" s="171"/>
      <c r="P2" s="171"/>
      <c r="Q2" s="151">
        <f>D59</f>
        <v>349.73906792185284</v>
      </c>
      <c r="R2" s="115"/>
      <c r="S2" s="115"/>
      <c r="T2" s="114"/>
      <c r="U2" s="114"/>
      <c r="V2" s="116"/>
      <c r="W2" s="114"/>
      <c r="X2" s="114"/>
      <c r="Y2" s="114"/>
      <c r="Z2" s="114"/>
      <c r="AA2" s="114"/>
    </row>
    <row r="3" spans="1:27" ht="15" customHeight="1" thickBot="1" x14ac:dyDescent="0.45">
      <c r="A3" s="114"/>
      <c r="B3" s="114"/>
      <c r="C3" s="114"/>
      <c r="D3" s="121">
        <v>4</v>
      </c>
      <c r="E3" s="122">
        <v>2.5</v>
      </c>
      <c r="F3" s="123">
        <v>2.5</v>
      </c>
      <c r="G3" s="124">
        <v>7</v>
      </c>
      <c r="H3" s="125">
        <v>3.8</v>
      </c>
      <c r="I3" s="141">
        <f>D56</f>
        <v>1.0886400000000001</v>
      </c>
      <c r="J3" s="158">
        <v>14.6</v>
      </c>
      <c r="K3" s="159"/>
      <c r="L3" s="169">
        <f>D53</f>
        <v>6.5375323930227935E-3</v>
      </c>
      <c r="M3" s="170"/>
      <c r="N3" s="172" t="s">
        <v>128</v>
      </c>
      <c r="O3" s="173"/>
      <c r="P3" s="173"/>
      <c r="Q3" s="152">
        <f>D60</f>
        <v>656.39587907928296</v>
      </c>
      <c r="R3" s="115"/>
      <c r="S3" s="115"/>
      <c r="T3" s="114"/>
      <c r="U3" s="114"/>
      <c r="V3" s="116"/>
      <c r="W3" s="114"/>
      <c r="X3" s="114"/>
      <c r="Y3" s="114"/>
      <c r="Z3" s="114"/>
      <c r="AA3" s="114"/>
    </row>
    <row r="4" spans="1:27" ht="15" customHeight="1" thickBot="1" x14ac:dyDescent="0.45">
      <c r="A4" s="114"/>
      <c r="B4" s="114"/>
      <c r="C4" s="114"/>
      <c r="D4" s="115"/>
      <c r="E4" s="115"/>
      <c r="F4" s="115"/>
      <c r="G4" s="115"/>
      <c r="H4" s="114"/>
      <c r="I4" s="114"/>
      <c r="J4" s="115"/>
      <c r="K4" s="115"/>
      <c r="L4" s="115"/>
      <c r="M4" s="115"/>
      <c r="N4" s="114"/>
      <c r="O4" s="114"/>
      <c r="P4" s="115"/>
      <c r="Q4" s="115"/>
      <c r="R4" s="115"/>
      <c r="S4" s="115"/>
      <c r="T4" s="114"/>
      <c r="U4" s="114"/>
      <c r="V4" s="116"/>
      <c r="W4" s="114"/>
      <c r="X4" s="114"/>
      <c r="Y4" s="114"/>
      <c r="Z4" s="114"/>
      <c r="AA4" s="114"/>
    </row>
    <row r="5" spans="1:27" ht="15" customHeight="1" thickBot="1" x14ac:dyDescent="0.45">
      <c r="A5" s="114"/>
      <c r="B5" s="160" t="s">
        <v>0</v>
      </c>
      <c r="C5" s="161"/>
      <c r="D5" s="161"/>
      <c r="E5" s="161"/>
      <c r="F5" s="161"/>
      <c r="G5" s="162"/>
      <c r="H5" s="163" t="s">
        <v>19</v>
      </c>
      <c r="I5" s="164"/>
      <c r="J5" s="164"/>
      <c r="K5" s="164"/>
      <c r="L5" s="164"/>
      <c r="M5" s="165"/>
      <c r="N5" s="166" t="s">
        <v>23</v>
      </c>
      <c r="O5" s="167"/>
      <c r="P5" s="167"/>
      <c r="Q5" s="167"/>
      <c r="R5" s="167"/>
      <c r="S5" s="168"/>
      <c r="T5" s="174" t="s">
        <v>82</v>
      </c>
      <c r="U5" s="175"/>
      <c r="V5" s="176"/>
      <c r="W5" s="177" t="s">
        <v>28</v>
      </c>
      <c r="X5" s="178"/>
      <c r="Y5" s="178"/>
      <c r="Z5" s="179"/>
      <c r="AA5" s="114"/>
    </row>
    <row r="6" spans="1:27" ht="15" customHeight="1" x14ac:dyDescent="0.4">
      <c r="A6" s="114"/>
      <c r="B6" s="200" t="s">
        <v>3</v>
      </c>
      <c r="C6" s="13" t="s">
        <v>14</v>
      </c>
      <c r="D6" s="66" t="s">
        <v>77</v>
      </c>
      <c r="E6" s="66" t="s">
        <v>98</v>
      </c>
      <c r="F6" s="66" t="s">
        <v>90</v>
      </c>
      <c r="G6" s="4" t="s">
        <v>12</v>
      </c>
      <c r="H6" s="201" t="s">
        <v>3</v>
      </c>
      <c r="I6" s="16" t="s">
        <v>14</v>
      </c>
      <c r="J6" s="66" t="s">
        <v>76</v>
      </c>
      <c r="K6" s="66" t="s">
        <v>99</v>
      </c>
      <c r="L6" s="66" t="s">
        <v>91</v>
      </c>
      <c r="M6" s="5" t="s">
        <v>12</v>
      </c>
      <c r="N6" s="202" t="s">
        <v>3</v>
      </c>
      <c r="O6" s="205" t="s">
        <v>14</v>
      </c>
      <c r="P6" s="67" t="s">
        <v>26</v>
      </c>
      <c r="Q6" s="67" t="s">
        <v>27</v>
      </c>
      <c r="R6" s="67" t="s">
        <v>92</v>
      </c>
      <c r="S6" s="207" t="s">
        <v>12</v>
      </c>
      <c r="T6" s="180" t="s">
        <v>70</v>
      </c>
      <c r="U6" s="43" t="s">
        <v>17</v>
      </c>
      <c r="V6" s="55">
        <v>6</v>
      </c>
      <c r="W6" s="28" t="s">
        <v>113</v>
      </c>
      <c r="X6" s="69" t="s">
        <v>95</v>
      </c>
      <c r="Y6" s="72" t="s">
        <v>63</v>
      </c>
      <c r="Z6" s="73" t="s">
        <v>30</v>
      </c>
      <c r="AA6" s="114"/>
    </row>
    <row r="7" spans="1:27" ht="15" customHeight="1" x14ac:dyDescent="0.4">
      <c r="A7" s="114"/>
      <c r="B7" s="198"/>
      <c r="C7" s="14" t="s">
        <v>49</v>
      </c>
      <c r="D7" s="80">
        <f>230*0.91</f>
        <v>209.3</v>
      </c>
      <c r="E7" s="80">
        <v>0</v>
      </c>
      <c r="F7" s="80">
        <v>0</v>
      </c>
      <c r="G7" s="25">
        <f>D7</f>
        <v>209.3</v>
      </c>
      <c r="H7" s="198"/>
      <c r="I7" s="16" t="s">
        <v>49</v>
      </c>
      <c r="J7" s="80">
        <v>3860</v>
      </c>
      <c r="K7" s="80">
        <v>0</v>
      </c>
      <c r="L7" s="80">
        <v>0</v>
      </c>
      <c r="M7" s="25">
        <f>J7</f>
        <v>3860</v>
      </c>
      <c r="N7" s="203"/>
      <c r="O7" s="206"/>
      <c r="P7" s="67" t="s">
        <v>24</v>
      </c>
      <c r="Q7" s="67" t="s">
        <v>93</v>
      </c>
      <c r="R7" s="67" t="s">
        <v>94</v>
      </c>
      <c r="S7" s="208"/>
      <c r="T7" s="181"/>
      <c r="U7" s="44" t="s">
        <v>9</v>
      </c>
      <c r="V7" s="40">
        <v>8</v>
      </c>
      <c r="W7" s="183" t="s">
        <v>61</v>
      </c>
      <c r="X7" s="68" t="s">
        <v>95</v>
      </c>
      <c r="Y7" s="62">
        <v>0</v>
      </c>
      <c r="Z7" s="61">
        <f>Y7*$Z$18/100</f>
        <v>0</v>
      </c>
      <c r="AA7" s="114"/>
    </row>
    <row r="8" spans="1:27" ht="15" customHeight="1" x14ac:dyDescent="0.4">
      <c r="A8" s="114"/>
      <c r="B8" s="198"/>
      <c r="C8" s="14" t="s">
        <v>11</v>
      </c>
      <c r="D8" s="81">
        <v>96</v>
      </c>
      <c r="E8" s="81">
        <v>2</v>
      </c>
      <c r="F8" s="81">
        <v>2</v>
      </c>
      <c r="G8" s="39">
        <f>SUM(D8:F8)</f>
        <v>100</v>
      </c>
      <c r="H8" s="198"/>
      <c r="I8" s="16" t="s">
        <v>11</v>
      </c>
      <c r="J8" s="81">
        <v>100</v>
      </c>
      <c r="K8" s="81">
        <v>0</v>
      </c>
      <c r="L8" s="81">
        <v>0</v>
      </c>
      <c r="M8" s="39">
        <f>SUM(J8:L8)</f>
        <v>100</v>
      </c>
      <c r="N8" s="203"/>
      <c r="O8" s="18" t="s">
        <v>43</v>
      </c>
      <c r="P8" s="58">
        <v>1.093</v>
      </c>
      <c r="Q8" s="58">
        <v>0</v>
      </c>
      <c r="R8" s="58">
        <v>0</v>
      </c>
      <c r="S8" s="8">
        <f>SUM(P8:R8)</f>
        <v>1.093</v>
      </c>
      <c r="T8" s="182"/>
      <c r="U8" s="44" t="s">
        <v>40</v>
      </c>
      <c r="V8" s="25">
        <f>V6*V7/100</f>
        <v>0.48</v>
      </c>
      <c r="W8" s="184"/>
      <c r="X8" s="68" t="s">
        <v>95</v>
      </c>
      <c r="Y8" s="62">
        <v>0</v>
      </c>
      <c r="Z8" s="61">
        <f t="shared" ref="Z8:Z15" si="0">Y8*$Z$18/100</f>
        <v>0</v>
      </c>
      <c r="AA8" s="114"/>
    </row>
    <row r="9" spans="1:27" ht="15" customHeight="1" x14ac:dyDescent="0.4">
      <c r="A9" s="114"/>
      <c r="B9" s="198"/>
      <c r="C9" s="14" t="s">
        <v>38</v>
      </c>
      <c r="D9" s="58">
        <v>4.7</v>
      </c>
      <c r="E9" s="58">
        <v>1.8</v>
      </c>
      <c r="F9" s="58">
        <v>1.78</v>
      </c>
      <c r="G9" s="9">
        <f>G10/G11</f>
        <v>4.4130162116541047</v>
      </c>
      <c r="H9" s="198"/>
      <c r="I9" s="16" t="s">
        <v>38</v>
      </c>
      <c r="J9" s="57">
        <v>0.53400000000000003</v>
      </c>
      <c r="K9" s="57">
        <v>0</v>
      </c>
      <c r="L9" s="57">
        <v>0</v>
      </c>
      <c r="M9" s="10">
        <f>M10/M11</f>
        <v>0.53400000000000003</v>
      </c>
      <c r="N9" s="203"/>
      <c r="O9" s="18" t="s">
        <v>38</v>
      </c>
      <c r="P9" s="57">
        <v>0.93</v>
      </c>
      <c r="Q9" s="57">
        <v>0</v>
      </c>
      <c r="R9" s="57">
        <v>0</v>
      </c>
      <c r="S9" s="10">
        <f>S10/S11</f>
        <v>0.93</v>
      </c>
      <c r="T9" s="185" t="s">
        <v>81</v>
      </c>
      <c r="U9" s="26" t="s">
        <v>36</v>
      </c>
      <c r="V9" s="45">
        <f>D24</f>
        <v>12</v>
      </c>
      <c r="W9" s="183" t="s">
        <v>60</v>
      </c>
      <c r="X9" s="68" t="s">
        <v>95</v>
      </c>
      <c r="Y9" s="62">
        <v>0</v>
      </c>
      <c r="Z9" s="61">
        <f t="shared" si="0"/>
        <v>0</v>
      </c>
      <c r="AA9" s="114"/>
    </row>
    <row r="10" spans="1:27" ht="15" customHeight="1" x14ac:dyDescent="0.4">
      <c r="A10" s="114"/>
      <c r="B10" s="198"/>
      <c r="C10" s="14" t="s">
        <v>10</v>
      </c>
      <c r="D10" s="36">
        <f>D43/G7</f>
        <v>0.74304825609173442</v>
      </c>
      <c r="E10" s="36">
        <f>G10*E8/100</f>
        <v>1.5480172001911131E-2</v>
      </c>
      <c r="F10" s="36">
        <f>G10*F8/100</f>
        <v>1.5480172001911131E-2</v>
      </c>
      <c r="G10" s="10">
        <f>D10/D8*100</f>
        <v>0.77400860009555661</v>
      </c>
      <c r="H10" s="198"/>
      <c r="I10" s="16" t="s">
        <v>10</v>
      </c>
      <c r="J10" s="36">
        <f>D43*D42/M7</f>
        <v>0.10072538860103628</v>
      </c>
      <c r="K10" s="36">
        <f>M10*K8/100</f>
        <v>0</v>
      </c>
      <c r="L10" s="36">
        <f>M10*L8/100</f>
        <v>0</v>
      </c>
      <c r="M10" s="10">
        <f>J10/J8*100</f>
        <v>0.10072538860103628</v>
      </c>
      <c r="N10" s="203"/>
      <c r="O10" s="18" t="s">
        <v>10</v>
      </c>
      <c r="P10" s="36">
        <f>P8*P16/1000</f>
        <v>5.0715199999999995E-2</v>
      </c>
      <c r="Q10" s="36">
        <f>Q8*P25/1000</f>
        <v>0</v>
      </c>
      <c r="R10" s="36">
        <f>R8*P25/1000</f>
        <v>0</v>
      </c>
      <c r="S10" s="10">
        <f>SUM(P10:R10)</f>
        <v>5.0715199999999995E-2</v>
      </c>
      <c r="T10" s="181"/>
      <c r="U10" s="44" t="s">
        <v>37</v>
      </c>
      <c r="V10" s="10">
        <f>V8*V9/10000</f>
        <v>5.7600000000000001E-4</v>
      </c>
      <c r="W10" s="184"/>
      <c r="X10" s="68" t="s">
        <v>95</v>
      </c>
      <c r="Y10" s="62">
        <v>0</v>
      </c>
      <c r="Z10" s="61">
        <f t="shared" si="0"/>
        <v>0</v>
      </c>
      <c r="AA10" s="114"/>
    </row>
    <row r="11" spans="1:27" ht="15" customHeight="1" x14ac:dyDescent="0.4">
      <c r="A11" s="114"/>
      <c r="B11" s="199"/>
      <c r="C11" s="14" t="s">
        <v>37</v>
      </c>
      <c r="D11" s="36">
        <f>D10/D9</f>
        <v>0.15809537363653922</v>
      </c>
      <c r="E11" s="36">
        <f t="shared" ref="E11:F11" si="1">E10/E9</f>
        <v>8.6000955566172942E-3</v>
      </c>
      <c r="F11" s="36">
        <f t="shared" si="1"/>
        <v>8.6967258437702991E-3</v>
      </c>
      <c r="G11" s="10">
        <f>SUM(D11:F11)</f>
        <v>0.1753921950369268</v>
      </c>
      <c r="H11" s="199"/>
      <c r="I11" s="16" t="s">
        <v>37</v>
      </c>
      <c r="J11" s="36">
        <f>J10/J9</f>
        <v>0.18862432322291436</v>
      </c>
      <c r="K11" s="36">
        <f>K10/(K9+0.00001)</f>
        <v>0</v>
      </c>
      <c r="L11" s="36">
        <f>L10/(L9+0.00001)</f>
        <v>0</v>
      </c>
      <c r="M11" s="10">
        <f>SUM(J11:L11)</f>
        <v>0.18862432322291436</v>
      </c>
      <c r="N11" s="204"/>
      <c r="O11" s="18" t="s">
        <v>37</v>
      </c>
      <c r="P11" s="36">
        <f>P10/P9</f>
        <v>5.4532473118279565E-2</v>
      </c>
      <c r="Q11" s="36">
        <f>Q10/(Q9+0.00001)</f>
        <v>0</v>
      </c>
      <c r="R11" s="36">
        <f>R10/(R9+0.00001)</f>
        <v>0</v>
      </c>
      <c r="S11" s="10">
        <f>SUM(P11:R11)</f>
        <v>5.4532473118279565E-2</v>
      </c>
      <c r="T11" s="182"/>
      <c r="U11" s="22" t="s">
        <v>10</v>
      </c>
      <c r="V11" s="10">
        <f>V10*D30</f>
        <v>1.5546239999999999E-3</v>
      </c>
      <c r="W11" s="184"/>
      <c r="X11" s="68" t="s">
        <v>95</v>
      </c>
      <c r="Y11" s="63">
        <v>0</v>
      </c>
      <c r="Z11" s="61">
        <f t="shared" si="0"/>
        <v>0</v>
      </c>
      <c r="AA11" s="114"/>
    </row>
    <row r="12" spans="1:27" ht="15" customHeight="1" x14ac:dyDescent="0.4">
      <c r="A12" s="114"/>
      <c r="B12" s="186" t="s">
        <v>2</v>
      </c>
      <c r="C12" s="14" t="s">
        <v>36</v>
      </c>
      <c r="D12" s="51">
        <v>66</v>
      </c>
      <c r="E12" s="189"/>
      <c r="F12" s="190"/>
      <c r="G12" s="191"/>
      <c r="H12" s="196" t="s">
        <v>2</v>
      </c>
      <c r="I12" s="16" t="s">
        <v>36</v>
      </c>
      <c r="J12" s="51">
        <v>46</v>
      </c>
      <c r="K12" s="189"/>
      <c r="L12" s="190"/>
      <c r="M12" s="191"/>
      <c r="N12" s="197" t="s">
        <v>26</v>
      </c>
      <c r="O12" s="18" t="s">
        <v>36</v>
      </c>
      <c r="P12" s="52">
        <v>20</v>
      </c>
      <c r="Q12" s="234"/>
      <c r="R12" s="190"/>
      <c r="S12" s="191"/>
      <c r="T12" s="185" t="s">
        <v>80</v>
      </c>
      <c r="U12" s="26" t="s">
        <v>36</v>
      </c>
      <c r="V12" s="25">
        <f>J24</f>
        <v>8</v>
      </c>
      <c r="W12" s="183" t="s">
        <v>62</v>
      </c>
      <c r="X12" s="68" t="s">
        <v>95</v>
      </c>
      <c r="Y12" s="63">
        <v>0</v>
      </c>
      <c r="Z12" s="61">
        <f t="shared" si="0"/>
        <v>0</v>
      </c>
      <c r="AA12" s="114"/>
    </row>
    <row r="13" spans="1:27" ht="15" customHeight="1" x14ac:dyDescent="0.4">
      <c r="A13" s="114"/>
      <c r="B13" s="187"/>
      <c r="C13" s="14" t="s">
        <v>7</v>
      </c>
      <c r="D13" s="54">
        <f>D25</f>
        <v>54</v>
      </c>
      <c r="E13" s="192"/>
      <c r="F13" s="192"/>
      <c r="G13" s="193"/>
      <c r="H13" s="187"/>
      <c r="I13" s="16" t="s">
        <v>7</v>
      </c>
      <c r="J13" s="54">
        <f>J25</f>
        <v>55.5</v>
      </c>
      <c r="K13" s="192"/>
      <c r="L13" s="192"/>
      <c r="M13" s="193"/>
      <c r="N13" s="198"/>
      <c r="O13" s="18" t="s">
        <v>52</v>
      </c>
      <c r="P13" s="52">
        <v>58</v>
      </c>
      <c r="Q13" s="235"/>
      <c r="R13" s="192"/>
      <c r="S13" s="193"/>
      <c r="T13" s="181"/>
      <c r="U13" s="44" t="s">
        <v>37</v>
      </c>
      <c r="V13" s="10">
        <f>V8*V12/10000</f>
        <v>3.8400000000000001E-4</v>
      </c>
      <c r="W13" s="184"/>
      <c r="X13" s="68" t="s">
        <v>95</v>
      </c>
      <c r="Y13" s="63">
        <v>0</v>
      </c>
      <c r="Z13" s="61">
        <f t="shared" si="0"/>
        <v>0</v>
      </c>
      <c r="AA13" s="114"/>
    </row>
    <row r="14" spans="1:27" ht="15" customHeight="1" thickBot="1" x14ac:dyDescent="0.45">
      <c r="A14" s="114"/>
      <c r="B14" s="187"/>
      <c r="C14" s="14" t="s">
        <v>8</v>
      </c>
      <c r="D14" s="54">
        <f>D25</f>
        <v>54</v>
      </c>
      <c r="E14" s="192"/>
      <c r="F14" s="192"/>
      <c r="G14" s="193"/>
      <c r="H14" s="187"/>
      <c r="I14" s="16" t="s">
        <v>8</v>
      </c>
      <c r="J14" s="54">
        <f>J25</f>
        <v>55.5</v>
      </c>
      <c r="K14" s="192"/>
      <c r="L14" s="192"/>
      <c r="M14" s="193"/>
      <c r="N14" s="198"/>
      <c r="O14" s="18" t="s">
        <v>53</v>
      </c>
      <c r="P14" s="52">
        <v>58</v>
      </c>
      <c r="Q14" s="235"/>
      <c r="R14" s="192"/>
      <c r="S14" s="193"/>
      <c r="T14" s="209"/>
      <c r="U14" s="27" t="s">
        <v>10</v>
      </c>
      <c r="V14" s="38">
        <f>V13*J30</f>
        <v>3.4406400000000005E-3</v>
      </c>
      <c r="W14" s="184"/>
      <c r="X14" s="68" t="s">
        <v>95</v>
      </c>
      <c r="Y14" s="63">
        <v>0</v>
      </c>
      <c r="Z14" s="61">
        <f t="shared" si="0"/>
        <v>0</v>
      </c>
      <c r="AA14" s="114"/>
    </row>
    <row r="15" spans="1:27" ht="15" customHeight="1" thickBot="1" x14ac:dyDescent="0.45">
      <c r="A15" s="114"/>
      <c r="B15" s="187"/>
      <c r="C15" s="14" t="s">
        <v>9</v>
      </c>
      <c r="D15" s="54">
        <f>D26</f>
        <v>36</v>
      </c>
      <c r="E15" s="192"/>
      <c r="F15" s="192"/>
      <c r="G15" s="193"/>
      <c r="H15" s="187"/>
      <c r="I15" s="16" t="s">
        <v>9</v>
      </c>
      <c r="J15" s="54">
        <f>J26</f>
        <v>37.5</v>
      </c>
      <c r="K15" s="192"/>
      <c r="L15" s="192"/>
      <c r="M15" s="193"/>
      <c r="N15" s="198"/>
      <c r="O15" s="18" t="s">
        <v>9</v>
      </c>
      <c r="P15" s="52">
        <v>40</v>
      </c>
      <c r="Q15" s="235"/>
      <c r="R15" s="192"/>
      <c r="S15" s="193"/>
      <c r="T15" s="210" t="s">
        <v>79</v>
      </c>
      <c r="U15" s="26" t="s">
        <v>17</v>
      </c>
      <c r="V15" s="42">
        <v>20</v>
      </c>
      <c r="W15" s="211" t="s">
        <v>12</v>
      </c>
      <c r="X15" s="212"/>
      <c r="Y15" s="70">
        <f>SUM(Y7:Y14)</f>
        <v>0</v>
      </c>
      <c r="Z15" s="61">
        <f t="shared" si="0"/>
        <v>0</v>
      </c>
      <c r="AA15" s="114"/>
    </row>
    <row r="16" spans="1:27" ht="15" customHeight="1" x14ac:dyDescent="0.4">
      <c r="A16" s="114"/>
      <c r="B16" s="187"/>
      <c r="C16" s="14" t="s">
        <v>41</v>
      </c>
      <c r="D16" s="53">
        <f>(D13+D14)*D15/100</f>
        <v>38.880000000000003</v>
      </c>
      <c r="E16" s="192"/>
      <c r="F16" s="192"/>
      <c r="G16" s="193"/>
      <c r="H16" s="187"/>
      <c r="I16" s="16" t="s">
        <v>41</v>
      </c>
      <c r="J16" s="11">
        <f>(J13+J14)*J15/100</f>
        <v>41.625</v>
      </c>
      <c r="K16" s="192"/>
      <c r="L16" s="192"/>
      <c r="M16" s="193"/>
      <c r="N16" s="198"/>
      <c r="O16" s="18" t="s">
        <v>40</v>
      </c>
      <c r="P16" s="53">
        <f>(P13+P14)*P15/100</f>
        <v>46.4</v>
      </c>
      <c r="Q16" s="235"/>
      <c r="R16" s="192"/>
      <c r="S16" s="193"/>
      <c r="T16" s="198"/>
      <c r="U16" s="22" t="s">
        <v>9</v>
      </c>
      <c r="V16" s="40">
        <v>5</v>
      </c>
      <c r="W16" s="213" t="s">
        <v>39</v>
      </c>
      <c r="X16" s="214"/>
      <c r="Y16" s="215"/>
      <c r="Z16" s="82">
        <v>1.1000000000000001</v>
      </c>
      <c r="AA16" s="114"/>
    </row>
    <row r="17" spans="1:27" ht="15" customHeight="1" x14ac:dyDescent="0.4">
      <c r="A17" s="114"/>
      <c r="B17" s="187"/>
      <c r="C17" s="14" t="s">
        <v>42</v>
      </c>
      <c r="D17" s="36">
        <f>D12*D16/10000</f>
        <v>0.25660800000000006</v>
      </c>
      <c r="E17" s="192"/>
      <c r="F17" s="192"/>
      <c r="G17" s="193"/>
      <c r="H17" s="187"/>
      <c r="I17" s="16" t="s">
        <v>42</v>
      </c>
      <c r="J17" s="36">
        <f>J12*J16/10000</f>
        <v>0.19147500000000001</v>
      </c>
      <c r="K17" s="192"/>
      <c r="L17" s="192"/>
      <c r="M17" s="193"/>
      <c r="N17" s="198"/>
      <c r="O17" s="18" t="s">
        <v>37</v>
      </c>
      <c r="P17" s="36">
        <f>P12*P16/10000</f>
        <v>9.2799999999999994E-2</v>
      </c>
      <c r="Q17" s="235"/>
      <c r="R17" s="192"/>
      <c r="S17" s="193"/>
      <c r="T17" s="199"/>
      <c r="U17" s="22" t="s">
        <v>40</v>
      </c>
      <c r="V17" s="25">
        <f>V15*V16/100</f>
        <v>1</v>
      </c>
      <c r="W17" s="216" t="s">
        <v>58</v>
      </c>
      <c r="X17" s="217"/>
      <c r="Y17" s="218"/>
      <c r="Z17" s="107">
        <f>F3</f>
        <v>2.5</v>
      </c>
      <c r="AA17" s="114"/>
    </row>
    <row r="18" spans="1:27" ht="15" customHeight="1" x14ac:dyDescent="0.4">
      <c r="A18" s="114"/>
      <c r="B18" s="187"/>
      <c r="C18" s="14" t="s">
        <v>18</v>
      </c>
      <c r="D18" s="36">
        <f>G10</f>
        <v>0.77400860009555661</v>
      </c>
      <c r="E18" s="192"/>
      <c r="F18" s="192"/>
      <c r="G18" s="193"/>
      <c r="H18" s="187"/>
      <c r="I18" s="16" t="s">
        <v>18</v>
      </c>
      <c r="J18" s="36">
        <f>M10</f>
        <v>0.10072538860103628</v>
      </c>
      <c r="K18" s="192"/>
      <c r="L18" s="192"/>
      <c r="M18" s="193"/>
      <c r="N18" s="198"/>
      <c r="O18" s="18" t="s">
        <v>10</v>
      </c>
      <c r="P18" s="36">
        <f>P10</f>
        <v>5.0715199999999995E-2</v>
      </c>
      <c r="Q18" s="235"/>
      <c r="R18" s="192"/>
      <c r="S18" s="193"/>
      <c r="T18" s="210" t="s">
        <v>57</v>
      </c>
      <c r="U18" s="26" t="s">
        <v>36</v>
      </c>
      <c r="V18" s="6">
        <v>100</v>
      </c>
      <c r="W18" s="183" t="s">
        <v>10</v>
      </c>
      <c r="X18" s="239"/>
      <c r="Y18" s="240"/>
      <c r="Z18" s="61">
        <f>Z17*D43/1000</f>
        <v>0.38880000000000003</v>
      </c>
      <c r="AA18" s="114"/>
    </row>
    <row r="19" spans="1:27" ht="15" customHeight="1" thickBot="1" x14ac:dyDescent="0.45">
      <c r="A19" s="114"/>
      <c r="B19" s="187"/>
      <c r="C19" s="14" t="s">
        <v>39</v>
      </c>
      <c r="D19" s="59">
        <f>D18/D17</f>
        <v>3.0163073641334504</v>
      </c>
      <c r="E19" s="192"/>
      <c r="F19" s="192"/>
      <c r="G19" s="193"/>
      <c r="H19" s="187"/>
      <c r="I19" s="16" t="s">
        <v>39</v>
      </c>
      <c r="J19" s="59">
        <f>J18/J17</f>
        <v>0.52604981643053284</v>
      </c>
      <c r="K19" s="192"/>
      <c r="L19" s="192"/>
      <c r="M19" s="193"/>
      <c r="N19" s="199"/>
      <c r="O19" s="18" t="s">
        <v>39</v>
      </c>
      <c r="P19" s="59">
        <f>P18/P17</f>
        <v>0.54649999999999999</v>
      </c>
      <c r="Q19" s="235"/>
      <c r="R19" s="192"/>
      <c r="S19" s="193"/>
      <c r="T19" s="198"/>
      <c r="U19" s="22" t="s">
        <v>37</v>
      </c>
      <c r="V19" s="10">
        <f>V17*V18/10000</f>
        <v>0.01</v>
      </c>
      <c r="W19" s="225" t="s">
        <v>37</v>
      </c>
      <c r="X19" s="241"/>
      <c r="Y19" s="242"/>
      <c r="Z19" s="71">
        <f>Z18/Z16</f>
        <v>0.35345454545454547</v>
      </c>
      <c r="AA19" s="114"/>
    </row>
    <row r="20" spans="1:27" ht="15" customHeight="1" thickBot="1" x14ac:dyDescent="0.45">
      <c r="A20" s="114"/>
      <c r="B20" s="187"/>
      <c r="C20" s="14" t="s">
        <v>75</v>
      </c>
      <c r="D20" s="59">
        <f>D10/D16*1000</f>
        <v>19.111323459149549</v>
      </c>
      <c r="E20" s="192"/>
      <c r="F20" s="192"/>
      <c r="G20" s="193"/>
      <c r="H20" s="187"/>
      <c r="I20" s="16" t="s">
        <v>75</v>
      </c>
      <c r="J20" s="59">
        <f>J10/J16*1000</f>
        <v>2.4198291555804508</v>
      </c>
      <c r="K20" s="192"/>
      <c r="L20" s="192"/>
      <c r="M20" s="193"/>
      <c r="N20" s="231" t="s">
        <v>15</v>
      </c>
      <c r="O20" s="18" t="s">
        <v>37</v>
      </c>
      <c r="P20" s="59">
        <f>P17-P11</f>
        <v>3.8267526881720429E-2</v>
      </c>
      <c r="Q20" s="235"/>
      <c r="R20" s="192"/>
      <c r="S20" s="193"/>
      <c r="T20" s="198"/>
      <c r="U20" s="22" t="s">
        <v>10</v>
      </c>
      <c r="V20" s="10">
        <f>V19*V21</f>
        <v>2.699E-2</v>
      </c>
      <c r="W20" s="243" t="s">
        <v>101</v>
      </c>
      <c r="X20" s="244"/>
      <c r="Y20" s="245"/>
      <c r="Z20" s="246"/>
      <c r="AA20" s="114"/>
    </row>
    <row r="21" spans="1:27" ht="15" customHeight="1" thickBot="1" x14ac:dyDescent="0.45">
      <c r="A21" s="114"/>
      <c r="B21" s="188"/>
      <c r="C21" s="14" t="s">
        <v>47</v>
      </c>
      <c r="D21" s="108">
        <f>D3</f>
        <v>4</v>
      </c>
      <c r="E21" s="192"/>
      <c r="F21" s="192"/>
      <c r="G21" s="193"/>
      <c r="H21" s="188"/>
      <c r="I21" s="16" t="s">
        <v>47</v>
      </c>
      <c r="J21" s="59">
        <f>D43*D42/J16</f>
        <v>9.3405405405405411</v>
      </c>
      <c r="K21" s="192"/>
      <c r="L21" s="192"/>
      <c r="M21" s="193"/>
      <c r="N21" s="233"/>
      <c r="O21" s="19" t="s">
        <v>16</v>
      </c>
      <c r="P21" s="136">
        <f>P20/P17*100</f>
        <v>41.236559139784944</v>
      </c>
      <c r="Q21" s="235"/>
      <c r="R21" s="192"/>
      <c r="S21" s="193"/>
      <c r="T21" s="199"/>
      <c r="U21" s="22" t="s">
        <v>39</v>
      </c>
      <c r="V21" s="64">
        <v>2.6989999999999998</v>
      </c>
      <c r="W21" s="75" t="s">
        <v>28</v>
      </c>
      <c r="X21" s="76" t="s">
        <v>102</v>
      </c>
      <c r="Y21" s="77" t="s">
        <v>103</v>
      </c>
      <c r="Z21" s="74" t="s">
        <v>30</v>
      </c>
      <c r="AA21" s="114"/>
    </row>
    <row r="22" spans="1:27" ht="15" customHeight="1" x14ac:dyDescent="0.4">
      <c r="A22" s="114"/>
      <c r="B22" s="237" t="s">
        <v>15</v>
      </c>
      <c r="C22" s="13" t="s">
        <v>37</v>
      </c>
      <c r="D22" s="37">
        <f>D17-G11</f>
        <v>8.1215804963073263E-2</v>
      </c>
      <c r="E22" s="192"/>
      <c r="F22" s="192"/>
      <c r="G22" s="193"/>
      <c r="H22" s="238" t="s">
        <v>15</v>
      </c>
      <c r="I22" s="49" t="s">
        <v>37</v>
      </c>
      <c r="J22" s="37">
        <f>J17-M11</f>
        <v>2.8506767770856423E-3</v>
      </c>
      <c r="K22" s="192"/>
      <c r="L22" s="192"/>
      <c r="M22" s="193"/>
      <c r="N22" s="204" t="s">
        <v>54</v>
      </c>
      <c r="O22" s="134" t="s">
        <v>44</v>
      </c>
      <c r="P22" s="135">
        <v>0</v>
      </c>
      <c r="Q22" s="235"/>
      <c r="R22" s="192"/>
      <c r="S22" s="193"/>
      <c r="T22" s="219" t="s">
        <v>78</v>
      </c>
      <c r="U22" s="22" t="s">
        <v>36</v>
      </c>
      <c r="V22" s="7">
        <v>100</v>
      </c>
      <c r="W22" s="183" t="s">
        <v>45</v>
      </c>
      <c r="X22" s="20" t="s">
        <v>0</v>
      </c>
      <c r="Y22" s="36">
        <f>D22</f>
        <v>8.1215804963073263E-2</v>
      </c>
      <c r="Z22" s="10">
        <f>Y22*$Z$16</f>
        <v>8.9337385459380594E-2</v>
      </c>
      <c r="AA22" s="114"/>
    </row>
    <row r="23" spans="1:27" ht="15" customHeight="1" x14ac:dyDescent="0.4">
      <c r="A23" s="114"/>
      <c r="B23" s="188"/>
      <c r="C23" s="14" t="s">
        <v>16</v>
      </c>
      <c r="D23" s="60">
        <f>D22/D17*100</f>
        <v>31.649755644045879</v>
      </c>
      <c r="E23" s="192"/>
      <c r="F23" s="192"/>
      <c r="G23" s="193"/>
      <c r="H23" s="188"/>
      <c r="I23" s="16" t="s">
        <v>16</v>
      </c>
      <c r="J23" s="60">
        <f>J22/J17*100</f>
        <v>1.4887984212485401</v>
      </c>
      <c r="K23" s="192"/>
      <c r="L23" s="192"/>
      <c r="M23" s="193"/>
      <c r="N23" s="231"/>
      <c r="O23" s="18" t="s">
        <v>55</v>
      </c>
      <c r="P23" s="54">
        <f>P13+P14</f>
        <v>116</v>
      </c>
      <c r="Q23" s="235"/>
      <c r="R23" s="192"/>
      <c r="S23" s="193"/>
      <c r="T23" s="198"/>
      <c r="U23" s="22" t="s">
        <v>37</v>
      </c>
      <c r="V23" s="10">
        <f>V17*V22/10000</f>
        <v>0.01</v>
      </c>
      <c r="W23" s="183"/>
      <c r="X23" s="20" t="s">
        <v>19</v>
      </c>
      <c r="Y23" s="36">
        <f>J22</f>
        <v>2.8506767770856423E-3</v>
      </c>
      <c r="Z23" s="10">
        <f t="shared" ref="Z23:Z25" si="2">Y23*$Z$16</f>
        <v>3.1357444547942068E-3</v>
      </c>
      <c r="AA23" s="114"/>
    </row>
    <row r="24" spans="1:27" ht="15" customHeight="1" x14ac:dyDescent="0.4">
      <c r="A24" s="114"/>
      <c r="B24" s="220" t="s">
        <v>104</v>
      </c>
      <c r="C24" s="14" t="s">
        <v>36</v>
      </c>
      <c r="D24" s="51">
        <v>12</v>
      </c>
      <c r="E24" s="192"/>
      <c r="F24" s="192"/>
      <c r="G24" s="193"/>
      <c r="H24" s="221" t="s">
        <v>105</v>
      </c>
      <c r="I24" s="16" t="s">
        <v>36</v>
      </c>
      <c r="J24" s="51">
        <v>8</v>
      </c>
      <c r="K24" s="192"/>
      <c r="L24" s="192"/>
      <c r="M24" s="193"/>
      <c r="N24" s="231"/>
      <c r="O24" s="18" t="s">
        <v>9</v>
      </c>
      <c r="P24" s="54">
        <f>P15</f>
        <v>40</v>
      </c>
      <c r="Q24" s="235"/>
      <c r="R24" s="192"/>
      <c r="S24" s="193"/>
      <c r="T24" s="198"/>
      <c r="U24" s="22" t="s">
        <v>10</v>
      </c>
      <c r="V24" s="10">
        <f>V23*V25</f>
        <v>8.9019999999999988E-2</v>
      </c>
      <c r="W24" s="183"/>
      <c r="X24" s="20" t="s">
        <v>26</v>
      </c>
      <c r="Y24" s="36">
        <f>P20</f>
        <v>3.8267526881720429E-2</v>
      </c>
      <c r="Z24" s="10">
        <f t="shared" si="2"/>
        <v>4.2094279569892472E-2</v>
      </c>
      <c r="AA24" s="114"/>
    </row>
    <row r="25" spans="1:27" ht="15" customHeight="1" thickBot="1" x14ac:dyDescent="0.45">
      <c r="A25" s="114"/>
      <c r="B25" s="220"/>
      <c r="C25" s="14" t="s">
        <v>17</v>
      </c>
      <c r="D25" s="52">
        <v>54</v>
      </c>
      <c r="E25" s="192"/>
      <c r="F25" s="192"/>
      <c r="G25" s="193"/>
      <c r="H25" s="221"/>
      <c r="I25" s="16" t="s">
        <v>17</v>
      </c>
      <c r="J25" s="52">
        <v>55.5</v>
      </c>
      <c r="K25" s="192"/>
      <c r="L25" s="192"/>
      <c r="M25" s="193"/>
      <c r="N25" s="231"/>
      <c r="O25" s="18" t="s">
        <v>40</v>
      </c>
      <c r="P25" s="53">
        <f>P23*P24/100</f>
        <v>46.4</v>
      </c>
      <c r="Q25" s="235"/>
      <c r="R25" s="192"/>
      <c r="S25" s="193"/>
      <c r="T25" s="198"/>
      <c r="U25" s="24" t="s">
        <v>39</v>
      </c>
      <c r="V25" s="65">
        <v>8.9019999999999992</v>
      </c>
      <c r="W25" s="183"/>
      <c r="X25" s="20" t="s">
        <v>54</v>
      </c>
      <c r="Y25" s="36">
        <f>P29</f>
        <v>1.0000000000000001E-5</v>
      </c>
      <c r="Z25" s="10">
        <f t="shared" si="2"/>
        <v>1.1000000000000001E-5</v>
      </c>
      <c r="AA25" s="114"/>
    </row>
    <row r="26" spans="1:27" ht="15" customHeight="1" thickBot="1" x14ac:dyDescent="0.45">
      <c r="A26" s="114"/>
      <c r="B26" s="220"/>
      <c r="C26" s="14" t="s">
        <v>9</v>
      </c>
      <c r="D26" s="52">
        <v>36</v>
      </c>
      <c r="E26" s="192"/>
      <c r="F26" s="192"/>
      <c r="G26" s="193"/>
      <c r="H26" s="221"/>
      <c r="I26" s="16" t="s">
        <v>9</v>
      </c>
      <c r="J26" s="52">
        <v>37.5</v>
      </c>
      <c r="K26" s="192"/>
      <c r="L26" s="192"/>
      <c r="M26" s="193"/>
      <c r="N26" s="231"/>
      <c r="O26" s="18" t="s">
        <v>37</v>
      </c>
      <c r="P26" s="36">
        <f>P22*P25/10000+0.00001</f>
        <v>1.0000000000000001E-5</v>
      </c>
      <c r="Q26" s="235"/>
      <c r="R26" s="192"/>
      <c r="S26" s="193"/>
      <c r="T26" s="222" t="s">
        <v>59</v>
      </c>
      <c r="U26" s="223"/>
      <c r="V26" s="224"/>
      <c r="W26" s="225" t="s">
        <v>56</v>
      </c>
      <c r="X26" s="79" t="str">
        <f>F6</f>
        <v>Binder 1</v>
      </c>
      <c r="Y26" s="57">
        <v>0</v>
      </c>
      <c r="Z26" s="10">
        <f>Y26*F10</f>
        <v>0</v>
      </c>
      <c r="AA26" s="114"/>
    </row>
    <row r="27" spans="1:27" ht="15" customHeight="1" x14ac:dyDescent="0.4">
      <c r="A27" s="114"/>
      <c r="B27" s="220"/>
      <c r="C27" s="14" t="s">
        <v>40</v>
      </c>
      <c r="D27" s="53">
        <f>D25*D26/100</f>
        <v>19.440000000000001</v>
      </c>
      <c r="E27" s="192"/>
      <c r="F27" s="192"/>
      <c r="G27" s="193"/>
      <c r="H27" s="221"/>
      <c r="I27" s="16" t="s">
        <v>40</v>
      </c>
      <c r="J27" s="53">
        <f>J25*J26/100</f>
        <v>20.8125</v>
      </c>
      <c r="K27" s="192"/>
      <c r="L27" s="192"/>
      <c r="M27" s="193"/>
      <c r="N27" s="231"/>
      <c r="O27" s="18" t="s">
        <v>10</v>
      </c>
      <c r="P27" s="36">
        <f>Q10+R10</f>
        <v>0</v>
      </c>
      <c r="Q27" s="235"/>
      <c r="R27" s="192"/>
      <c r="S27" s="193"/>
      <c r="T27" s="228" t="s">
        <v>83</v>
      </c>
      <c r="U27" s="46" t="s">
        <v>36</v>
      </c>
      <c r="V27" s="56">
        <v>88</v>
      </c>
      <c r="W27" s="226"/>
      <c r="X27" s="79" t="str">
        <f>K6</f>
        <v>Carbon 2</v>
      </c>
      <c r="Y27" s="57">
        <v>0</v>
      </c>
      <c r="Z27" s="10">
        <f>Y27*K10</f>
        <v>0</v>
      </c>
      <c r="AA27" s="114"/>
    </row>
    <row r="28" spans="1:27" ht="15" customHeight="1" x14ac:dyDescent="0.4">
      <c r="A28" s="114"/>
      <c r="B28" s="220"/>
      <c r="C28" s="14" t="s">
        <v>37</v>
      </c>
      <c r="D28" s="36">
        <f>D24*D27/10000</f>
        <v>2.3328000000000002E-2</v>
      </c>
      <c r="E28" s="192"/>
      <c r="F28" s="192"/>
      <c r="G28" s="193"/>
      <c r="H28" s="221"/>
      <c r="I28" s="16" t="s">
        <v>37</v>
      </c>
      <c r="J28" s="36">
        <f>J24*J27/10000</f>
        <v>1.6650000000000002E-2</v>
      </c>
      <c r="K28" s="192"/>
      <c r="L28" s="192"/>
      <c r="M28" s="193"/>
      <c r="N28" s="231"/>
      <c r="O28" s="18" t="s">
        <v>39</v>
      </c>
      <c r="P28" s="36">
        <f>P27/P26</f>
        <v>0</v>
      </c>
      <c r="Q28" s="235"/>
      <c r="R28" s="192"/>
      <c r="S28" s="193"/>
      <c r="T28" s="229"/>
      <c r="U28" s="47" t="s">
        <v>17</v>
      </c>
      <c r="V28" s="39">
        <f>(D47+D48+D49)*2</f>
        <v>144.987392</v>
      </c>
      <c r="W28" s="226"/>
      <c r="X28" s="79" t="str">
        <f>L6</f>
        <v>Binder 2</v>
      </c>
      <c r="Y28" s="57">
        <v>0</v>
      </c>
      <c r="Z28" s="10">
        <f>Y28*L10</f>
        <v>0</v>
      </c>
      <c r="AA28" s="114"/>
    </row>
    <row r="29" spans="1:27" ht="15" customHeight="1" x14ac:dyDescent="0.4">
      <c r="A29" s="114"/>
      <c r="B29" s="220"/>
      <c r="C29" s="14" t="s">
        <v>10</v>
      </c>
      <c r="D29" s="36">
        <f>D30*D28</f>
        <v>6.2962272E-2</v>
      </c>
      <c r="E29" s="192"/>
      <c r="F29" s="192"/>
      <c r="G29" s="193"/>
      <c r="H29" s="221"/>
      <c r="I29" s="16" t="s">
        <v>10</v>
      </c>
      <c r="J29" s="36">
        <f>J30*J28</f>
        <v>0.14918400000000004</v>
      </c>
      <c r="K29" s="192"/>
      <c r="L29" s="192"/>
      <c r="M29" s="193"/>
      <c r="N29" s="231" t="s">
        <v>15</v>
      </c>
      <c r="O29" s="18" t="s">
        <v>37</v>
      </c>
      <c r="P29" s="36">
        <f>P26-(Q11+R11)</f>
        <v>1.0000000000000001E-5</v>
      </c>
      <c r="Q29" s="235"/>
      <c r="R29" s="192"/>
      <c r="S29" s="193"/>
      <c r="T29" s="229"/>
      <c r="U29" s="47" t="s">
        <v>9</v>
      </c>
      <c r="V29" s="39">
        <f>D47+D50</f>
        <v>43.993696</v>
      </c>
      <c r="W29" s="226"/>
      <c r="X29" s="79" t="str">
        <f>Q7</f>
        <v>Name 1</v>
      </c>
      <c r="Y29" s="57">
        <v>0</v>
      </c>
      <c r="Z29" s="10">
        <f>Y30*Q10</f>
        <v>0</v>
      </c>
      <c r="AA29" s="114"/>
    </row>
    <row r="30" spans="1:27" ht="15" customHeight="1" x14ac:dyDescent="0.4">
      <c r="A30" s="114"/>
      <c r="B30" s="220"/>
      <c r="C30" s="14" t="s">
        <v>39</v>
      </c>
      <c r="D30" s="57">
        <v>2.6989999999999998</v>
      </c>
      <c r="E30" s="192"/>
      <c r="F30" s="192"/>
      <c r="G30" s="193"/>
      <c r="H30" s="221"/>
      <c r="I30" s="16" t="s">
        <v>39</v>
      </c>
      <c r="J30" s="57">
        <v>8.9600000000000009</v>
      </c>
      <c r="K30" s="192"/>
      <c r="L30" s="192"/>
      <c r="M30" s="193"/>
      <c r="N30" s="231"/>
      <c r="O30" s="18" t="s">
        <v>16</v>
      </c>
      <c r="P30" s="60">
        <f>P29/P26*100</f>
        <v>100</v>
      </c>
      <c r="Q30" s="235"/>
      <c r="R30" s="192"/>
      <c r="S30" s="193"/>
      <c r="T30" s="229"/>
      <c r="U30" s="47" t="s">
        <v>40</v>
      </c>
      <c r="V30" s="25">
        <f>V28*V29/100</f>
        <v>63.785312474808315</v>
      </c>
      <c r="W30" s="227"/>
      <c r="X30" s="79" t="str">
        <f>R7</f>
        <v>Name 2</v>
      </c>
      <c r="Y30" s="57">
        <v>0</v>
      </c>
      <c r="Z30" s="10">
        <f>Y31*R10</f>
        <v>0</v>
      </c>
      <c r="AA30" s="114"/>
    </row>
    <row r="31" spans="1:27" ht="15" customHeight="1" x14ac:dyDescent="0.4">
      <c r="A31" s="114"/>
      <c r="B31" s="186" t="s">
        <v>1</v>
      </c>
      <c r="C31" s="14" t="s">
        <v>6</v>
      </c>
      <c r="D31" s="53">
        <f>D12*2+D24</f>
        <v>144</v>
      </c>
      <c r="E31" s="192"/>
      <c r="F31" s="192"/>
      <c r="G31" s="193"/>
      <c r="H31" s="196" t="s">
        <v>1</v>
      </c>
      <c r="I31" s="16" t="s">
        <v>6</v>
      </c>
      <c r="J31" s="53">
        <f>J12*2+J24</f>
        <v>100</v>
      </c>
      <c r="K31" s="192"/>
      <c r="L31" s="192"/>
      <c r="M31" s="193"/>
      <c r="N31" s="231" t="s">
        <v>89</v>
      </c>
      <c r="O31" s="18" t="s">
        <v>6</v>
      </c>
      <c r="P31" s="53">
        <f>P12+P22</f>
        <v>20</v>
      </c>
      <c r="Q31" s="235"/>
      <c r="R31" s="192"/>
      <c r="S31" s="193"/>
      <c r="T31" s="229"/>
      <c r="U31" s="47" t="s">
        <v>37</v>
      </c>
      <c r="V31" s="10">
        <f>V27*V30/10000</f>
        <v>0.56131074977831308</v>
      </c>
      <c r="W31" s="225" t="s">
        <v>100</v>
      </c>
      <c r="X31" s="20" t="s">
        <v>0</v>
      </c>
      <c r="Y31" s="57">
        <v>0</v>
      </c>
      <c r="Z31" s="10">
        <f>Y31*D16/1000</f>
        <v>0</v>
      </c>
      <c r="AA31" s="114"/>
    </row>
    <row r="32" spans="1:27" ht="15" customHeight="1" x14ac:dyDescent="0.4">
      <c r="A32" s="114"/>
      <c r="B32" s="187"/>
      <c r="C32" s="14" t="s">
        <v>37</v>
      </c>
      <c r="D32" s="36">
        <f>D17+D28</f>
        <v>0.27993600000000007</v>
      </c>
      <c r="E32" s="192"/>
      <c r="F32" s="192"/>
      <c r="G32" s="193"/>
      <c r="H32" s="187"/>
      <c r="I32" s="16" t="s">
        <v>37</v>
      </c>
      <c r="J32" s="36">
        <f>J17+J28</f>
        <v>0.208125</v>
      </c>
      <c r="K32" s="192"/>
      <c r="L32" s="192"/>
      <c r="M32" s="193"/>
      <c r="N32" s="231"/>
      <c r="O32" s="18" t="s">
        <v>37</v>
      </c>
      <c r="P32" s="36">
        <f>P17+P26</f>
        <v>9.280999999999999E-2</v>
      </c>
      <c r="Q32" s="235"/>
      <c r="R32" s="192"/>
      <c r="S32" s="193"/>
      <c r="T32" s="229"/>
      <c r="U32" s="47" t="s">
        <v>10</v>
      </c>
      <c r="V32" s="10">
        <f>V30*V33/1000</f>
        <v>0.92807629650846102</v>
      </c>
      <c r="W32" s="188"/>
      <c r="X32" s="20" t="s">
        <v>19</v>
      </c>
      <c r="Y32" s="57">
        <v>0</v>
      </c>
      <c r="Z32" s="10">
        <f>Y32*J16/1000</f>
        <v>0</v>
      </c>
      <c r="AA32" s="114"/>
    </row>
    <row r="33" spans="1:27" ht="15" customHeight="1" thickBot="1" x14ac:dyDescent="0.45">
      <c r="A33" s="114"/>
      <c r="B33" s="232"/>
      <c r="C33" s="15" t="s">
        <v>10</v>
      </c>
      <c r="D33" s="12">
        <f>D18+D29</f>
        <v>0.83697087209555665</v>
      </c>
      <c r="E33" s="194"/>
      <c r="F33" s="194"/>
      <c r="G33" s="195"/>
      <c r="H33" s="232"/>
      <c r="I33" s="17" t="s">
        <v>10</v>
      </c>
      <c r="J33" s="12">
        <f>J18+J29</f>
        <v>0.24990938860103631</v>
      </c>
      <c r="K33" s="194"/>
      <c r="L33" s="194"/>
      <c r="M33" s="195"/>
      <c r="N33" s="233"/>
      <c r="O33" s="19" t="s">
        <v>10</v>
      </c>
      <c r="P33" s="12">
        <f>P18+P27</f>
        <v>5.0715199999999995E-2</v>
      </c>
      <c r="Q33" s="236"/>
      <c r="R33" s="194"/>
      <c r="S33" s="195"/>
      <c r="T33" s="230"/>
      <c r="U33" s="48" t="s">
        <v>43</v>
      </c>
      <c r="V33" s="83">
        <v>14.55</v>
      </c>
      <c r="W33" s="23" t="s">
        <v>46</v>
      </c>
      <c r="X33" s="21" t="s">
        <v>29</v>
      </c>
      <c r="Y33" s="113">
        <f>Z33/Z16</f>
        <v>0.23111053683266611</v>
      </c>
      <c r="Z33" s="38">
        <f>Z18-SUM(Z22:Z32)</f>
        <v>0.25422159051593274</v>
      </c>
      <c r="AA33" s="114"/>
    </row>
    <row r="34" spans="1:27" ht="15" customHeight="1" thickBot="1" x14ac:dyDescent="0.45">
      <c r="A34" s="114"/>
      <c r="B34" s="114"/>
      <c r="C34" s="114"/>
      <c r="D34" s="115"/>
      <c r="E34" s="115"/>
      <c r="F34" s="115"/>
      <c r="G34" s="115"/>
      <c r="H34" s="114"/>
      <c r="I34" s="114"/>
      <c r="J34" s="115"/>
      <c r="K34" s="115"/>
      <c r="L34" s="115"/>
      <c r="M34" s="115"/>
      <c r="N34" s="127"/>
      <c r="O34" s="127"/>
      <c r="P34" s="128"/>
      <c r="Q34" s="115"/>
      <c r="R34" s="115"/>
      <c r="S34" s="115"/>
      <c r="T34" s="129"/>
      <c r="U34" s="129"/>
      <c r="V34" s="129"/>
      <c r="W34" s="130"/>
      <c r="X34" s="130"/>
      <c r="Y34" s="130"/>
      <c r="Z34" s="130"/>
      <c r="AA34" s="114"/>
    </row>
    <row r="35" spans="1:27" ht="15" customHeight="1" thickBot="1" x14ac:dyDescent="0.45">
      <c r="A35" s="114"/>
      <c r="B35" s="247" t="s">
        <v>31</v>
      </c>
      <c r="C35" s="248"/>
      <c r="D35" s="248"/>
      <c r="E35" s="248"/>
      <c r="F35" s="248"/>
      <c r="G35" s="249"/>
      <c r="H35" s="129"/>
      <c r="I35" s="88" t="s">
        <v>3</v>
      </c>
      <c r="J35" s="89" t="s">
        <v>30</v>
      </c>
      <c r="K35" s="90" t="s">
        <v>72</v>
      </c>
      <c r="L35" s="91" t="s">
        <v>71</v>
      </c>
      <c r="M35" s="90" t="s">
        <v>73</v>
      </c>
      <c r="N35" s="114"/>
      <c r="O35" s="114"/>
      <c r="P35" s="115"/>
      <c r="Q35" s="115"/>
      <c r="R35" s="115"/>
      <c r="S35" s="115"/>
      <c r="T35" s="129"/>
      <c r="U35" s="129"/>
      <c r="V35" s="129"/>
      <c r="W35" s="114"/>
      <c r="X35" s="114"/>
      <c r="Y35" s="114"/>
      <c r="Z35" s="114"/>
      <c r="AA35" s="114"/>
    </row>
    <row r="36" spans="1:27" ht="15" customHeight="1" x14ac:dyDescent="0.4">
      <c r="A36" s="114"/>
      <c r="B36" s="250" t="s">
        <v>33</v>
      </c>
      <c r="C36" s="31" t="s">
        <v>36</v>
      </c>
      <c r="D36" s="45">
        <f>D31+J31+P31*2</f>
        <v>284</v>
      </c>
      <c r="E36" s="253"/>
      <c r="F36" s="254"/>
      <c r="G36" s="255"/>
      <c r="H36" s="131"/>
      <c r="I36" s="92" t="str">
        <f>D6</f>
        <v>NCM811</v>
      </c>
      <c r="J36" s="93">
        <f>D10*$D$44</f>
        <v>5.2013377926421409</v>
      </c>
      <c r="K36" s="94">
        <f t="shared" ref="K36:K50" si="3">J36/$J$51*100</f>
        <v>43.973529298394752</v>
      </c>
      <c r="L36" s="95">
        <f>D11*$D$44</f>
        <v>1.1066676154557746</v>
      </c>
      <c r="M36" s="94">
        <f t="shared" ref="M36:M50" si="4">L36/$L$51*100</f>
        <v>17.577855829863729</v>
      </c>
      <c r="N36" s="132"/>
      <c r="O36" s="114"/>
      <c r="P36" s="115"/>
      <c r="Q36" s="115"/>
      <c r="R36" s="115"/>
      <c r="S36" s="115"/>
      <c r="T36" s="129"/>
      <c r="U36" s="129"/>
      <c r="V36" s="129"/>
      <c r="W36" s="114"/>
      <c r="X36" s="114"/>
      <c r="Y36" s="114"/>
      <c r="Z36" s="114"/>
      <c r="AA36" s="114"/>
    </row>
    <row r="37" spans="1:27" ht="15" customHeight="1" x14ac:dyDescent="0.4">
      <c r="A37" s="114"/>
      <c r="B37" s="251"/>
      <c r="C37" s="32" t="s">
        <v>17</v>
      </c>
      <c r="D37" s="39">
        <f>P13</f>
        <v>58</v>
      </c>
      <c r="E37" s="256"/>
      <c r="F37" s="257"/>
      <c r="G37" s="258"/>
      <c r="H37" s="129"/>
      <c r="I37" s="96" t="str">
        <f>E6</f>
        <v>Carbon 1</v>
      </c>
      <c r="J37" s="97">
        <f>E10*$D$44</f>
        <v>0.10836120401337793</v>
      </c>
      <c r="K37" s="39">
        <f t="shared" si="3"/>
        <v>0.91611519371655714</v>
      </c>
      <c r="L37" s="98">
        <f>E11*$D$44</f>
        <v>6.0200668896321058E-2</v>
      </c>
      <c r="M37" s="39">
        <f t="shared" si="4"/>
        <v>0.95620280555971637</v>
      </c>
      <c r="N37" s="132"/>
      <c r="O37" s="114"/>
      <c r="P37" s="115"/>
      <c r="Q37" s="115"/>
      <c r="R37" s="115"/>
      <c r="S37" s="115"/>
      <c r="T37" s="129"/>
      <c r="U37" s="129"/>
      <c r="V37" s="129"/>
      <c r="W37" s="114"/>
      <c r="X37" s="114"/>
      <c r="Y37" s="114"/>
      <c r="Z37" s="114"/>
      <c r="AA37" s="114"/>
    </row>
    <row r="38" spans="1:27" ht="15" customHeight="1" x14ac:dyDescent="0.4">
      <c r="A38" s="114"/>
      <c r="B38" s="251"/>
      <c r="C38" s="32" t="s">
        <v>9</v>
      </c>
      <c r="D38" s="39">
        <f>P15</f>
        <v>40</v>
      </c>
      <c r="E38" s="256"/>
      <c r="F38" s="257"/>
      <c r="G38" s="258"/>
      <c r="H38" s="129"/>
      <c r="I38" s="96" t="str">
        <f>F6</f>
        <v>Binder 1</v>
      </c>
      <c r="J38" s="97">
        <f>F10*$D$44</f>
        <v>0.10836120401337793</v>
      </c>
      <c r="K38" s="39">
        <f t="shared" si="3"/>
        <v>0.91611519371655714</v>
      </c>
      <c r="L38" s="98">
        <f>F11*$D$44</f>
        <v>6.0877080906392093E-2</v>
      </c>
      <c r="M38" s="39">
        <f t="shared" si="4"/>
        <v>0.96694665730757867</v>
      </c>
      <c r="N38" s="132"/>
      <c r="O38" s="114"/>
      <c r="P38" s="115"/>
      <c r="Q38" s="115"/>
      <c r="R38" s="115"/>
      <c r="S38" s="115"/>
      <c r="T38" s="129"/>
      <c r="U38" s="129"/>
      <c r="V38" s="129"/>
      <c r="W38" s="114"/>
      <c r="X38" s="114"/>
      <c r="Y38" s="114"/>
      <c r="Z38" s="114"/>
      <c r="AA38" s="114"/>
    </row>
    <row r="39" spans="1:27" ht="15" customHeight="1" x14ac:dyDescent="0.4">
      <c r="A39" s="114"/>
      <c r="B39" s="251"/>
      <c r="C39" s="32" t="s">
        <v>40</v>
      </c>
      <c r="D39" s="25">
        <f>D37*D38/100</f>
        <v>23.2</v>
      </c>
      <c r="E39" s="256"/>
      <c r="F39" s="257"/>
      <c r="G39" s="258"/>
      <c r="H39" s="129"/>
      <c r="I39" s="99" t="str">
        <f>B24</f>
        <v>Substrate (Al)</v>
      </c>
      <c r="J39" s="97">
        <f>D29*($D$44+1)</f>
        <v>0.503698176</v>
      </c>
      <c r="K39" s="39">
        <f t="shared" si="3"/>
        <v>4.2584018540800637</v>
      </c>
      <c r="L39" s="98">
        <f>D28*($D$44+1)</f>
        <v>0.18662400000000001</v>
      </c>
      <c r="M39" s="39">
        <f t="shared" si="4"/>
        <v>2.9642592957248999</v>
      </c>
      <c r="N39" s="132"/>
      <c r="O39" s="114"/>
      <c r="P39" s="115"/>
      <c r="Q39" s="115"/>
      <c r="R39" s="115"/>
      <c r="S39" s="115"/>
      <c r="T39" s="129"/>
      <c r="U39" s="129"/>
      <c r="V39" s="129"/>
      <c r="W39" s="114"/>
      <c r="X39" s="114"/>
      <c r="Y39" s="114"/>
      <c r="Z39" s="114"/>
      <c r="AA39" s="114"/>
    </row>
    <row r="40" spans="1:27" ht="15" customHeight="1" x14ac:dyDescent="0.4">
      <c r="A40" s="114"/>
      <c r="B40" s="251"/>
      <c r="C40" s="32" t="s">
        <v>37</v>
      </c>
      <c r="D40" s="39">
        <f>D32+J32+P32+V10+V13+Z19</f>
        <v>0.93528554545454556</v>
      </c>
      <c r="E40" s="256"/>
      <c r="F40" s="257"/>
      <c r="G40" s="258"/>
      <c r="H40" s="131"/>
      <c r="I40" s="96" t="str">
        <f>J6</f>
        <v>Li</v>
      </c>
      <c r="J40" s="97">
        <f>J10*$D$44</f>
        <v>0.7050777202072539</v>
      </c>
      <c r="K40" s="39">
        <f t="shared" si="3"/>
        <v>5.9609194832603762</v>
      </c>
      <c r="L40" s="98">
        <f>J11*$D$44</f>
        <v>1.3203702625604006</v>
      </c>
      <c r="M40" s="39">
        <f t="shared" si="4"/>
        <v>20.972221282329144</v>
      </c>
      <c r="N40" s="132"/>
      <c r="O40" s="114"/>
      <c r="P40" s="115"/>
      <c r="Q40" s="115"/>
      <c r="R40" s="115"/>
      <c r="S40" s="115"/>
      <c r="T40" s="129"/>
      <c r="U40" s="129"/>
      <c r="V40" s="129"/>
      <c r="W40" s="114"/>
      <c r="X40" s="114"/>
      <c r="Y40" s="114"/>
      <c r="Z40" s="114"/>
      <c r="AA40" s="114"/>
    </row>
    <row r="41" spans="1:27" ht="15" customHeight="1" x14ac:dyDescent="0.4">
      <c r="A41" s="114"/>
      <c r="B41" s="251"/>
      <c r="C41" s="32" t="s">
        <v>10</v>
      </c>
      <c r="D41" s="39">
        <f>D33+J33+P33+V11+V14+Z18</f>
        <v>1.531390724696593</v>
      </c>
      <c r="E41" s="256"/>
      <c r="F41" s="257"/>
      <c r="G41" s="258"/>
      <c r="H41" s="129"/>
      <c r="I41" s="96" t="str">
        <f>K6</f>
        <v>Carbon 2</v>
      </c>
      <c r="J41" s="97">
        <f>K10*$D$44</f>
        <v>0</v>
      </c>
      <c r="K41" s="39">
        <f t="shared" si="3"/>
        <v>0</v>
      </c>
      <c r="L41" s="98">
        <f>K11*$D$44</f>
        <v>0</v>
      </c>
      <c r="M41" s="39">
        <f t="shared" si="4"/>
        <v>0</v>
      </c>
      <c r="N41" s="132"/>
      <c r="O41" s="114"/>
      <c r="P41" s="115"/>
      <c r="Q41" s="115"/>
      <c r="R41" s="115"/>
      <c r="S41" s="115"/>
      <c r="T41" s="129"/>
      <c r="U41" s="129"/>
      <c r="V41" s="129"/>
      <c r="W41" s="114"/>
      <c r="X41" s="114"/>
      <c r="Y41" s="114"/>
      <c r="Z41" s="114"/>
      <c r="AA41" s="114"/>
    </row>
    <row r="42" spans="1:27" ht="15" customHeight="1" x14ac:dyDescent="0.4">
      <c r="A42" s="114"/>
      <c r="B42" s="251"/>
      <c r="C42" s="32" t="s">
        <v>50</v>
      </c>
      <c r="D42" s="109">
        <f>E3</f>
        <v>2.5</v>
      </c>
      <c r="E42" s="256"/>
      <c r="F42" s="257"/>
      <c r="G42" s="258"/>
      <c r="H42" s="129"/>
      <c r="I42" s="96" t="str">
        <f>L6</f>
        <v>Binder 2</v>
      </c>
      <c r="J42" s="97">
        <f>L10*$D$44</f>
        <v>0</v>
      </c>
      <c r="K42" s="39">
        <f t="shared" si="3"/>
        <v>0</v>
      </c>
      <c r="L42" s="98">
        <f>L11*$D$44</f>
        <v>0</v>
      </c>
      <c r="M42" s="39">
        <f t="shared" si="4"/>
        <v>0</v>
      </c>
      <c r="N42" s="132"/>
      <c r="O42" s="114"/>
      <c r="P42" s="115"/>
      <c r="Q42" s="115"/>
      <c r="R42" s="115"/>
      <c r="S42" s="115"/>
      <c r="T42" s="129"/>
      <c r="U42" s="129"/>
      <c r="V42" s="129"/>
      <c r="W42" s="114"/>
      <c r="X42" s="114"/>
      <c r="Y42" s="114"/>
      <c r="Z42" s="114"/>
      <c r="AA42" s="114"/>
    </row>
    <row r="43" spans="1:27" ht="15" customHeight="1" thickBot="1" x14ac:dyDescent="0.45">
      <c r="A43" s="114"/>
      <c r="B43" s="252"/>
      <c r="C43" s="33" t="s">
        <v>13</v>
      </c>
      <c r="D43" s="84">
        <f>D16*D21</f>
        <v>155.52000000000001</v>
      </c>
      <c r="E43" s="256"/>
      <c r="F43" s="257"/>
      <c r="G43" s="258"/>
      <c r="H43" s="129"/>
      <c r="I43" s="99" t="str">
        <f>H24</f>
        <v>Substrate  (Cu)</v>
      </c>
      <c r="J43" s="97">
        <f>J29*$D$44</f>
        <v>1.0442880000000003</v>
      </c>
      <c r="K43" s="39">
        <f t="shared" si="3"/>
        <v>8.8286957691773775</v>
      </c>
      <c r="L43" s="98">
        <f>J28*$D$44</f>
        <v>0.11655000000000001</v>
      </c>
      <c r="M43" s="39">
        <f t="shared" si="4"/>
        <v>1.8512325366337505</v>
      </c>
      <c r="N43" s="132"/>
      <c r="O43" s="114"/>
      <c r="P43" s="115"/>
      <c r="Q43" s="115"/>
      <c r="R43" s="115"/>
      <c r="S43" s="115"/>
      <c r="T43" s="129"/>
      <c r="U43" s="129"/>
      <c r="V43" s="129"/>
      <c r="W43" s="114"/>
      <c r="X43" s="114"/>
      <c r="Y43" s="114"/>
      <c r="Z43" s="114"/>
      <c r="AA43" s="114"/>
    </row>
    <row r="44" spans="1:27" ht="15" customHeight="1" x14ac:dyDescent="0.4">
      <c r="A44" s="114"/>
      <c r="B44" s="250" t="s">
        <v>32</v>
      </c>
      <c r="C44" s="34" t="s">
        <v>85</v>
      </c>
      <c r="D44" s="111">
        <f>G3</f>
        <v>7</v>
      </c>
      <c r="E44" s="253"/>
      <c r="F44" s="260"/>
      <c r="G44" s="261"/>
      <c r="H44" s="131"/>
      <c r="I44" s="96" t="str">
        <f>P7</f>
        <v>PE</v>
      </c>
      <c r="J44" s="97">
        <f>P10*$D$44</f>
        <v>0.35500639999999994</v>
      </c>
      <c r="K44" s="39">
        <f t="shared" si="3"/>
        <v>3.0013209973789707</v>
      </c>
      <c r="L44" s="98">
        <f>P11*$D$44</f>
        <v>0.38172731182795694</v>
      </c>
      <c r="M44" s="39">
        <f t="shared" si="4"/>
        <v>6.0632005128927613</v>
      </c>
      <c r="N44" s="132"/>
      <c r="O44" s="114"/>
      <c r="P44" s="115"/>
      <c r="Q44" s="115"/>
      <c r="R44" s="115"/>
      <c r="S44" s="115"/>
      <c r="T44" s="114"/>
      <c r="U44" s="114"/>
      <c r="V44" s="114"/>
      <c r="W44" s="114"/>
      <c r="X44" s="114"/>
      <c r="Y44" s="114"/>
      <c r="Z44" s="114"/>
      <c r="AA44" s="114"/>
    </row>
    <row r="45" spans="1:27" ht="15" customHeight="1" x14ac:dyDescent="0.4">
      <c r="A45" s="114"/>
      <c r="B45" s="226"/>
      <c r="C45" s="32" t="s">
        <v>6</v>
      </c>
      <c r="D45" s="10">
        <f>(D36*D44+D24+V27*2)/1000</f>
        <v>2.1760000000000002</v>
      </c>
      <c r="E45" s="262"/>
      <c r="F45" s="263"/>
      <c r="G45" s="264"/>
      <c r="H45" s="129"/>
      <c r="I45" s="96" t="str">
        <f>Q7</f>
        <v>Name 1</v>
      </c>
      <c r="J45" s="97">
        <f>Q10*$D$44</f>
        <v>0</v>
      </c>
      <c r="K45" s="39">
        <f t="shared" si="3"/>
        <v>0</v>
      </c>
      <c r="L45" s="98">
        <f>Q11*$D$44</f>
        <v>0</v>
      </c>
      <c r="M45" s="39">
        <f t="shared" si="4"/>
        <v>0</v>
      </c>
      <c r="N45" s="132"/>
      <c r="O45" s="114"/>
      <c r="P45" s="115"/>
      <c r="Q45" s="115"/>
      <c r="R45" s="115"/>
      <c r="S45" s="115"/>
      <c r="T45" s="114"/>
      <c r="U45" s="114"/>
      <c r="V45" s="114"/>
      <c r="W45" s="114"/>
      <c r="X45" s="114"/>
      <c r="Y45" s="114"/>
      <c r="Z45" s="114"/>
      <c r="AA45" s="114"/>
    </row>
    <row r="46" spans="1:27" ht="15" customHeight="1" x14ac:dyDescent="0.4">
      <c r="A46" s="114"/>
      <c r="B46" s="226"/>
      <c r="C46" s="32" t="s">
        <v>68</v>
      </c>
      <c r="D46" s="39">
        <f>J3</f>
        <v>14.6</v>
      </c>
      <c r="E46" s="262"/>
      <c r="F46" s="263"/>
      <c r="G46" s="264"/>
      <c r="H46" s="129"/>
      <c r="I46" s="96" t="str">
        <f>R7</f>
        <v>Name 2</v>
      </c>
      <c r="J46" s="97">
        <f>R10*$D$44</f>
        <v>0</v>
      </c>
      <c r="K46" s="39">
        <f t="shared" si="3"/>
        <v>0</v>
      </c>
      <c r="L46" s="98">
        <f>R11*$D$44</f>
        <v>0</v>
      </c>
      <c r="M46" s="39">
        <f t="shared" si="4"/>
        <v>0</v>
      </c>
      <c r="N46" s="132"/>
      <c r="O46" s="114"/>
      <c r="P46" s="115"/>
      <c r="Q46" s="115"/>
      <c r="R46" s="115"/>
      <c r="S46" s="115"/>
      <c r="T46" s="114"/>
      <c r="U46" s="114"/>
      <c r="V46" s="114"/>
      <c r="W46" s="114"/>
      <c r="X46" s="114"/>
      <c r="Y46" s="114"/>
      <c r="Z46" s="114"/>
      <c r="AA46" s="114"/>
    </row>
    <row r="47" spans="1:27" ht="15" customHeight="1" x14ac:dyDescent="0.4">
      <c r="A47" s="114"/>
      <c r="B47" s="226"/>
      <c r="C47" s="32" t="s">
        <v>67</v>
      </c>
      <c r="D47" s="10">
        <f>D45*(1+D46/100)</f>
        <v>2.4936959999999999</v>
      </c>
      <c r="E47" s="262"/>
      <c r="F47" s="263"/>
      <c r="G47" s="264"/>
      <c r="H47" s="129"/>
      <c r="I47" s="96" t="s">
        <v>28</v>
      </c>
      <c r="J47" s="97">
        <f>Z18*$D$44</f>
        <v>2.7216000000000005</v>
      </c>
      <c r="K47" s="39">
        <f t="shared" si="3"/>
        <v>23.009149205385054</v>
      </c>
      <c r="L47" s="98">
        <f>Z19*$D$44</f>
        <v>2.474181818181818</v>
      </c>
      <c r="M47" s="39">
        <f t="shared" si="4"/>
        <v>39.298892178171016</v>
      </c>
      <c r="N47" s="132"/>
      <c r="O47" s="114"/>
      <c r="P47" s="115"/>
      <c r="Q47" s="115"/>
      <c r="R47" s="115"/>
      <c r="S47" s="115"/>
      <c r="T47" s="114"/>
      <c r="U47" s="114"/>
      <c r="V47" s="114"/>
      <c r="W47" s="114"/>
      <c r="X47" s="114"/>
      <c r="Y47" s="114"/>
      <c r="Z47" s="114"/>
      <c r="AA47" s="114"/>
    </row>
    <row r="48" spans="1:27" ht="15" customHeight="1" x14ac:dyDescent="0.4">
      <c r="A48" s="114"/>
      <c r="B48" s="226"/>
      <c r="C48" s="32" t="s">
        <v>96</v>
      </c>
      <c r="D48" s="40">
        <v>60</v>
      </c>
      <c r="E48" s="262"/>
      <c r="F48" s="263"/>
      <c r="G48" s="264"/>
      <c r="H48" s="129"/>
      <c r="I48" s="96" t="s">
        <v>70</v>
      </c>
      <c r="J48" s="97">
        <f>(V11+V14)*$D$44+V11</f>
        <v>3.6521471999999999E-2</v>
      </c>
      <c r="K48" s="39">
        <f t="shared" si="3"/>
        <v>0.30876249208123618</v>
      </c>
      <c r="L48" s="98">
        <f>(V10+V13)*$D$44+V10</f>
        <v>7.2960000000000004E-3</v>
      </c>
      <c r="M48" s="39">
        <f t="shared" si="4"/>
        <v>0.11588668028554133</v>
      </c>
      <c r="N48" s="132"/>
      <c r="O48" s="114"/>
      <c r="P48" s="115"/>
      <c r="Q48" s="115"/>
      <c r="R48" s="115"/>
      <c r="S48" s="115"/>
      <c r="T48" s="114"/>
      <c r="U48" s="114"/>
      <c r="V48" s="114"/>
      <c r="W48" s="114"/>
      <c r="X48" s="114"/>
      <c r="Y48" s="114"/>
      <c r="Z48" s="114"/>
      <c r="AA48" s="114"/>
    </row>
    <row r="49" spans="1:27" ht="15" customHeight="1" x14ac:dyDescent="0.4">
      <c r="A49" s="114"/>
      <c r="B49" s="226"/>
      <c r="C49" s="32" t="s">
        <v>97</v>
      </c>
      <c r="D49" s="40">
        <v>10</v>
      </c>
      <c r="E49" s="262"/>
      <c r="F49" s="263"/>
      <c r="G49" s="264"/>
      <c r="H49" s="129"/>
      <c r="I49" s="96" t="s">
        <v>79</v>
      </c>
      <c r="J49" s="97">
        <f>V20+V24</f>
        <v>0.11600999999999999</v>
      </c>
      <c r="K49" s="39">
        <f t="shared" si="3"/>
        <v>0.98078020257081122</v>
      </c>
      <c r="L49" s="98">
        <f>V19+V23</f>
        <v>0.02</v>
      </c>
      <c r="M49" s="39">
        <f t="shared" si="4"/>
        <v>0.31767182095817253</v>
      </c>
      <c r="N49" s="132"/>
      <c r="O49" s="114"/>
      <c r="P49" s="115"/>
      <c r="Q49" s="115"/>
      <c r="R49" s="115"/>
      <c r="S49" s="115"/>
      <c r="T49" s="114"/>
      <c r="U49" s="114"/>
      <c r="V49" s="114"/>
      <c r="W49" s="114"/>
      <c r="X49" s="114"/>
      <c r="Y49" s="114"/>
      <c r="Z49" s="114"/>
      <c r="AA49" s="114"/>
    </row>
    <row r="50" spans="1:27" ht="15" customHeight="1" thickBot="1" x14ac:dyDescent="0.45">
      <c r="A50" s="114"/>
      <c r="B50" s="226"/>
      <c r="C50" s="32" t="s">
        <v>9</v>
      </c>
      <c r="D50" s="40">
        <v>41.5</v>
      </c>
      <c r="E50" s="262"/>
      <c r="F50" s="263"/>
      <c r="G50" s="264"/>
      <c r="H50" s="129"/>
      <c r="I50" s="100" t="s">
        <v>59</v>
      </c>
      <c r="J50" s="101">
        <f>V32</f>
        <v>0.92807629650846102</v>
      </c>
      <c r="K50" s="84">
        <f t="shared" si="3"/>
        <v>7.8462103102382263</v>
      </c>
      <c r="L50" s="102">
        <f>V31</f>
        <v>0.56131074977831308</v>
      </c>
      <c r="M50" s="84">
        <f t="shared" si="4"/>
        <v>8.9156304002736935</v>
      </c>
      <c r="N50" s="132"/>
      <c r="O50" s="114"/>
      <c r="P50" s="115"/>
      <c r="Q50" s="115"/>
      <c r="R50" s="115"/>
      <c r="S50" s="115"/>
      <c r="T50" s="114"/>
      <c r="U50" s="114"/>
      <c r="V50" s="114"/>
      <c r="W50" s="114"/>
      <c r="X50" s="114"/>
      <c r="Y50" s="114"/>
      <c r="Z50" s="114"/>
      <c r="AA50" s="114"/>
    </row>
    <row r="51" spans="1:27" ht="15" customHeight="1" thickBot="1" x14ac:dyDescent="0.45">
      <c r="A51" s="114"/>
      <c r="B51" s="226"/>
      <c r="C51" s="32" t="s">
        <v>40</v>
      </c>
      <c r="D51" s="25">
        <f>D48*D50/100</f>
        <v>24.9</v>
      </c>
      <c r="E51" s="262"/>
      <c r="F51" s="263"/>
      <c r="G51" s="264"/>
      <c r="H51" s="129"/>
      <c r="I51" s="103" t="s">
        <v>12</v>
      </c>
      <c r="J51" s="104">
        <f>SUM(J36:J50)</f>
        <v>11.828338265384614</v>
      </c>
      <c r="K51" s="105">
        <f>SUM(K36:K50)</f>
        <v>99.999999999999986</v>
      </c>
      <c r="L51" s="106">
        <f>SUM(L36:L50)</f>
        <v>6.2958055076069765</v>
      </c>
      <c r="M51" s="105">
        <f>SUM(M36:M50)</f>
        <v>100</v>
      </c>
      <c r="N51" s="114"/>
      <c r="O51" s="114"/>
      <c r="P51" s="115"/>
      <c r="Q51" s="115"/>
      <c r="R51" s="115"/>
      <c r="S51" s="115"/>
      <c r="T51" s="114"/>
      <c r="U51" s="114"/>
      <c r="V51" s="114"/>
      <c r="W51" s="114"/>
      <c r="X51" s="114"/>
      <c r="Y51" s="114"/>
      <c r="Z51" s="114"/>
      <c r="AA51" s="114"/>
    </row>
    <row r="52" spans="1:27" ht="15" customHeight="1" x14ac:dyDescent="0.4">
      <c r="A52" s="114"/>
      <c r="B52" s="226"/>
      <c r="C52" s="32" t="s">
        <v>37</v>
      </c>
      <c r="D52" s="10">
        <f>(D47*D51/10)+(D49/10*D50/10*V27*2/10000)+(V15/10*V16/10*(V18+V22)/10000)</f>
        <v>6.3023430399999993</v>
      </c>
      <c r="E52" s="262"/>
      <c r="F52" s="263"/>
      <c r="G52" s="264"/>
      <c r="H52" s="129"/>
      <c r="I52" s="41"/>
      <c r="J52" s="41"/>
      <c r="N52" s="114"/>
      <c r="O52" s="114"/>
      <c r="P52" s="115"/>
      <c r="Q52" s="115"/>
      <c r="R52" s="115"/>
      <c r="S52" s="115"/>
      <c r="T52" s="114"/>
      <c r="U52" s="114"/>
      <c r="V52" s="114"/>
      <c r="W52" s="114"/>
      <c r="X52" s="114"/>
      <c r="Y52" s="114"/>
      <c r="Z52" s="114"/>
      <c r="AA52" s="114"/>
    </row>
    <row r="53" spans="1:27" ht="15" customHeight="1" x14ac:dyDescent="0.4">
      <c r="A53" s="114"/>
      <c r="B53" s="226"/>
      <c r="C53" s="32" t="s">
        <v>69</v>
      </c>
      <c r="D53" s="112">
        <f>D52-L51</f>
        <v>6.5375323930227935E-3</v>
      </c>
      <c r="E53" s="262"/>
      <c r="F53" s="263"/>
      <c r="G53" s="264"/>
      <c r="H53" s="129"/>
      <c r="I53" s="129"/>
      <c r="J53" s="133"/>
      <c r="K53" s="115"/>
      <c r="L53" s="115"/>
      <c r="M53" s="115"/>
      <c r="N53" s="114"/>
      <c r="O53" s="114"/>
      <c r="P53" s="115"/>
      <c r="Q53" s="115"/>
      <c r="R53" s="115"/>
      <c r="S53" s="115"/>
      <c r="T53" s="114"/>
      <c r="U53" s="114"/>
      <c r="V53" s="114"/>
      <c r="W53" s="114"/>
      <c r="X53" s="114"/>
      <c r="Y53" s="114"/>
      <c r="Z53" s="114"/>
      <c r="AA53" s="114"/>
    </row>
    <row r="54" spans="1:27" ht="15" customHeight="1" x14ac:dyDescent="0.4">
      <c r="A54" s="114"/>
      <c r="B54" s="226"/>
      <c r="C54" s="32" t="s">
        <v>10</v>
      </c>
      <c r="D54" s="10">
        <f>D41*D44+(D29+V11)+V20+V24+V32</f>
        <v>11.828338265384613</v>
      </c>
      <c r="E54" s="262"/>
      <c r="F54" s="263"/>
      <c r="G54" s="264"/>
      <c r="H54" s="129"/>
      <c r="I54" s="129"/>
      <c r="J54" s="133"/>
      <c r="K54" s="115"/>
      <c r="L54" s="115"/>
      <c r="M54" s="115"/>
      <c r="N54" s="114"/>
      <c r="O54" s="114"/>
      <c r="P54" s="115"/>
      <c r="Q54" s="115"/>
      <c r="R54" s="115"/>
      <c r="S54" s="115"/>
      <c r="T54" s="114"/>
      <c r="U54" s="114"/>
      <c r="V54" s="114"/>
      <c r="W54" s="114"/>
      <c r="X54" s="114"/>
      <c r="Y54" s="114"/>
      <c r="Z54" s="114"/>
      <c r="AA54" s="114"/>
    </row>
    <row r="55" spans="1:27" ht="15" customHeight="1" thickBot="1" x14ac:dyDescent="0.45">
      <c r="A55" s="114"/>
      <c r="B55" s="259"/>
      <c r="C55" s="35" t="s">
        <v>48</v>
      </c>
      <c r="D55" s="38">
        <f>D54/D52</f>
        <v>1.8768160016539839</v>
      </c>
      <c r="E55" s="262"/>
      <c r="F55" s="263"/>
      <c r="G55" s="264"/>
      <c r="H55" s="129"/>
      <c r="I55" s="129"/>
      <c r="J55" s="133"/>
      <c r="K55" s="115"/>
      <c r="L55" s="115"/>
      <c r="M55" s="115"/>
      <c r="N55" s="114"/>
      <c r="O55" s="114"/>
      <c r="P55" s="115"/>
      <c r="Q55" s="115"/>
      <c r="R55" s="115"/>
      <c r="S55" s="115"/>
      <c r="T55" s="114"/>
      <c r="U55" s="114"/>
      <c r="V55" s="116"/>
      <c r="W55" s="114"/>
      <c r="X55" s="114"/>
      <c r="Y55" s="114"/>
      <c r="Z55" s="114"/>
      <c r="AA55" s="114"/>
    </row>
    <row r="56" spans="1:27" ht="15" customHeight="1" x14ac:dyDescent="0.4">
      <c r="A56" s="114"/>
      <c r="B56" s="250" t="s">
        <v>66</v>
      </c>
      <c r="C56" s="31" t="s">
        <v>74</v>
      </c>
      <c r="D56" s="50">
        <f>D43*D44/1000</f>
        <v>1.0886400000000001</v>
      </c>
      <c r="E56" s="262"/>
      <c r="F56" s="263"/>
      <c r="G56" s="264"/>
      <c r="H56" s="129"/>
      <c r="I56" s="129"/>
      <c r="J56" s="133"/>
      <c r="K56" s="115"/>
      <c r="L56" s="115"/>
      <c r="M56" s="115"/>
      <c r="N56" s="114"/>
      <c r="O56" s="114"/>
      <c r="P56" s="115"/>
      <c r="Q56" s="115"/>
      <c r="R56" s="115"/>
      <c r="S56" s="115"/>
      <c r="T56" s="114"/>
      <c r="U56" s="114"/>
      <c r="V56" s="116"/>
      <c r="W56" s="114"/>
      <c r="X56" s="114"/>
      <c r="Y56" s="114"/>
      <c r="Z56" s="114"/>
      <c r="AA56" s="114"/>
    </row>
    <row r="57" spans="1:27" ht="15" customHeight="1" x14ac:dyDescent="0.4">
      <c r="A57" s="114"/>
      <c r="B57" s="226"/>
      <c r="C57" s="32" t="s">
        <v>34</v>
      </c>
      <c r="D57" s="110">
        <f>H3</f>
        <v>3.8</v>
      </c>
      <c r="E57" s="262"/>
      <c r="F57" s="263"/>
      <c r="G57" s="264"/>
      <c r="H57" s="129"/>
      <c r="I57" s="129"/>
      <c r="J57" s="133"/>
      <c r="K57" s="115"/>
      <c r="L57" s="115"/>
      <c r="M57" s="115"/>
      <c r="N57" s="114"/>
      <c r="O57" s="114"/>
      <c r="P57" s="115"/>
      <c r="Q57" s="115"/>
      <c r="R57" s="115"/>
      <c r="S57" s="115"/>
      <c r="T57" s="114"/>
      <c r="U57" s="114"/>
      <c r="V57" s="116"/>
      <c r="W57" s="114"/>
      <c r="X57" s="114"/>
      <c r="Y57" s="114"/>
      <c r="Z57" s="114"/>
      <c r="AA57" s="114"/>
    </row>
    <row r="58" spans="1:27" ht="15" customHeight="1" x14ac:dyDescent="0.4">
      <c r="A58" s="114"/>
      <c r="B58" s="226"/>
      <c r="C58" s="32" t="s">
        <v>35</v>
      </c>
      <c r="D58" s="8">
        <f>D56*D57</f>
        <v>4.1368320000000001</v>
      </c>
      <c r="E58" s="262"/>
      <c r="F58" s="263"/>
      <c r="G58" s="264"/>
      <c r="H58" s="114"/>
      <c r="I58" s="129"/>
      <c r="J58" s="133"/>
      <c r="K58" s="115"/>
      <c r="L58" s="115"/>
      <c r="M58" s="115"/>
      <c r="N58" s="114"/>
      <c r="O58" s="114"/>
      <c r="P58" s="115"/>
      <c r="Q58" s="115"/>
      <c r="R58" s="115"/>
      <c r="S58" s="115"/>
      <c r="T58" s="114"/>
      <c r="U58" s="114"/>
      <c r="V58" s="116"/>
      <c r="W58" s="114"/>
      <c r="X58" s="114"/>
      <c r="Y58" s="114"/>
      <c r="Z58" s="114"/>
      <c r="AA58" s="114"/>
    </row>
    <row r="59" spans="1:27" ht="15" customHeight="1" x14ac:dyDescent="0.4">
      <c r="A59" s="114"/>
      <c r="B59" s="226"/>
      <c r="C59" s="32" t="s">
        <v>64</v>
      </c>
      <c r="D59" s="29">
        <f>D58/D54*1000</f>
        <v>349.73906792185284</v>
      </c>
      <c r="E59" s="262"/>
      <c r="F59" s="263"/>
      <c r="G59" s="264"/>
      <c r="H59" s="114"/>
      <c r="I59" s="129"/>
      <c r="J59" s="133"/>
      <c r="K59" s="115"/>
      <c r="L59" s="115"/>
      <c r="M59" s="115"/>
      <c r="N59" s="114"/>
      <c r="O59" s="114"/>
      <c r="P59" s="115"/>
      <c r="Q59" s="115"/>
      <c r="R59" s="115"/>
      <c r="S59" s="115"/>
      <c r="T59" s="114"/>
      <c r="U59" s="114"/>
      <c r="V59" s="116"/>
      <c r="W59" s="114"/>
      <c r="X59" s="114"/>
      <c r="Y59" s="114"/>
      <c r="Z59" s="114"/>
      <c r="AA59" s="114"/>
    </row>
    <row r="60" spans="1:27" ht="15" customHeight="1" thickBot="1" x14ac:dyDescent="0.45">
      <c r="A60" s="114"/>
      <c r="B60" s="259"/>
      <c r="C60" s="35" t="s">
        <v>65</v>
      </c>
      <c r="D60" s="30">
        <f>D58/D52*1000</f>
        <v>656.39587907928296</v>
      </c>
      <c r="E60" s="265"/>
      <c r="F60" s="266"/>
      <c r="G60" s="267"/>
      <c r="H60" s="114"/>
      <c r="I60" s="114"/>
      <c r="J60" s="115"/>
      <c r="K60" s="115"/>
      <c r="L60" s="115"/>
      <c r="M60" s="115"/>
      <c r="N60" s="114"/>
      <c r="O60" s="114"/>
      <c r="P60" s="115"/>
      <c r="Q60" s="115"/>
      <c r="R60" s="115"/>
      <c r="S60" s="115"/>
      <c r="T60" s="114"/>
      <c r="U60" s="114"/>
      <c r="V60" s="116"/>
      <c r="W60" s="114"/>
      <c r="X60" s="114"/>
      <c r="Y60" s="114"/>
      <c r="Z60" s="114"/>
      <c r="AA60" s="114"/>
    </row>
    <row r="61" spans="1:27" ht="15" customHeight="1" x14ac:dyDescent="0.4">
      <c r="A61" s="114"/>
      <c r="B61" s="114"/>
      <c r="C61" s="114"/>
      <c r="D61" s="126"/>
      <c r="E61" s="115"/>
      <c r="F61" s="115"/>
      <c r="G61" s="115"/>
      <c r="H61" s="114"/>
      <c r="I61" s="114"/>
      <c r="J61" s="115"/>
      <c r="K61" s="115"/>
      <c r="L61" s="115"/>
      <c r="M61" s="115"/>
      <c r="N61" s="114"/>
      <c r="O61" s="114"/>
      <c r="P61" s="115"/>
      <c r="Q61" s="115"/>
      <c r="R61" s="115"/>
      <c r="S61" s="115"/>
      <c r="T61" s="114"/>
      <c r="U61" s="114"/>
      <c r="V61" s="116"/>
      <c r="W61" s="114"/>
      <c r="X61" s="114"/>
      <c r="Y61" s="114"/>
      <c r="Z61" s="114"/>
      <c r="AA61" s="114"/>
    </row>
    <row r="62" spans="1:27" ht="15" customHeight="1" x14ac:dyDescent="0.4">
      <c r="A62" s="114"/>
      <c r="B62" s="114"/>
      <c r="C62" s="114"/>
      <c r="D62" s="115"/>
      <c r="E62" s="115"/>
      <c r="F62" s="115"/>
      <c r="G62" s="115"/>
      <c r="H62" s="114"/>
      <c r="I62" s="114"/>
      <c r="J62" s="115"/>
      <c r="K62" s="115"/>
      <c r="L62" s="115"/>
      <c r="M62" s="115"/>
      <c r="N62" s="114"/>
      <c r="O62" s="114"/>
      <c r="P62" s="115"/>
      <c r="Q62" s="115"/>
      <c r="R62" s="115"/>
      <c r="S62" s="115"/>
      <c r="T62" s="114"/>
      <c r="U62" s="114"/>
      <c r="V62" s="116"/>
      <c r="W62" s="114"/>
      <c r="X62" s="114"/>
      <c r="Y62" s="114"/>
      <c r="Z62" s="114"/>
      <c r="AA62" s="114"/>
    </row>
    <row r="63" spans="1:27" ht="15" customHeight="1" x14ac:dyDescent="0.4">
      <c r="A63" s="114"/>
      <c r="B63" s="114"/>
      <c r="C63" s="114"/>
      <c r="D63" s="115"/>
      <c r="E63" s="115"/>
      <c r="F63" s="115"/>
      <c r="G63" s="115"/>
      <c r="H63" s="114"/>
      <c r="I63" s="114"/>
      <c r="J63" s="115"/>
      <c r="K63" s="115"/>
      <c r="L63" s="115"/>
      <c r="M63" s="115"/>
      <c r="N63" s="114"/>
      <c r="O63" s="114"/>
      <c r="P63" s="115"/>
      <c r="Q63" s="115"/>
      <c r="R63" s="115"/>
      <c r="S63" s="115"/>
      <c r="T63" s="114"/>
      <c r="U63" s="114"/>
      <c r="V63" s="116"/>
      <c r="W63" s="114"/>
      <c r="X63" s="114"/>
      <c r="Y63" s="114"/>
      <c r="Z63" s="114"/>
      <c r="AA63" s="114"/>
    </row>
  </sheetData>
  <mergeCells count="58">
    <mergeCell ref="B56:B60"/>
    <mergeCell ref="E44:G60"/>
    <mergeCell ref="W16:Y16"/>
    <mergeCell ref="W17:Y17"/>
    <mergeCell ref="B35:G35"/>
    <mergeCell ref="B44:B55"/>
    <mergeCell ref="B36:B43"/>
    <mergeCell ref="E36:G43"/>
    <mergeCell ref="H24:H30"/>
    <mergeCell ref="N29:N30"/>
    <mergeCell ref="Q12:S33"/>
    <mergeCell ref="T15:T17"/>
    <mergeCell ref="W22:W25"/>
    <mergeCell ref="T18:T21"/>
    <mergeCell ref="T22:T25"/>
    <mergeCell ref="W31:W32"/>
    <mergeCell ref="T26:V26"/>
    <mergeCell ref="T27:T33"/>
    <mergeCell ref="W18:Y18"/>
    <mergeCell ref="W19:Y19"/>
    <mergeCell ref="W26:W30"/>
    <mergeCell ref="N31:N33"/>
    <mergeCell ref="W15:X15"/>
    <mergeCell ref="W20:Z20"/>
    <mergeCell ref="B12:B21"/>
    <mergeCell ref="E12:G33"/>
    <mergeCell ref="H12:H21"/>
    <mergeCell ref="K12:M33"/>
    <mergeCell ref="N12:N19"/>
    <mergeCell ref="N20:N21"/>
    <mergeCell ref="B22:B23"/>
    <mergeCell ref="H22:H23"/>
    <mergeCell ref="N22:N28"/>
    <mergeCell ref="B24:B30"/>
    <mergeCell ref="B31:B33"/>
    <mergeCell ref="H31:H33"/>
    <mergeCell ref="T12:T14"/>
    <mergeCell ref="W12:W14"/>
    <mergeCell ref="J2:K2"/>
    <mergeCell ref="J3:K3"/>
    <mergeCell ref="T5:V5"/>
    <mergeCell ref="W5:Z5"/>
    <mergeCell ref="T6:T8"/>
    <mergeCell ref="W7:W8"/>
    <mergeCell ref="T9:T11"/>
    <mergeCell ref="W9:W11"/>
    <mergeCell ref="L2:M2"/>
    <mergeCell ref="L3:M3"/>
    <mergeCell ref="N2:P2"/>
    <mergeCell ref="N3:P3"/>
    <mergeCell ref="B5:G5"/>
    <mergeCell ref="H5:M5"/>
    <mergeCell ref="N5:S5"/>
    <mergeCell ref="B6:B11"/>
    <mergeCell ref="H6:H11"/>
    <mergeCell ref="N6:N11"/>
    <mergeCell ref="O6:O7"/>
    <mergeCell ref="S6:S7"/>
  </mergeCells>
  <phoneticPr fontId="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14A4FF-D34F-4EAC-9143-66882CE28391}">
  <dimension ref="A1:AA63"/>
  <sheetViews>
    <sheetView zoomScaleNormal="100" workbookViewId="0"/>
  </sheetViews>
  <sheetFormatPr defaultColWidth="9.625" defaultRowHeight="15" customHeight="1" x14ac:dyDescent="0.4"/>
  <cols>
    <col min="1" max="1" width="4.125" style="1" customWidth="1"/>
    <col min="2" max="2" width="8.625" style="1" customWidth="1"/>
    <col min="3" max="3" width="17.625" style="1" customWidth="1"/>
    <col min="4" max="7" width="6.625" style="2" customWidth="1"/>
    <col min="8" max="8" width="8.625" style="1" customWidth="1"/>
    <col min="9" max="9" width="17.625" style="1" customWidth="1"/>
    <col min="10" max="13" width="6.625" style="2" customWidth="1"/>
    <col min="14" max="14" width="8.625" style="1" customWidth="1"/>
    <col min="15" max="15" width="17.625" style="1" customWidth="1"/>
    <col min="16" max="19" width="6.625" style="2" customWidth="1"/>
    <col min="20" max="20" width="8.625" style="1" customWidth="1"/>
    <col min="21" max="21" width="17.625" style="1" customWidth="1"/>
    <col min="22" max="22" width="6.625" style="3" customWidth="1"/>
    <col min="23" max="23" width="9.625" style="1"/>
    <col min="24" max="24" width="17.625" style="1" customWidth="1"/>
    <col min="25" max="26" width="6.625" style="1" customWidth="1"/>
    <col min="27" max="27" width="4.125" style="1" customWidth="1"/>
    <col min="28" max="16384" width="9.625" style="1"/>
  </cols>
  <sheetData>
    <row r="1" spans="1:27" ht="15" customHeight="1" thickBot="1" x14ac:dyDescent="0.45">
      <c r="A1" s="114"/>
      <c r="B1" s="114"/>
      <c r="C1" s="114"/>
      <c r="D1" s="115"/>
      <c r="E1" s="115"/>
      <c r="F1" s="115"/>
      <c r="G1" s="115"/>
      <c r="H1" s="114"/>
      <c r="I1" s="114"/>
      <c r="J1" s="115"/>
      <c r="K1" s="115"/>
      <c r="L1" s="115"/>
      <c r="M1" s="115"/>
      <c r="N1" s="114"/>
      <c r="O1" s="114"/>
      <c r="P1" s="115"/>
      <c r="Q1" s="115"/>
      <c r="R1" s="115"/>
      <c r="S1" s="115"/>
      <c r="T1" s="114"/>
      <c r="U1" s="114"/>
      <c r="V1" s="116"/>
      <c r="W1" s="114"/>
      <c r="X1" s="114"/>
      <c r="Y1" s="114"/>
      <c r="Z1" s="114"/>
      <c r="AA1" s="114"/>
    </row>
    <row r="2" spans="1:27" ht="15" customHeight="1" x14ac:dyDescent="0.4">
      <c r="A2" s="114"/>
      <c r="B2" s="114"/>
      <c r="C2" s="120" t="s">
        <v>133</v>
      </c>
      <c r="D2" s="117" t="s">
        <v>109</v>
      </c>
      <c r="E2" s="118" t="s">
        <v>110</v>
      </c>
      <c r="F2" s="119" t="s">
        <v>111</v>
      </c>
      <c r="G2" s="120" t="s">
        <v>112</v>
      </c>
      <c r="H2" s="120" t="s">
        <v>127</v>
      </c>
      <c r="I2" s="120" t="s">
        <v>114</v>
      </c>
      <c r="J2" s="156" t="s">
        <v>125</v>
      </c>
      <c r="K2" s="157"/>
      <c r="L2" s="156" t="s">
        <v>69</v>
      </c>
      <c r="M2" s="157"/>
      <c r="N2" s="156" t="s">
        <v>129</v>
      </c>
      <c r="O2" s="171"/>
      <c r="P2" s="171"/>
      <c r="Q2" s="151">
        <f>D59</f>
        <v>309.41109648242474</v>
      </c>
      <c r="R2" s="115"/>
      <c r="S2" s="115"/>
      <c r="T2" s="114"/>
      <c r="U2" s="114"/>
      <c r="V2" s="116"/>
      <c r="W2" s="114"/>
      <c r="X2" s="114"/>
      <c r="Y2" s="114"/>
      <c r="Z2" s="114"/>
      <c r="AA2" s="114"/>
    </row>
    <row r="3" spans="1:27" ht="15" customHeight="1" thickBot="1" x14ac:dyDescent="0.45">
      <c r="A3" s="114"/>
      <c r="B3" s="114"/>
      <c r="C3" s="153">
        <v>80</v>
      </c>
      <c r="D3" s="121">
        <v>4</v>
      </c>
      <c r="E3" s="122">
        <v>2.5</v>
      </c>
      <c r="F3" s="123">
        <v>2.5</v>
      </c>
      <c r="G3" s="124">
        <v>7</v>
      </c>
      <c r="H3" s="125">
        <v>2.15</v>
      </c>
      <c r="I3" s="141">
        <f>D56</f>
        <v>1.0886400000000001</v>
      </c>
      <c r="J3" s="158">
        <v>3.6</v>
      </c>
      <c r="K3" s="159"/>
      <c r="L3" s="169">
        <f>D53</f>
        <v>6.7155185520828553E-4</v>
      </c>
      <c r="M3" s="170"/>
      <c r="N3" s="172" t="s">
        <v>128</v>
      </c>
      <c r="O3" s="173"/>
      <c r="P3" s="173"/>
      <c r="Q3" s="152">
        <f>D60</f>
        <v>411.47347627713833</v>
      </c>
      <c r="R3" s="115"/>
      <c r="S3" s="115"/>
      <c r="T3" s="114"/>
      <c r="U3" s="114"/>
      <c r="V3" s="116"/>
      <c r="W3" s="114"/>
      <c r="X3" s="114"/>
      <c r="Y3" s="114"/>
      <c r="Z3" s="114"/>
      <c r="AA3" s="114"/>
    </row>
    <row r="4" spans="1:27" ht="15" customHeight="1" thickBot="1" x14ac:dyDescent="0.45">
      <c r="A4" s="114"/>
      <c r="B4" s="114"/>
      <c r="C4" s="114"/>
      <c r="D4" s="115"/>
      <c r="E4" s="115"/>
      <c r="F4" s="115"/>
      <c r="G4" s="115"/>
      <c r="H4" s="114"/>
      <c r="I4" s="114"/>
      <c r="J4" s="115"/>
      <c r="K4" s="115"/>
      <c r="L4" s="115"/>
      <c r="M4" s="115"/>
      <c r="N4" s="114"/>
      <c r="O4" s="114"/>
      <c r="P4" s="115"/>
      <c r="Q4" s="115"/>
      <c r="R4" s="115"/>
      <c r="S4" s="115"/>
      <c r="T4" s="114"/>
      <c r="U4" s="114"/>
      <c r="V4" s="116"/>
      <c r="W4" s="114"/>
      <c r="X4" s="114"/>
      <c r="Y4" s="114"/>
      <c r="Z4" s="114"/>
      <c r="AA4" s="114"/>
    </row>
    <row r="5" spans="1:27" ht="15" customHeight="1" thickBot="1" x14ac:dyDescent="0.45">
      <c r="A5" s="114"/>
      <c r="B5" s="160" t="s">
        <v>0</v>
      </c>
      <c r="C5" s="161"/>
      <c r="D5" s="161"/>
      <c r="E5" s="161"/>
      <c r="F5" s="161"/>
      <c r="G5" s="162"/>
      <c r="H5" s="163" t="s">
        <v>19</v>
      </c>
      <c r="I5" s="164"/>
      <c r="J5" s="164"/>
      <c r="K5" s="164"/>
      <c r="L5" s="164"/>
      <c r="M5" s="165"/>
      <c r="N5" s="166" t="s">
        <v>23</v>
      </c>
      <c r="O5" s="167"/>
      <c r="P5" s="167"/>
      <c r="Q5" s="167"/>
      <c r="R5" s="167"/>
      <c r="S5" s="168"/>
      <c r="T5" s="174" t="s">
        <v>82</v>
      </c>
      <c r="U5" s="175"/>
      <c r="V5" s="176"/>
      <c r="W5" s="177" t="s">
        <v>28</v>
      </c>
      <c r="X5" s="178"/>
      <c r="Y5" s="178"/>
      <c r="Z5" s="179"/>
      <c r="AA5" s="114"/>
    </row>
    <row r="6" spans="1:27" ht="15" customHeight="1" x14ac:dyDescent="0.4">
      <c r="A6" s="114"/>
      <c r="B6" s="200" t="s">
        <v>3</v>
      </c>
      <c r="C6" s="13" t="s">
        <v>14</v>
      </c>
      <c r="D6" s="66" t="s">
        <v>84</v>
      </c>
      <c r="E6" s="66" t="s">
        <v>88</v>
      </c>
      <c r="F6" s="66" t="s">
        <v>51</v>
      </c>
      <c r="G6" s="4" t="s">
        <v>12</v>
      </c>
      <c r="H6" s="201" t="s">
        <v>3</v>
      </c>
      <c r="I6" s="16" t="s">
        <v>14</v>
      </c>
      <c r="J6" s="66" t="s">
        <v>76</v>
      </c>
      <c r="K6" s="66" t="s">
        <v>99</v>
      </c>
      <c r="L6" s="66" t="s">
        <v>91</v>
      </c>
      <c r="M6" s="5" t="s">
        <v>12</v>
      </c>
      <c r="N6" s="202" t="s">
        <v>3</v>
      </c>
      <c r="O6" s="205" t="s">
        <v>14</v>
      </c>
      <c r="P6" s="67" t="s">
        <v>26</v>
      </c>
      <c r="Q6" s="67" t="s">
        <v>27</v>
      </c>
      <c r="R6" s="67" t="s">
        <v>92</v>
      </c>
      <c r="S6" s="207" t="s">
        <v>12</v>
      </c>
      <c r="T6" s="180" t="s">
        <v>70</v>
      </c>
      <c r="U6" s="43" t="s">
        <v>17</v>
      </c>
      <c r="V6" s="55">
        <v>6</v>
      </c>
      <c r="W6" s="28" t="s">
        <v>113</v>
      </c>
      <c r="X6" s="69" t="s">
        <v>95</v>
      </c>
      <c r="Y6" s="72" t="s">
        <v>63</v>
      </c>
      <c r="Z6" s="73" t="s">
        <v>30</v>
      </c>
      <c r="AA6" s="114"/>
    </row>
    <row r="7" spans="1:27" ht="15" customHeight="1" x14ac:dyDescent="0.4">
      <c r="A7" s="114"/>
      <c r="B7" s="198"/>
      <c r="C7" s="14" t="s">
        <v>49</v>
      </c>
      <c r="D7" s="85">
        <f>1672*C3/100</f>
        <v>1337.6</v>
      </c>
      <c r="E7" s="86">
        <v>0</v>
      </c>
      <c r="F7" s="86">
        <v>0</v>
      </c>
      <c r="G7" s="25">
        <f>D7</f>
        <v>1337.6</v>
      </c>
      <c r="H7" s="198"/>
      <c r="I7" s="16" t="s">
        <v>49</v>
      </c>
      <c r="J7" s="80">
        <v>3860</v>
      </c>
      <c r="K7" s="80">
        <v>0</v>
      </c>
      <c r="L7" s="80">
        <v>0</v>
      </c>
      <c r="M7" s="25">
        <f>J7</f>
        <v>3860</v>
      </c>
      <c r="N7" s="203"/>
      <c r="O7" s="206"/>
      <c r="P7" s="67" t="s">
        <v>24</v>
      </c>
      <c r="Q7" s="67" t="s">
        <v>93</v>
      </c>
      <c r="R7" s="67" t="s">
        <v>94</v>
      </c>
      <c r="S7" s="208"/>
      <c r="T7" s="181"/>
      <c r="U7" s="44" t="s">
        <v>9</v>
      </c>
      <c r="V7" s="40">
        <v>8</v>
      </c>
      <c r="W7" s="183" t="s">
        <v>61</v>
      </c>
      <c r="X7" s="68" t="s">
        <v>95</v>
      </c>
      <c r="Y7" s="62">
        <v>0</v>
      </c>
      <c r="Z7" s="61">
        <f>Y7*$Z$18/100</f>
        <v>0</v>
      </c>
      <c r="AA7" s="114"/>
    </row>
    <row r="8" spans="1:27" ht="15" customHeight="1" x14ac:dyDescent="0.4">
      <c r="A8" s="114"/>
      <c r="B8" s="198"/>
      <c r="C8" s="14" t="s">
        <v>11</v>
      </c>
      <c r="D8" s="87">
        <v>70</v>
      </c>
      <c r="E8" s="87">
        <v>20</v>
      </c>
      <c r="F8" s="87">
        <v>10</v>
      </c>
      <c r="G8" s="39">
        <f>SUM(D8:F8)</f>
        <v>100</v>
      </c>
      <c r="H8" s="198"/>
      <c r="I8" s="16" t="s">
        <v>11</v>
      </c>
      <c r="J8" s="81">
        <v>100</v>
      </c>
      <c r="K8" s="81">
        <v>0</v>
      </c>
      <c r="L8" s="81">
        <v>0</v>
      </c>
      <c r="M8" s="39">
        <f>SUM(J8:L8)</f>
        <v>100</v>
      </c>
      <c r="N8" s="203"/>
      <c r="O8" s="18" t="s">
        <v>43</v>
      </c>
      <c r="P8" s="58">
        <v>1.093</v>
      </c>
      <c r="Q8" s="58">
        <v>0</v>
      </c>
      <c r="R8" s="58">
        <v>0</v>
      </c>
      <c r="S8" s="8">
        <f>SUM(P8:R8)</f>
        <v>1.093</v>
      </c>
      <c r="T8" s="182"/>
      <c r="U8" s="44" t="s">
        <v>40</v>
      </c>
      <c r="V8" s="25">
        <f>V6*V7/100</f>
        <v>0.48</v>
      </c>
      <c r="W8" s="184"/>
      <c r="X8" s="68" t="s">
        <v>95</v>
      </c>
      <c r="Y8" s="62">
        <v>0</v>
      </c>
      <c r="Z8" s="61">
        <f t="shared" ref="Z8:Z15" si="0">Y8*$Z$18/100</f>
        <v>0</v>
      </c>
      <c r="AA8" s="114"/>
    </row>
    <row r="9" spans="1:27" ht="15" customHeight="1" x14ac:dyDescent="0.4">
      <c r="A9" s="114"/>
      <c r="B9" s="198"/>
      <c r="C9" s="14" t="s">
        <v>38</v>
      </c>
      <c r="D9" s="58">
        <v>2.0699999999999998</v>
      </c>
      <c r="E9" s="58">
        <v>1.4</v>
      </c>
      <c r="F9" s="58">
        <v>1.78</v>
      </c>
      <c r="G9" s="9">
        <f>G10/G11</f>
        <v>1.8615000433037903</v>
      </c>
      <c r="H9" s="198"/>
      <c r="I9" s="16" t="s">
        <v>38</v>
      </c>
      <c r="J9" s="57">
        <v>0.53400000000000003</v>
      </c>
      <c r="K9" s="57">
        <v>0</v>
      </c>
      <c r="L9" s="57">
        <v>0</v>
      </c>
      <c r="M9" s="10">
        <f>M10/M11</f>
        <v>0.53400000000000003</v>
      </c>
      <c r="N9" s="203"/>
      <c r="O9" s="18" t="s">
        <v>38</v>
      </c>
      <c r="P9" s="57">
        <v>0.93</v>
      </c>
      <c r="Q9" s="57">
        <v>0</v>
      </c>
      <c r="R9" s="57">
        <v>0</v>
      </c>
      <c r="S9" s="10">
        <f>S10/S11</f>
        <v>0.93</v>
      </c>
      <c r="T9" s="185" t="s">
        <v>81</v>
      </c>
      <c r="U9" s="26" t="s">
        <v>36</v>
      </c>
      <c r="V9" s="45">
        <f>D24</f>
        <v>12</v>
      </c>
      <c r="W9" s="183" t="s">
        <v>60</v>
      </c>
      <c r="X9" s="68" t="s">
        <v>95</v>
      </c>
      <c r="Y9" s="62">
        <v>0</v>
      </c>
      <c r="Z9" s="61">
        <f t="shared" si="0"/>
        <v>0</v>
      </c>
      <c r="AA9" s="114"/>
    </row>
    <row r="10" spans="1:27" ht="15" customHeight="1" x14ac:dyDescent="0.4">
      <c r="A10" s="114"/>
      <c r="B10" s="198"/>
      <c r="C10" s="14" t="s">
        <v>10</v>
      </c>
      <c r="D10" s="36">
        <f>D43/G7</f>
        <v>0.11626794258373208</v>
      </c>
      <c r="E10" s="36">
        <f>G10*E8/100</f>
        <v>3.3219412166780593E-2</v>
      </c>
      <c r="F10" s="36">
        <f>G10*F8/100</f>
        <v>1.6609706083390297E-2</v>
      </c>
      <c r="G10" s="10">
        <f>D10/D8*100</f>
        <v>0.16609706083390297</v>
      </c>
      <c r="H10" s="198"/>
      <c r="I10" s="16" t="s">
        <v>10</v>
      </c>
      <c r="J10" s="36">
        <f>D43*D42/M7</f>
        <v>0.10072538860103628</v>
      </c>
      <c r="K10" s="36">
        <f>M10*K8/100</f>
        <v>0</v>
      </c>
      <c r="L10" s="36">
        <f>M10*L8/100</f>
        <v>0</v>
      </c>
      <c r="M10" s="10">
        <f>J10/J8*100</f>
        <v>0.10072538860103628</v>
      </c>
      <c r="N10" s="203"/>
      <c r="O10" s="18" t="s">
        <v>10</v>
      </c>
      <c r="P10" s="36">
        <f>P8*P16/1000</f>
        <v>5.0715199999999995E-2</v>
      </c>
      <c r="Q10" s="36">
        <f>Q8*P25/1000</f>
        <v>0</v>
      </c>
      <c r="R10" s="36">
        <f>R8*P25/1000</f>
        <v>0</v>
      </c>
      <c r="S10" s="10">
        <f>SUM(P10:R10)</f>
        <v>5.0715199999999995E-2</v>
      </c>
      <c r="T10" s="181"/>
      <c r="U10" s="44" t="s">
        <v>37</v>
      </c>
      <c r="V10" s="10">
        <f>V8*V9/10000</f>
        <v>5.7600000000000001E-4</v>
      </c>
      <c r="W10" s="184"/>
      <c r="X10" s="68" t="s">
        <v>95</v>
      </c>
      <c r="Y10" s="62">
        <v>0</v>
      </c>
      <c r="Z10" s="61">
        <f t="shared" si="0"/>
        <v>0</v>
      </c>
      <c r="AA10" s="114"/>
    </row>
    <row r="11" spans="1:27" ht="15" customHeight="1" x14ac:dyDescent="0.4">
      <c r="A11" s="114"/>
      <c r="B11" s="199"/>
      <c r="C11" s="14" t="s">
        <v>37</v>
      </c>
      <c r="D11" s="36">
        <f>D10/D9</f>
        <v>5.616808820470149E-2</v>
      </c>
      <c r="E11" s="36">
        <f t="shared" ref="E11:F11" si="1">E10/E9</f>
        <v>2.3728151547700426E-2</v>
      </c>
      <c r="F11" s="36">
        <f t="shared" si="1"/>
        <v>9.3312955524664579E-3</v>
      </c>
      <c r="G11" s="10">
        <f>SUM(D11:F11)</f>
        <v>8.9227535304868377E-2</v>
      </c>
      <c r="H11" s="199"/>
      <c r="I11" s="16" t="s">
        <v>37</v>
      </c>
      <c r="J11" s="36">
        <f>J10/J9</f>
        <v>0.18862432322291436</v>
      </c>
      <c r="K11" s="36">
        <f>K10/(K9+0.00001)</f>
        <v>0</v>
      </c>
      <c r="L11" s="36">
        <f>L10/(L9+0.00001)</f>
        <v>0</v>
      </c>
      <c r="M11" s="10">
        <f>SUM(J11:L11)</f>
        <v>0.18862432322291436</v>
      </c>
      <c r="N11" s="204"/>
      <c r="O11" s="18" t="s">
        <v>37</v>
      </c>
      <c r="P11" s="36">
        <f>P10/P9</f>
        <v>5.4532473118279565E-2</v>
      </c>
      <c r="Q11" s="36">
        <f>Q10/(Q9+0.00001)</f>
        <v>0</v>
      </c>
      <c r="R11" s="36">
        <f>R10/(R9+0.00001)</f>
        <v>0</v>
      </c>
      <c r="S11" s="10">
        <f>SUM(P11:R11)</f>
        <v>5.4532473118279565E-2</v>
      </c>
      <c r="T11" s="182"/>
      <c r="U11" s="22" t="s">
        <v>10</v>
      </c>
      <c r="V11" s="10">
        <f>V10*D30</f>
        <v>1.5546239999999999E-3</v>
      </c>
      <c r="W11" s="184"/>
      <c r="X11" s="68" t="s">
        <v>95</v>
      </c>
      <c r="Y11" s="63">
        <v>0</v>
      </c>
      <c r="Z11" s="61">
        <f t="shared" si="0"/>
        <v>0</v>
      </c>
      <c r="AA11" s="114"/>
    </row>
    <row r="12" spans="1:27" ht="15" customHeight="1" x14ac:dyDescent="0.4">
      <c r="A12" s="114"/>
      <c r="B12" s="186" t="s">
        <v>2</v>
      </c>
      <c r="C12" s="14" t="s">
        <v>36</v>
      </c>
      <c r="D12" s="51">
        <v>66</v>
      </c>
      <c r="E12" s="189"/>
      <c r="F12" s="190"/>
      <c r="G12" s="191"/>
      <c r="H12" s="196" t="s">
        <v>2</v>
      </c>
      <c r="I12" s="16" t="s">
        <v>36</v>
      </c>
      <c r="J12" s="51">
        <v>45.5</v>
      </c>
      <c r="K12" s="189"/>
      <c r="L12" s="190"/>
      <c r="M12" s="191"/>
      <c r="N12" s="197" t="s">
        <v>26</v>
      </c>
      <c r="O12" s="18" t="s">
        <v>36</v>
      </c>
      <c r="P12" s="52">
        <v>20</v>
      </c>
      <c r="Q12" s="234"/>
      <c r="R12" s="190"/>
      <c r="S12" s="191"/>
      <c r="T12" s="185" t="s">
        <v>80</v>
      </c>
      <c r="U12" s="26" t="s">
        <v>36</v>
      </c>
      <c r="V12" s="25">
        <f>J24</f>
        <v>8</v>
      </c>
      <c r="W12" s="183" t="s">
        <v>62</v>
      </c>
      <c r="X12" s="68" t="s">
        <v>95</v>
      </c>
      <c r="Y12" s="63">
        <v>0</v>
      </c>
      <c r="Z12" s="61">
        <f t="shared" si="0"/>
        <v>0</v>
      </c>
      <c r="AA12" s="114"/>
    </row>
    <row r="13" spans="1:27" ht="15" customHeight="1" x14ac:dyDescent="0.4">
      <c r="A13" s="114"/>
      <c r="B13" s="187"/>
      <c r="C13" s="14" t="s">
        <v>7</v>
      </c>
      <c r="D13" s="54">
        <f>D25</f>
        <v>54</v>
      </c>
      <c r="E13" s="192"/>
      <c r="F13" s="192"/>
      <c r="G13" s="193"/>
      <c r="H13" s="187"/>
      <c r="I13" s="16" t="s">
        <v>7</v>
      </c>
      <c r="J13" s="54">
        <f>J25</f>
        <v>55.5</v>
      </c>
      <c r="K13" s="192"/>
      <c r="L13" s="192"/>
      <c r="M13" s="193"/>
      <c r="N13" s="198"/>
      <c r="O13" s="18" t="s">
        <v>52</v>
      </c>
      <c r="P13" s="52">
        <v>58</v>
      </c>
      <c r="Q13" s="235"/>
      <c r="R13" s="192"/>
      <c r="S13" s="193"/>
      <c r="T13" s="181"/>
      <c r="U13" s="44" t="s">
        <v>37</v>
      </c>
      <c r="V13" s="10">
        <f>V8*V12/10000</f>
        <v>3.8400000000000001E-4</v>
      </c>
      <c r="W13" s="184"/>
      <c r="X13" s="68" t="s">
        <v>95</v>
      </c>
      <c r="Y13" s="63">
        <v>0</v>
      </c>
      <c r="Z13" s="61">
        <f t="shared" si="0"/>
        <v>0</v>
      </c>
      <c r="AA13" s="114"/>
    </row>
    <row r="14" spans="1:27" ht="15" customHeight="1" thickBot="1" x14ac:dyDescent="0.45">
      <c r="A14" s="114"/>
      <c r="B14" s="187"/>
      <c r="C14" s="14" t="s">
        <v>8</v>
      </c>
      <c r="D14" s="54">
        <f>D25</f>
        <v>54</v>
      </c>
      <c r="E14" s="192"/>
      <c r="F14" s="192"/>
      <c r="G14" s="193"/>
      <c r="H14" s="187"/>
      <c r="I14" s="16" t="s">
        <v>8</v>
      </c>
      <c r="J14" s="54">
        <f>J25</f>
        <v>55.5</v>
      </c>
      <c r="K14" s="192"/>
      <c r="L14" s="192"/>
      <c r="M14" s="193"/>
      <c r="N14" s="198"/>
      <c r="O14" s="18" t="s">
        <v>53</v>
      </c>
      <c r="P14" s="52">
        <v>58</v>
      </c>
      <c r="Q14" s="235"/>
      <c r="R14" s="192"/>
      <c r="S14" s="193"/>
      <c r="T14" s="209"/>
      <c r="U14" s="27" t="s">
        <v>10</v>
      </c>
      <c r="V14" s="38">
        <f>V13*J30</f>
        <v>3.4406400000000005E-3</v>
      </c>
      <c r="W14" s="184"/>
      <c r="X14" s="68" t="s">
        <v>95</v>
      </c>
      <c r="Y14" s="63">
        <v>0</v>
      </c>
      <c r="Z14" s="61">
        <f t="shared" si="0"/>
        <v>0</v>
      </c>
      <c r="AA14" s="114"/>
    </row>
    <row r="15" spans="1:27" ht="15" customHeight="1" thickBot="1" x14ac:dyDescent="0.45">
      <c r="A15" s="114"/>
      <c r="B15" s="187"/>
      <c r="C15" s="14" t="s">
        <v>9</v>
      </c>
      <c r="D15" s="54">
        <f>D26</f>
        <v>36</v>
      </c>
      <c r="E15" s="192"/>
      <c r="F15" s="192"/>
      <c r="G15" s="193"/>
      <c r="H15" s="187"/>
      <c r="I15" s="16" t="s">
        <v>9</v>
      </c>
      <c r="J15" s="54">
        <f>J26</f>
        <v>37.5</v>
      </c>
      <c r="K15" s="192"/>
      <c r="L15" s="192"/>
      <c r="M15" s="193"/>
      <c r="N15" s="198"/>
      <c r="O15" s="18" t="s">
        <v>9</v>
      </c>
      <c r="P15" s="52">
        <v>40</v>
      </c>
      <c r="Q15" s="235"/>
      <c r="R15" s="192"/>
      <c r="S15" s="193"/>
      <c r="T15" s="210" t="s">
        <v>79</v>
      </c>
      <c r="U15" s="26" t="s">
        <v>17</v>
      </c>
      <c r="V15" s="42">
        <v>20</v>
      </c>
      <c r="W15" s="211" t="s">
        <v>12</v>
      </c>
      <c r="X15" s="212"/>
      <c r="Y15" s="70">
        <f>SUM(Y7:Y14)</f>
        <v>0</v>
      </c>
      <c r="Z15" s="61">
        <f t="shared" si="0"/>
        <v>0</v>
      </c>
      <c r="AA15" s="114"/>
    </row>
    <row r="16" spans="1:27" ht="15" customHeight="1" x14ac:dyDescent="0.4">
      <c r="A16" s="114"/>
      <c r="B16" s="187"/>
      <c r="C16" s="14" t="s">
        <v>41</v>
      </c>
      <c r="D16" s="53">
        <f>(D13+D14)*D15/100</f>
        <v>38.880000000000003</v>
      </c>
      <c r="E16" s="192"/>
      <c r="F16" s="192"/>
      <c r="G16" s="193"/>
      <c r="H16" s="187"/>
      <c r="I16" s="16" t="s">
        <v>41</v>
      </c>
      <c r="J16" s="11">
        <f>(J13+J14)*J15/100</f>
        <v>41.625</v>
      </c>
      <c r="K16" s="192"/>
      <c r="L16" s="192"/>
      <c r="M16" s="193"/>
      <c r="N16" s="198"/>
      <c r="O16" s="18" t="s">
        <v>40</v>
      </c>
      <c r="P16" s="53">
        <f>(P13+P14)*P15/100</f>
        <v>46.4</v>
      </c>
      <c r="Q16" s="235"/>
      <c r="R16" s="192"/>
      <c r="S16" s="193"/>
      <c r="T16" s="198"/>
      <c r="U16" s="22" t="s">
        <v>9</v>
      </c>
      <c r="V16" s="40">
        <v>5</v>
      </c>
      <c r="W16" s="213" t="s">
        <v>39</v>
      </c>
      <c r="X16" s="214"/>
      <c r="Y16" s="215"/>
      <c r="Z16" s="82">
        <v>1.1000000000000001</v>
      </c>
      <c r="AA16" s="114"/>
    </row>
    <row r="17" spans="1:27" ht="15" customHeight="1" x14ac:dyDescent="0.4">
      <c r="A17" s="114"/>
      <c r="B17" s="187"/>
      <c r="C17" s="14" t="s">
        <v>42</v>
      </c>
      <c r="D17" s="36">
        <f>D12*D16/10000</f>
        <v>0.25660800000000006</v>
      </c>
      <c r="E17" s="192"/>
      <c r="F17" s="192"/>
      <c r="G17" s="193"/>
      <c r="H17" s="187"/>
      <c r="I17" s="16" t="s">
        <v>42</v>
      </c>
      <c r="J17" s="36">
        <f>J12*J16/10000</f>
        <v>0.18939375</v>
      </c>
      <c r="K17" s="192"/>
      <c r="L17" s="192"/>
      <c r="M17" s="193"/>
      <c r="N17" s="198"/>
      <c r="O17" s="18" t="s">
        <v>37</v>
      </c>
      <c r="P17" s="36">
        <f>P12*P16/10000</f>
        <v>9.2799999999999994E-2</v>
      </c>
      <c r="Q17" s="235"/>
      <c r="R17" s="192"/>
      <c r="S17" s="193"/>
      <c r="T17" s="199"/>
      <c r="U17" s="22" t="s">
        <v>40</v>
      </c>
      <c r="V17" s="25">
        <f>V15*V16/100</f>
        <v>1</v>
      </c>
      <c r="W17" s="216" t="s">
        <v>58</v>
      </c>
      <c r="X17" s="217"/>
      <c r="Y17" s="218"/>
      <c r="Z17" s="107">
        <f>F3</f>
        <v>2.5</v>
      </c>
      <c r="AA17" s="114"/>
    </row>
    <row r="18" spans="1:27" ht="15" customHeight="1" x14ac:dyDescent="0.4">
      <c r="A18" s="114"/>
      <c r="B18" s="187"/>
      <c r="C18" s="14" t="s">
        <v>18</v>
      </c>
      <c r="D18" s="36">
        <f>G10</f>
        <v>0.16609706083390297</v>
      </c>
      <c r="E18" s="192"/>
      <c r="F18" s="192"/>
      <c r="G18" s="193"/>
      <c r="H18" s="187"/>
      <c r="I18" s="16" t="s">
        <v>18</v>
      </c>
      <c r="J18" s="36">
        <f>M10</f>
        <v>0.10072538860103628</v>
      </c>
      <c r="K18" s="192"/>
      <c r="L18" s="192"/>
      <c r="M18" s="193"/>
      <c r="N18" s="198"/>
      <c r="O18" s="18" t="s">
        <v>10</v>
      </c>
      <c r="P18" s="36">
        <f>P10</f>
        <v>5.0715199999999995E-2</v>
      </c>
      <c r="Q18" s="235"/>
      <c r="R18" s="192"/>
      <c r="S18" s="193"/>
      <c r="T18" s="210" t="s">
        <v>57</v>
      </c>
      <c r="U18" s="26" t="s">
        <v>36</v>
      </c>
      <c r="V18" s="6">
        <v>100</v>
      </c>
      <c r="W18" s="183" t="s">
        <v>10</v>
      </c>
      <c r="X18" s="239"/>
      <c r="Y18" s="240"/>
      <c r="Z18" s="61">
        <f>Z17*D43/1000</f>
        <v>0.38880000000000003</v>
      </c>
      <c r="AA18" s="114"/>
    </row>
    <row r="19" spans="1:27" ht="15" customHeight="1" thickBot="1" x14ac:dyDescent="0.45">
      <c r="A19" s="114"/>
      <c r="B19" s="187"/>
      <c r="C19" s="14" t="s">
        <v>39</v>
      </c>
      <c r="D19" s="59">
        <f>D18/D17</f>
        <v>0.64727935541332671</v>
      </c>
      <c r="E19" s="192"/>
      <c r="F19" s="192"/>
      <c r="G19" s="193"/>
      <c r="H19" s="187"/>
      <c r="I19" s="16" t="s">
        <v>39</v>
      </c>
      <c r="J19" s="59">
        <f>J18/J17</f>
        <v>0.53183058364405522</v>
      </c>
      <c r="K19" s="192"/>
      <c r="L19" s="192"/>
      <c r="M19" s="193"/>
      <c r="N19" s="199"/>
      <c r="O19" s="18" t="s">
        <v>39</v>
      </c>
      <c r="P19" s="59">
        <f>P18/P17</f>
        <v>0.54649999999999999</v>
      </c>
      <c r="Q19" s="235"/>
      <c r="R19" s="192"/>
      <c r="S19" s="193"/>
      <c r="T19" s="198"/>
      <c r="U19" s="22" t="s">
        <v>37</v>
      </c>
      <c r="V19" s="10">
        <f>V17*V18/10000</f>
        <v>0.01</v>
      </c>
      <c r="W19" s="225" t="s">
        <v>37</v>
      </c>
      <c r="X19" s="241"/>
      <c r="Y19" s="242"/>
      <c r="Z19" s="71">
        <f>Z18/Z16</f>
        <v>0.35345454545454547</v>
      </c>
      <c r="AA19" s="114"/>
    </row>
    <row r="20" spans="1:27" ht="15" customHeight="1" thickBot="1" x14ac:dyDescent="0.45">
      <c r="A20" s="114"/>
      <c r="B20" s="187"/>
      <c r="C20" s="14" t="s">
        <v>75</v>
      </c>
      <c r="D20" s="59">
        <f>D10/D16*1000</f>
        <v>2.99043062200957</v>
      </c>
      <c r="E20" s="192"/>
      <c r="F20" s="192"/>
      <c r="G20" s="193"/>
      <c r="H20" s="187"/>
      <c r="I20" s="16" t="s">
        <v>75</v>
      </c>
      <c r="J20" s="59">
        <f>J10/J16*1000</f>
        <v>2.4198291555804508</v>
      </c>
      <c r="K20" s="192"/>
      <c r="L20" s="192"/>
      <c r="M20" s="193"/>
      <c r="N20" s="231" t="s">
        <v>15</v>
      </c>
      <c r="O20" s="18" t="s">
        <v>37</v>
      </c>
      <c r="P20" s="59">
        <f>P17-P11</f>
        <v>3.8267526881720429E-2</v>
      </c>
      <c r="Q20" s="235"/>
      <c r="R20" s="192"/>
      <c r="S20" s="193"/>
      <c r="T20" s="198"/>
      <c r="U20" s="22" t="s">
        <v>10</v>
      </c>
      <c r="V20" s="10">
        <f>V19*V21</f>
        <v>2.699E-2</v>
      </c>
      <c r="W20" s="243" t="s">
        <v>101</v>
      </c>
      <c r="X20" s="244"/>
      <c r="Y20" s="245"/>
      <c r="Z20" s="246"/>
      <c r="AA20" s="114"/>
    </row>
    <row r="21" spans="1:27" ht="15" customHeight="1" thickBot="1" x14ac:dyDescent="0.45">
      <c r="A21" s="114"/>
      <c r="B21" s="188"/>
      <c r="C21" s="14" t="s">
        <v>47</v>
      </c>
      <c r="D21" s="108">
        <f>D3</f>
        <v>4</v>
      </c>
      <c r="E21" s="192"/>
      <c r="F21" s="192"/>
      <c r="G21" s="193"/>
      <c r="H21" s="188"/>
      <c r="I21" s="16" t="s">
        <v>47</v>
      </c>
      <c r="J21" s="59">
        <f>D43*D42/J16</f>
        <v>9.3405405405405411</v>
      </c>
      <c r="K21" s="192"/>
      <c r="L21" s="192"/>
      <c r="M21" s="193"/>
      <c r="N21" s="233"/>
      <c r="O21" s="19" t="s">
        <v>16</v>
      </c>
      <c r="P21" s="136">
        <f>P20/P17*100</f>
        <v>41.236559139784944</v>
      </c>
      <c r="Q21" s="235"/>
      <c r="R21" s="192"/>
      <c r="S21" s="193"/>
      <c r="T21" s="199"/>
      <c r="U21" s="22" t="s">
        <v>39</v>
      </c>
      <c r="V21" s="64">
        <v>2.6989999999999998</v>
      </c>
      <c r="W21" s="75" t="s">
        <v>28</v>
      </c>
      <c r="X21" s="76" t="s">
        <v>102</v>
      </c>
      <c r="Y21" s="77" t="s">
        <v>103</v>
      </c>
      <c r="Z21" s="74" t="s">
        <v>30</v>
      </c>
      <c r="AA21" s="114"/>
    </row>
    <row r="22" spans="1:27" ht="15" customHeight="1" x14ac:dyDescent="0.4">
      <c r="A22" s="114"/>
      <c r="B22" s="237" t="s">
        <v>15</v>
      </c>
      <c r="C22" s="13" t="s">
        <v>37</v>
      </c>
      <c r="D22" s="37">
        <f>D17-G11</f>
        <v>0.16738046469513168</v>
      </c>
      <c r="E22" s="192"/>
      <c r="F22" s="192"/>
      <c r="G22" s="193"/>
      <c r="H22" s="238" t="s">
        <v>15</v>
      </c>
      <c r="I22" s="49" t="s">
        <v>37</v>
      </c>
      <c r="J22" s="37">
        <f>J17-M11</f>
        <v>7.6942677708563556E-4</v>
      </c>
      <c r="K22" s="192"/>
      <c r="L22" s="192"/>
      <c r="M22" s="193"/>
      <c r="N22" s="204" t="s">
        <v>54</v>
      </c>
      <c r="O22" s="134" t="s">
        <v>44</v>
      </c>
      <c r="P22" s="135">
        <v>0</v>
      </c>
      <c r="Q22" s="235"/>
      <c r="R22" s="192"/>
      <c r="S22" s="193"/>
      <c r="T22" s="219" t="s">
        <v>78</v>
      </c>
      <c r="U22" s="22" t="s">
        <v>36</v>
      </c>
      <c r="V22" s="7">
        <v>100</v>
      </c>
      <c r="W22" s="183" t="s">
        <v>45</v>
      </c>
      <c r="X22" s="20" t="s">
        <v>0</v>
      </c>
      <c r="Y22" s="36">
        <f>D22</f>
        <v>0.16738046469513168</v>
      </c>
      <c r="Z22" s="10">
        <f>Y22*$Z$16</f>
        <v>0.18411851116464487</v>
      </c>
      <c r="AA22" s="114"/>
    </row>
    <row r="23" spans="1:27" ht="15" customHeight="1" x14ac:dyDescent="0.4">
      <c r="A23" s="114"/>
      <c r="B23" s="188"/>
      <c r="C23" s="14" t="s">
        <v>16</v>
      </c>
      <c r="D23" s="60">
        <f>D22/D17*100</f>
        <v>65.22807733785838</v>
      </c>
      <c r="E23" s="192"/>
      <c r="F23" s="192"/>
      <c r="G23" s="193"/>
      <c r="H23" s="188"/>
      <c r="I23" s="16" t="s">
        <v>16</v>
      </c>
      <c r="J23" s="60">
        <f>J22/J17*100</f>
        <v>0.40625774455896013</v>
      </c>
      <c r="K23" s="192"/>
      <c r="L23" s="192"/>
      <c r="M23" s="193"/>
      <c r="N23" s="231"/>
      <c r="O23" s="18" t="s">
        <v>55</v>
      </c>
      <c r="P23" s="54">
        <f>P13+P14</f>
        <v>116</v>
      </c>
      <c r="Q23" s="235"/>
      <c r="R23" s="192"/>
      <c r="S23" s="193"/>
      <c r="T23" s="198"/>
      <c r="U23" s="22" t="s">
        <v>37</v>
      </c>
      <c r="V23" s="10">
        <f>V17*V22/10000</f>
        <v>0.01</v>
      </c>
      <c r="W23" s="183"/>
      <c r="X23" s="20" t="s">
        <v>19</v>
      </c>
      <c r="Y23" s="36">
        <f>J22</f>
        <v>7.6942677708563556E-4</v>
      </c>
      <c r="Z23" s="10">
        <f t="shared" ref="Z23:Z25" si="2">Y23*$Z$16</f>
        <v>8.4636945479419918E-4</v>
      </c>
      <c r="AA23" s="114"/>
    </row>
    <row r="24" spans="1:27" ht="15" customHeight="1" x14ac:dyDescent="0.4">
      <c r="A24" s="114"/>
      <c r="B24" s="220" t="s">
        <v>104</v>
      </c>
      <c r="C24" s="14" t="s">
        <v>36</v>
      </c>
      <c r="D24" s="51">
        <v>12</v>
      </c>
      <c r="E24" s="192"/>
      <c r="F24" s="192"/>
      <c r="G24" s="193"/>
      <c r="H24" s="221" t="s">
        <v>105</v>
      </c>
      <c r="I24" s="16" t="s">
        <v>36</v>
      </c>
      <c r="J24" s="51">
        <v>8</v>
      </c>
      <c r="K24" s="192"/>
      <c r="L24" s="192"/>
      <c r="M24" s="193"/>
      <c r="N24" s="231"/>
      <c r="O24" s="18" t="s">
        <v>9</v>
      </c>
      <c r="P24" s="54">
        <f>P15</f>
        <v>40</v>
      </c>
      <c r="Q24" s="235"/>
      <c r="R24" s="192"/>
      <c r="S24" s="193"/>
      <c r="T24" s="198"/>
      <c r="U24" s="22" t="s">
        <v>10</v>
      </c>
      <c r="V24" s="10">
        <f>V23*V25</f>
        <v>8.9019999999999988E-2</v>
      </c>
      <c r="W24" s="183"/>
      <c r="X24" s="20" t="s">
        <v>26</v>
      </c>
      <c r="Y24" s="36">
        <f>P20</f>
        <v>3.8267526881720429E-2</v>
      </c>
      <c r="Z24" s="10">
        <f t="shared" si="2"/>
        <v>4.2094279569892472E-2</v>
      </c>
      <c r="AA24" s="114"/>
    </row>
    <row r="25" spans="1:27" ht="15" customHeight="1" thickBot="1" x14ac:dyDescent="0.45">
      <c r="A25" s="114"/>
      <c r="B25" s="220"/>
      <c r="C25" s="14" t="s">
        <v>17</v>
      </c>
      <c r="D25" s="52">
        <v>54</v>
      </c>
      <c r="E25" s="192"/>
      <c r="F25" s="192"/>
      <c r="G25" s="193"/>
      <c r="H25" s="221"/>
      <c r="I25" s="16" t="s">
        <v>17</v>
      </c>
      <c r="J25" s="52">
        <v>55.5</v>
      </c>
      <c r="K25" s="192"/>
      <c r="L25" s="192"/>
      <c r="M25" s="193"/>
      <c r="N25" s="231"/>
      <c r="O25" s="18" t="s">
        <v>40</v>
      </c>
      <c r="P25" s="53">
        <f>P23*P24/100</f>
        <v>46.4</v>
      </c>
      <c r="Q25" s="235"/>
      <c r="R25" s="192"/>
      <c r="S25" s="193"/>
      <c r="T25" s="198"/>
      <c r="U25" s="24" t="s">
        <v>39</v>
      </c>
      <c r="V25" s="65">
        <v>8.9019999999999992</v>
      </c>
      <c r="W25" s="183"/>
      <c r="X25" s="20" t="s">
        <v>54</v>
      </c>
      <c r="Y25" s="36">
        <f>P29</f>
        <v>1.0000000000000001E-5</v>
      </c>
      <c r="Z25" s="10">
        <f t="shared" si="2"/>
        <v>1.1000000000000001E-5</v>
      </c>
      <c r="AA25" s="114"/>
    </row>
    <row r="26" spans="1:27" ht="15" customHeight="1" thickBot="1" x14ac:dyDescent="0.45">
      <c r="A26" s="114"/>
      <c r="B26" s="220"/>
      <c r="C26" s="14" t="s">
        <v>9</v>
      </c>
      <c r="D26" s="52">
        <v>36</v>
      </c>
      <c r="E26" s="192"/>
      <c r="F26" s="192"/>
      <c r="G26" s="193"/>
      <c r="H26" s="221"/>
      <c r="I26" s="16" t="s">
        <v>9</v>
      </c>
      <c r="J26" s="52">
        <v>37.5</v>
      </c>
      <c r="K26" s="192"/>
      <c r="L26" s="192"/>
      <c r="M26" s="193"/>
      <c r="N26" s="231"/>
      <c r="O26" s="18" t="s">
        <v>37</v>
      </c>
      <c r="P26" s="36">
        <f>P22*P25/10000+0.00001</f>
        <v>1.0000000000000001E-5</v>
      </c>
      <c r="Q26" s="235"/>
      <c r="R26" s="192"/>
      <c r="S26" s="193"/>
      <c r="T26" s="222" t="s">
        <v>59</v>
      </c>
      <c r="U26" s="223"/>
      <c r="V26" s="224"/>
      <c r="W26" s="225" t="s">
        <v>56</v>
      </c>
      <c r="X26" s="79" t="str">
        <f>F6</f>
        <v>Binder</v>
      </c>
      <c r="Y26" s="57">
        <v>0</v>
      </c>
      <c r="Z26" s="10">
        <f>Y26*F10</f>
        <v>0</v>
      </c>
      <c r="AA26" s="114"/>
    </row>
    <row r="27" spans="1:27" ht="15" customHeight="1" x14ac:dyDescent="0.4">
      <c r="A27" s="114"/>
      <c r="B27" s="220"/>
      <c r="C27" s="14" t="s">
        <v>40</v>
      </c>
      <c r="D27" s="53">
        <f>D25*D26/100</f>
        <v>19.440000000000001</v>
      </c>
      <c r="E27" s="192"/>
      <c r="F27" s="192"/>
      <c r="G27" s="193"/>
      <c r="H27" s="221"/>
      <c r="I27" s="16" t="s">
        <v>40</v>
      </c>
      <c r="J27" s="53">
        <f>J25*J26/100</f>
        <v>20.8125</v>
      </c>
      <c r="K27" s="192"/>
      <c r="L27" s="192"/>
      <c r="M27" s="193"/>
      <c r="N27" s="231"/>
      <c r="O27" s="18" t="s">
        <v>10</v>
      </c>
      <c r="P27" s="36">
        <f>Q10+R10</f>
        <v>0</v>
      </c>
      <c r="Q27" s="235"/>
      <c r="R27" s="192"/>
      <c r="S27" s="193"/>
      <c r="T27" s="228" t="s">
        <v>83</v>
      </c>
      <c r="U27" s="46" t="s">
        <v>36</v>
      </c>
      <c r="V27" s="56">
        <v>88</v>
      </c>
      <c r="W27" s="226"/>
      <c r="X27" s="79" t="str">
        <f>K6</f>
        <v>Carbon 2</v>
      </c>
      <c r="Y27" s="57">
        <v>0</v>
      </c>
      <c r="Z27" s="10">
        <f>Y27*K10</f>
        <v>0</v>
      </c>
      <c r="AA27" s="114"/>
    </row>
    <row r="28" spans="1:27" ht="15" customHeight="1" x14ac:dyDescent="0.4">
      <c r="A28" s="114"/>
      <c r="B28" s="220"/>
      <c r="C28" s="14" t="s">
        <v>37</v>
      </c>
      <c r="D28" s="36">
        <f>D24*D27/10000</f>
        <v>2.3328000000000002E-2</v>
      </c>
      <c r="E28" s="192"/>
      <c r="F28" s="192"/>
      <c r="G28" s="193"/>
      <c r="H28" s="221"/>
      <c r="I28" s="16" t="s">
        <v>37</v>
      </c>
      <c r="J28" s="36">
        <f>J24*J27/10000</f>
        <v>1.6650000000000002E-2</v>
      </c>
      <c r="K28" s="192"/>
      <c r="L28" s="192"/>
      <c r="M28" s="193"/>
      <c r="N28" s="231"/>
      <c r="O28" s="18" t="s">
        <v>39</v>
      </c>
      <c r="P28" s="36">
        <f>P27/P26</f>
        <v>0</v>
      </c>
      <c r="Q28" s="235"/>
      <c r="R28" s="192"/>
      <c r="S28" s="193"/>
      <c r="T28" s="229"/>
      <c r="U28" s="47" t="s">
        <v>17</v>
      </c>
      <c r="V28" s="39">
        <f>(D47+D48+D49)*2</f>
        <v>144.494168</v>
      </c>
      <c r="W28" s="226"/>
      <c r="X28" s="79" t="str">
        <f>L6</f>
        <v>Binder 2</v>
      </c>
      <c r="Y28" s="57">
        <v>0</v>
      </c>
      <c r="Z28" s="10">
        <f>Y28*L10</f>
        <v>0</v>
      </c>
      <c r="AA28" s="114"/>
    </row>
    <row r="29" spans="1:27" ht="15" customHeight="1" x14ac:dyDescent="0.4">
      <c r="A29" s="114"/>
      <c r="B29" s="220"/>
      <c r="C29" s="14" t="s">
        <v>10</v>
      </c>
      <c r="D29" s="36">
        <f>D30*D28</f>
        <v>6.2962272E-2</v>
      </c>
      <c r="E29" s="192"/>
      <c r="F29" s="192"/>
      <c r="G29" s="193"/>
      <c r="H29" s="221"/>
      <c r="I29" s="16" t="s">
        <v>10</v>
      </c>
      <c r="J29" s="36">
        <f>J30*J28</f>
        <v>0.14918400000000004</v>
      </c>
      <c r="K29" s="192"/>
      <c r="L29" s="192"/>
      <c r="M29" s="193"/>
      <c r="N29" s="231" t="s">
        <v>15</v>
      </c>
      <c r="O29" s="18" t="s">
        <v>37</v>
      </c>
      <c r="P29" s="36">
        <f>P26-(Q11+R11)</f>
        <v>1.0000000000000001E-5</v>
      </c>
      <c r="Q29" s="235"/>
      <c r="R29" s="192"/>
      <c r="S29" s="193"/>
      <c r="T29" s="229"/>
      <c r="U29" s="47" t="s">
        <v>9</v>
      </c>
      <c r="V29" s="39">
        <f>D47+D50</f>
        <v>43.747084000000001</v>
      </c>
      <c r="W29" s="226"/>
      <c r="X29" s="79" t="str">
        <f>Q7</f>
        <v>Name 1</v>
      </c>
      <c r="Y29" s="57">
        <v>0</v>
      </c>
      <c r="Z29" s="10">
        <f>Y30*Q10</f>
        <v>0</v>
      </c>
      <c r="AA29" s="114"/>
    </row>
    <row r="30" spans="1:27" ht="15" customHeight="1" x14ac:dyDescent="0.4">
      <c r="A30" s="114"/>
      <c r="B30" s="220"/>
      <c r="C30" s="14" t="s">
        <v>39</v>
      </c>
      <c r="D30" s="57">
        <v>2.6989999999999998</v>
      </c>
      <c r="E30" s="192"/>
      <c r="F30" s="192"/>
      <c r="G30" s="193"/>
      <c r="H30" s="221"/>
      <c r="I30" s="16" t="s">
        <v>39</v>
      </c>
      <c r="J30" s="57">
        <v>8.9600000000000009</v>
      </c>
      <c r="K30" s="192"/>
      <c r="L30" s="192"/>
      <c r="M30" s="193"/>
      <c r="N30" s="231"/>
      <c r="O30" s="18" t="s">
        <v>16</v>
      </c>
      <c r="P30" s="60">
        <f>P29/P26*100</f>
        <v>100</v>
      </c>
      <c r="Q30" s="235"/>
      <c r="R30" s="192"/>
      <c r="S30" s="193"/>
      <c r="T30" s="229"/>
      <c r="U30" s="47" t="s">
        <v>40</v>
      </c>
      <c r="V30" s="25">
        <f>V28*V29/100</f>
        <v>63.211985050061124</v>
      </c>
      <c r="W30" s="227"/>
      <c r="X30" s="79" t="str">
        <f>R7</f>
        <v>Name 2</v>
      </c>
      <c r="Y30" s="57">
        <v>0</v>
      </c>
      <c r="Z30" s="10">
        <f>Y31*R10</f>
        <v>0</v>
      </c>
      <c r="AA30" s="114"/>
    </row>
    <row r="31" spans="1:27" ht="15" customHeight="1" x14ac:dyDescent="0.4">
      <c r="A31" s="114"/>
      <c r="B31" s="186" t="s">
        <v>1</v>
      </c>
      <c r="C31" s="14" t="s">
        <v>6</v>
      </c>
      <c r="D31" s="53">
        <f>D12*2+D24</f>
        <v>144</v>
      </c>
      <c r="E31" s="192"/>
      <c r="F31" s="192"/>
      <c r="G31" s="193"/>
      <c r="H31" s="196" t="s">
        <v>1</v>
      </c>
      <c r="I31" s="16" t="s">
        <v>6</v>
      </c>
      <c r="J31" s="53">
        <f>J12*2+J24</f>
        <v>99</v>
      </c>
      <c r="K31" s="192"/>
      <c r="L31" s="192"/>
      <c r="M31" s="193"/>
      <c r="N31" s="231" t="s">
        <v>89</v>
      </c>
      <c r="O31" s="18" t="s">
        <v>6</v>
      </c>
      <c r="P31" s="53">
        <f>P12+P22</f>
        <v>20</v>
      </c>
      <c r="Q31" s="235"/>
      <c r="R31" s="192"/>
      <c r="S31" s="193"/>
      <c r="T31" s="229"/>
      <c r="U31" s="47" t="s">
        <v>37</v>
      </c>
      <c r="V31" s="10">
        <f>V27*V30/10000</f>
        <v>0.55626546844053792</v>
      </c>
      <c r="W31" s="225" t="s">
        <v>100</v>
      </c>
      <c r="X31" s="20" t="s">
        <v>0</v>
      </c>
      <c r="Y31" s="57">
        <v>0</v>
      </c>
      <c r="Z31" s="10">
        <f>Y31*D16/1000</f>
        <v>0</v>
      </c>
      <c r="AA31" s="114"/>
    </row>
    <row r="32" spans="1:27" ht="15" customHeight="1" x14ac:dyDescent="0.4">
      <c r="A32" s="114"/>
      <c r="B32" s="187"/>
      <c r="C32" s="14" t="s">
        <v>37</v>
      </c>
      <c r="D32" s="36">
        <f>D17+D28</f>
        <v>0.27993600000000007</v>
      </c>
      <c r="E32" s="192"/>
      <c r="F32" s="192"/>
      <c r="G32" s="193"/>
      <c r="H32" s="187"/>
      <c r="I32" s="16" t="s">
        <v>37</v>
      </c>
      <c r="J32" s="36">
        <f>J17+J28</f>
        <v>0.20604375</v>
      </c>
      <c r="K32" s="192"/>
      <c r="L32" s="192"/>
      <c r="M32" s="193"/>
      <c r="N32" s="231"/>
      <c r="O32" s="18" t="s">
        <v>37</v>
      </c>
      <c r="P32" s="36">
        <f>P17+P26</f>
        <v>9.280999999999999E-2</v>
      </c>
      <c r="Q32" s="235"/>
      <c r="R32" s="192"/>
      <c r="S32" s="193"/>
      <c r="T32" s="229"/>
      <c r="U32" s="47" t="s">
        <v>10</v>
      </c>
      <c r="V32" s="10">
        <f>V30*V33/1000</f>
        <v>0.91973438247838946</v>
      </c>
      <c r="W32" s="188"/>
      <c r="X32" s="20" t="s">
        <v>19</v>
      </c>
      <c r="Y32" s="57">
        <v>0</v>
      </c>
      <c r="Z32" s="10">
        <f>Y32*J16/1000</f>
        <v>0</v>
      </c>
      <c r="AA32" s="114"/>
    </row>
    <row r="33" spans="1:27" ht="15" customHeight="1" thickBot="1" x14ac:dyDescent="0.45">
      <c r="A33" s="114"/>
      <c r="B33" s="232"/>
      <c r="C33" s="15" t="s">
        <v>10</v>
      </c>
      <c r="D33" s="12">
        <f>D18+D29</f>
        <v>0.22905933283390295</v>
      </c>
      <c r="E33" s="194"/>
      <c r="F33" s="194"/>
      <c r="G33" s="195"/>
      <c r="H33" s="232"/>
      <c r="I33" s="17" t="s">
        <v>10</v>
      </c>
      <c r="J33" s="12">
        <f>J18+J29</f>
        <v>0.24990938860103631</v>
      </c>
      <c r="K33" s="194"/>
      <c r="L33" s="194"/>
      <c r="M33" s="195"/>
      <c r="N33" s="233"/>
      <c r="O33" s="19" t="s">
        <v>10</v>
      </c>
      <c r="P33" s="12">
        <f>P18+P27</f>
        <v>5.0715199999999995E-2</v>
      </c>
      <c r="Q33" s="236"/>
      <c r="R33" s="194"/>
      <c r="S33" s="195"/>
      <c r="T33" s="230"/>
      <c r="U33" s="48" t="s">
        <v>43</v>
      </c>
      <c r="V33" s="83">
        <v>14.55</v>
      </c>
      <c r="W33" s="23" t="s">
        <v>46</v>
      </c>
      <c r="X33" s="21" t="s">
        <v>29</v>
      </c>
      <c r="Y33" s="113">
        <f>Z33/Z16</f>
        <v>0.1470271271006077</v>
      </c>
      <c r="Z33" s="38">
        <f>Z18-SUM(Z22:Z32)</f>
        <v>0.16172983981066849</v>
      </c>
      <c r="AA33" s="114"/>
    </row>
    <row r="34" spans="1:27" ht="15" customHeight="1" thickBot="1" x14ac:dyDescent="0.45">
      <c r="A34" s="114"/>
      <c r="B34" s="114"/>
      <c r="C34" s="114"/>
      <c r="D34" s="115"/>
      <c r="E34" s="115"/>
      <c r="F34" s="115"/>
      <c r="G34" s="115"/>
      <c r="H34" s="114"/>
      <c r="I34" s="114"/>
      <c r="J34" s="115"/>
      <c r="K34" s="115"/>
      <c r="L34" s="115"/>
      <c r="M34" s="115"/>
      <c r="N34" s="127"/>
      <c r="O34" s="127"/>
      <c r="P34" s="128"/>
      <c r="Q34" s="115"/>
      <c r="R34" s="115"/>
      <c r="S34" s="115"/>
      <c r="T34" s="129"/>
      <c r="U34" s="129"/>
      <c r="V34" s="129"/>
      <c r="W34" s="130"/>
      <c r="X34" s="130"/>
      <c r="Y34" s="130"/>
      <c r="Z34" s="130"/>
      <c r="AA34" s="114"/>
    </row>
    <row r="35" spans="1:27" ht="15" customHeight="1" thickBot="1" x14ac:dyDescent="0.45">
      <c r="A35" s="114"/>
      <c r="B35" s="247" t="s">
        <v>31</v>
      </c>
      <c r="C35" s="248"/>
      <c r="D35" s="248"/>
      <c r="E35" s="248"/>
      <c r="F35" s="248"/>
      <c r="G35" s="249"/>
      <c r="H35" s="129"/>
      <c r="I35" s="88" t="s">
        <v>3</v>
      </c>
      <c r="J35" s="89" t="s">
        <v>30</v>
      </c>
      <c r="K35" s="90" t="s">
        <v>72</v>
      </c>
      <c r="L35" s="91" t="s">
        <v>71</v>
      </c>
      <c r="M35" s="90" t="s">
        <v>73</v>
      </c>
      <c r="N35" s="114"/>
      <c r="O35" s="114"/>
      <c r="P35" s="115"/>
      <c r="Q35" s="115"/>
      <c r="R35" s="115"/>
      <c r="S35" s="115"/>
      <c r="T35" s="129"/>
      <c r="U35" s="129"/>
      <c r="V35" s="129"/>
      <c r="W35" s="114"/>
      <c r="X35" s="114"/>
      <c r="Y35" s="114"/>
      <c r="Z35" s="114"/>
      <c r="AA35" s="114"/>
    </row>
    <row r="36" spans="1:27" ht="15" customHeight="1" x14ac:dyDescent="0.4">
      <c r="A36" s="114"/>
      <c r="B36" s="250" t="s">
        <v>33</v>
      </c>
      <c r="C36" s="31" t="s">
        <v>36</v>
      </c>
      <c r="D36" s="45">
        <f>D31+J31+P31*2</f>
        <v>283</v>
      </c>
      <c r="E36" s="253"/>
      <c r="F36" s="254"/>
      <c r="G36" s="255"/>
      <c r="H36" s="131"/>
      <c r="I36" s="92" t="str">
        <f>D6</f>
        <v>S</v>
      </c>
      <c r="J36" s="93">
        <f>D10*$D$44</f>
        <v>0.81387559808612453</v>
      </c>
      <c r="K36" s="94">
        <f t="shared" ref="K36:K50" si="3">J36/$J$51*100</f>
        <v>10.758981601286052</v>
      </c>
      <c r="L36" s="95">
        <f>D11*$D$44</f>
        <v>0.39317661743291044</v>
      </c>
      <c r="M36" s="94">
        <f t="shared" ref="M36:M50" si="4">L36/$L$51*100</f>
        <v>6.9128646791644348</v>
      </c>
      <c r="N36" s="132"/>
      <c r="O36" s="114"/>
      <c r="P36" s="115"/>
      <c r="Q36" s="115"/>
      <c r="R36" s="115"/>
      <c r="S36" s="115"/>
      <c r="T36" s="129"/>
      <c r="U36" s="129"/>
      <c r="V36" s="129"/>
      <c r="W36" s="114"/>
      <c r="X36" s="114"/>
      <c r="Y36" s="114"/>
      <c r="Z36" s="114"/>
      <c r="AA36" s="114"/>
    </row>
    <row r="37" spans="1:27" ht="15" customHeight="1" x14ac:dyDescent="0.4">
      <c r="A37" s="114"/>
      <c r="B37" s="251"/>
      <c r="C37" s="32" t="s">
        <v>17</v>
      </c>
      <c r="D37" s="39">
        <f>P13</f>
        <v>58</v>
      </c>
      <c r="E37" s="256"/>
      <c r="F37" s="257"/>
      <c r="G37" s="258"/>
      <c r="H37" s="129"/>
      <c r="I37" s="96" t="str">
        <f>E6</f>
        <v>Carbon</v>
      </c>
      <c r="J37" s="97">
        <f>E10*$D$44</f>
        <v>0.23253588516746415</v>
      </c>
      <c r="K37" s="39">
        <f t="shared" si="3"/>
        <v>3.0739947432245862</v>
      </c>
      <c r="L37" s="98">
        <f>E11*$D$44</f>
        <v>0.16609706083390299</v>
      </c>
      <c r="M37" s="39">
        <f t="shared" si="4"/>
        <v>2.9203326297694661</v>
      </c>
      <c r="N37" s="132"/>
      <c r="O37" s="114"/>
      <c r="P37" s="115"/>
      <c r="Q37" s="115"/>
      <c r="R37" s="115"/>
      <c r="S37" s="115"/>
      <c r="T37" s="129"/>
      <c r="U37" s="129"/>
      <c r="V37" s="129"/>
      <c r="W37" s="114"/>
      <c r="X37" s="114"/>
      <c r="Y37" s="114"/>
      <c r="Z37" s="114"/>
      <c r="AA37" s="114"/>
    </row>
    <row r="38" spans="1:27" ht="15" customHeight="1" x14ac:dyDescent="0.4">
      <c r="A38" s="114"/>
      <c r="B38" s="251"/>
      <c r="C38" s="32" t="s">
        <v>9</v>
      </c>
      <c r="D38" s="39">
        <f>P15</f>
        <v>40</v>
      </c>
      <c r="E38" s="256"/>
      <c r="F38" s="257"/>
      <c r="G38" s="258"/>
      <c r="H38" s="129"/>
      <c r="I38" s="96" t="str">
        <f>F6</f>
        <v>Binder</v>
      </c>
      <c r="J38" s="97">
        <f>F10*$D$44</f>
        <v>0.11626794258373208</v>
      </c>
      <c r="K38" s="39">
        <f t="shared" si="3"/>
        <v>1.5369973716122931</v>
      </c>
      <c r="L38" s="98">
        <f>F11*$D$44</f>
        <v>6.5319068867265212E-2</v>
      </c>
      <c r="M38" s="39">
        <f t="shared" si="4"/>
        <v>1.148445416201475</v>
      </c>
      <c r="N38" s="132"/>
      <c r="O38" s="114"/>
      <c r="P38" s="115"/>
      <c r="Q38" s="115"/>
      <c r="R38" s="115"/>
      <c r="S38" s="115"/>
      <c r="T38" s="129"/>
      <c r="U38" s="129"/>
      <c r="V38" s="129"/>
      <c r="W38" s="114"/>
      <c r="X38" s="114"/>
      <c r="Y38" s="114"/>
      <c r="Z38" s="114"/>
      <c r="AA38" s="114"/>
    </row>
    <row r="39" spans="1:27" ht="15" customHeight="1" x14ac:dyDescent="0.4">
      <c r="A39" s="114"/>
      <c r="B39" s="251"/>
      <c r="C39" s="32" t="s">
        <v>40</v>
      </c>
      <c r="D39" s="25">
        <f>D37*D38/100</f>
        <v>23.2</v>
      </c>
      <c r="E39" s="256"/>
      <c r="F39" s="257"/>
      <c r="G39" s="258"/>
      <c r="H39" s="129"/>
      <c r="I39" s="99" t="str">
        <f>B24</f>
        <v>Substrate (Al)</v>
      </c>
      <c r="J39" s="97">
        <f>D29*($D$44+1)</f>
        <v>0.503698176</v>
      </c>
      <c r="K39" s="39">
        <f t="shared" si="3"/>
        <v>6.6586090318091511</v>
      </c>
      <c r="L39" s="98">
        <f>D28*($D$44+1)</f>
        <v>0.18662400000000001</v>
      </c>
      <c r="M39" s="39">
        <f t="shared" si="4"/>
        <v>3.2812390174868944</v>
      </c>
      <c r="N39" s="132"/>
      <c r="O39" s="114"/>
      <c r="P39" s="115"/>
      <c r="Q39" s="115"/>
      <c r="R39" s="115"/>
      <c r="S39" s="115"/>
      <c r="T39" s="129"/>
      <c r="U39" s="129"/>
      <c r="V39" s="129"/>
      <c r="W39" s="114"/>
      <c r="X39" s="114"/>
      <c r="Y39" s="114"/>
      <c r="Z39" s="114"/>
      <c r="AA39" s="114"/>
    </row>
    <row r="40" spans="1:27" ht="15" customHeight="1" x14ac:dyDescent="0.4">
      <c r="A40" s="114"/>
      <c r="B40" s="251"/>
      <c r="C40" s="32" t="s">
        <v>37</v>
      </c>
      <c r="D40" s="39">
        <f>D32+J32+P32+V10+V13+Z19</f>
        <v>0.93320429545454553</v>
      </c>
      <c r="E40" s="256"/>
      <c r="F40" s="257"/>
      <c r="G40" s="258"/>
      <c r="H40" s="131"/>
      <c r="I40" s="96" t="str">
        <f>J6</f>
        <v>Li</v>
      </c>
      <c r="J40" s="97">
        <f>J10*$D$44</f>
        <v>0.7050777202072539</v>
      </c>
      <c r="K40" s="39">
        <f t="shared" si="3"/>
        <v>9.3207343198706099</v>
      </c>
      <c r="L40" s="98">
        <f>J11*$D$44</f>
        <v>1.3203702625604006</v>
      </c>
      <c r="M40" s="39">
        <f t="shared" si="4"/>
        <v>23.214862091920661</v>
      </c>
      <c r="N40" s="132"/>
      <c r="O40" s="114"/>
      <c r="P40" s="115"/>
      <c r="Q40" s="115"/>
      <c r="R40" s="115"/>
      <c r="S40" s="115"/>
      <c r="T40" s="129"/>
      <c r="U40" s="129"/>
      <c r="V40" s="129"/>
      <c r="W40" s="114"/>
      <c r="X40" s="114"/>
      <c r="Y40" s="114"/>
      <c r="Z40" s="114"/>
      <c r="AA40" s="114"/>
    </row>
    <row r="41" spans="1:27" ht="15" customHeight="1" x14ac:dyDescent="0.4">
      <c r="A41" s="114"/>
      <c r="B41" s="251"/>
      <c r="C41" s="32" t="s">
        <v>10</v>
      </c>
      <c r="D41" s="39">
        <f>D33+J33+P33+V11+V14+Z18</f>
        <v>0.92347918543493923</v>
      </c>
      <c r="E41" s="256"/>
      <c r="F41" s="257"/>
      <c r="G41" s="258"/>
      <c r="H41" s="129"/>
      <c r="I41" s="96" t="str">
        <f>K6</f>
        <v>Carbon 2</v>
      </c>
      <c r="J41" s="97">
        <f>K10*$D$44</f>
        <v>0</v>
      </c>
      <c r="K41" s="39">
        <f t="shared" si="3"/>
        <v>0</v>
      </c>
      <c r="L41" s="98">
        <f>K11*$D$44</f>
        <v>0</v>
      </c>
      <c r="M41" s="39">
        <f t="shared" si="4"/>
        <v>0</v>
      </c>
      <c r="N41" s="132"/>
      <c r="O41" s="114"/>
      <c r="P41" s="115"/>
      <c r="Q41" s="115"/>
      <c r="R41" s="115"/>
      <c r="S41" s="115"/>
      <c r="T41" s="129"/>
      <c r="U41" s="129"/>
      <c r="V41" s="129"/>
      <c r="W41" s="114"/>
      <c r="X41" s="114"/>
      <c r="Y41" s="114"/>
      <c r="Z41" s="114"/>
      <c r="AA41" s="114"/>
    </row>
    <row r="42" spans="1:27" ht="15" customHeight="1" x14ac:dyDescent="0.4">
      <c r="A42" s="114"/>
      <c r="B42" s="251"/>
      <c r="C42" s="32" t="s">
        <v>50</v>
      </c>
      <c r="D42" s="109">
        <f>E3</f>
        <v>2.5</v>
      </c>
      <c r="E42" s="256"/>
      <c r="F42" s="257"/>
      <c r="G42" s="258"/>
      <c r="H42" s="129"/>
      <c r="I42" s="96" t="str">
        <f>L6</f>
        <v>Binder 2</v>
      </c>
      <c r="J42" s="97">
        <f>L10*$D$44</f>
        <v>0</v>
      </c>
      <c r="K42" s="39">
        <f t="shared" si="3"/>
        <v>0</v>
      </c>
      <c r="L42" s="98">
        <f>L11*$D$44</f>
        <v>0</v>
      </c>
      <c r="M42" s="39">
        <f t="shared" si="4"/>
        <v>0</v>
      </c>
      <c r="N42" s="132"/>
      <c r="O42" s="114"/>
      <c r="P42" s="115"/>
      <c r="Q42" s="115"/>
      <c r="R42" s="115"/>
      <c r="S42" s="115"/>
      <c r="T42" s="129"/>
      <c r="U42" s="129"/>
      <c r="V42" s="129"/>
      <c r="W42" s="114"/>
      <c r="X42" s="114"/>
      <c r="Y42" s="114"/>
      <c r="Z42" s="114"/>
      <c r="AA42" s="114"/>
    </row>
    <row r="43" spans="1:27" ht="15" customHeight="1" thickBot="1" x14ac:dyDescent="0.45">
      <c r="A43" s="114"/>
      <c r="B43" s="252"/>
      <c r="C43" s="33" t="s">
        <v>13</v>
      </c>
      <c r="D43" s="84">
        <f>D16*D21</f>
        <v>155.52000000000001</v>
      </c>
      <c r="E43" s="256"/>
      <c r="F43" s="257"/>
      <c r="G43" s="258"/>
      <c r="H43" s="129"/>
      <c r="I43" s="99" t="str">
        <f>H24</f>
        <v>Substrate  (Cu)</v>
      </c>
      <c r="J43" s="97">
        <f>J29*$D$44</f>
        <v>1.0442880000000003</v>
      </c>
      <c r="K43" s="39">
        <f t="shared" si="3"/>
        <v>13.804905079922142</v>
      </c>
      <c r="L43" s="98">
        <f>J28*$D$44</f>
        <v>0.11655000000000001</v>
      </c>
      <c r="M43" s="39">
        <f t="shared" si="4"/>
        <v>2.0491919982858451</v>
      </c>
      <c r="N43" s="132"/>
      <c r="O43" s="114"/>
      <c r="P43" s="115"/>
      <c r="Q43" s="115"/>
      <c r="R43" s="115"/>
      <c r="S43" s="115"/>
      <c r="T43" s="129"/>
      <c r="U43" s="129"/>
      <c r="V43" s="129"/>
      <c r="W43" s="114"/>
      <c r="X43" s="114"/>
      <c r="Y43" s="114"/>
      <c r="Z43" s="114"/>
      <c r="AA43" s="114"/>
    </row>
    <row r="44" spans="1:27" ht="15" customHeight="1" x14ac:dyDescent="0.4">
      <c r="A44" s="114"/>
      <c r="B44" s="250" t="s">
        <v>32</v>
      </c>
      <c r="C44" s="34" t="s">
        <v>85</v>
      </c>
      <c r="D44" s="111">
        <f>G3</f>
        <v>7</v>
      </c>
      <c r="E44" s="253"/>
      <c r="F44" s="260"/>
      <c r="G44" s="261"/>
      <c r="H44" s="131"/>
      <c r="I44" s="96" t="str">
        <f>P7</f>
        <v>PE</v>
      </c>
      <c r="J44" s="97">
        <f>P10*$D$44</f>
        <v>0.35500639999999994</v>
      </c>
      <c r="K44" s="39">
        <f t="shared" si="3"/>
        <v>4.6929866615003419</v>
      </c>
      <c r="L44" s="98">
        <f>P11*$D$44</f>
        <v>0.38172731182795694</v>
      </c>
      <c r="M44" s="39">
        <f t="shared" si="4"/>
        <v>6.711562015658644</v>
      </c>
      <c r="N44" s="132"/>
      <c r="O44" s="114"/>
      <c r="P44" s="115"/>
      <c r="Q44" s="115"/>
      <c r="R44" s="115"/>
      <c r="S44" s="115"/>
      <c r="T44" s="114"/>
      <c r="U44" s="114"/>
      <c r="V44" s="114"/>
      <c r="W44" s="114"/>
      <c r="X44" s="114"/>
      <c r="Y44" s="114"/>
      <c r="Z44" s="114"/>
      <c r="AA44" s="114"/>
    </row>
    <row r="45" spans="1:27" ht="15" customHeight="1" x14ac:dyDescent="0.4">
      <c r="A45" s="114"/>
      <c r="B45" s="226"/>
      <c r="C45" s="32" t="s">
        <v>6</v>
      </c>
      <c r="D45" s="10">
        <f>(D36*D44+D24+V27*2)/1000</f>
        <v>2.169</v>
      </c>
      <c r="E45" s="262"/>
      <c r="F45" s="263"/>
      <c r="G45" s="264"/>
      <c r="H45" s="129"/>
      <c r="I45" s="96" t="str">
        <f>Q7</f>
        <v>Name 1</v>
      </c>
      <c r="J45" s="97">
        <f>Q10*$D$44</f>
        <v>0</v>
      </c>
      <c r="K45" s="39">
        <f t="shared" si="3"/>
        <v>0</v>
      </c>
      <c r="L45" s="98">
        <f>Q11*$D$44</f>
        <v>0</v>
      </c>
      <c r="M45" s="39">
        <f t="shared" si="4"/>
        <v>0</v>
      </c>
      <c r="N45" s="132"/>
      <c r="O45" s="114"/>
      <c r="P45" s="115"/>
      <c r="Q45" s="115"/>
      <c r="R45" s="115"/>
      <c r="S45" s="115"/>
      <c r="T45" s="114"/>
      <c r="U45" s="114"/>
      <c r="V45" s="114"/>
      <c r="W45" s="114"/>
      <c r="X45" s="114"/>
      <c r="Y45" s="114"/>
      <c r="Z45" s="114"/>
      <c r="AA45" s="114"/>
    </row>
    <row r="46" spans="1:27" ht="15" customHeight="1" x14ac:dyDescent="0.4">
      <c r="A46" s="114"/>
      <c r="B46" s="226"/>
      <c r="C46" s="32" t="s">
        <v>68</v>
      </c>
      <c r="D46" s="39">
        <f>J3</f>
        <v>3.6</v>
      </c>
      <c r="E46" s="262"/>
      <c r="F46" s="263"/>
      <c r="G46" s="264"/>
      <c r="H46" s="129"/>
      <c r="I46" s="96" t="str">
        <f>R7</f>
        <v>Name 2</v>
      </c>
      <c r="J46" s="97">
        <f>R10*$D$44</f>
        <v>0</v>
      </c>
      <c r="K46" s="39">
        <f t="shared" si="3"/>
        <v>0</v>
      </c>
      <c r="L46" s="98">
        <f>R11*$D$44</f>
        <v>0</v>
      </c>
      <c r="M46" s="39">
        <f t="shared" si="4"/>
        <v>0</v>
      </c>
      <c r="N46" s="132"/>
      <c r="O46" s="114"/>
      <c r="P46" s="115"/>
      <c r="Q46" s="115"/>
      <c r="R46" s="115"/>
      <c r="S46" s="115"/>
      <c r="T46" s="114"/>
      <c r="U46" s="114"/>
      <c r="V46" s="114"/>
      <c r="W46" s="114"/>
      <c r="X46" s="114"/>
      <c r="Y46" s="114"/>
      <c r="Z46" s="114"/>
      <c r="AA46" s="114"/>
    </row>
    <row r="47" spans="1:27" ht="15" customHeight="1" x14ac:dyDescent="0.4">
      <c r="A47" s="114"/>
      <c r="B47" s="226"/>
      <c r="C47" s="32" t="s">
        <v>67</v>
      </c>
      <c r="D47" s="10">
        <f>D45*(1+D46/100)</f>
        <v>2.2470840000000001</v>
      </c>
      <c r="E47" s="262"/>
      <c r="F47" s="263"/>
      <c r="G47" s="264"/>
      <c r="H47" s="129"/>
      <c r="I47" s="96" t="s">
        <v>28</v>
      </c>
      <c r="J47" s="97">
        <f>Z18*$D$44</f>
        <v>2.7216000000000005</v>
      </c>
      <c r="K47" s="39">
        <f t="shared" si="3"/>
        <v>35.978034474700557</v>
      </c>
      <c r="L47" s="98">
        <f>Z19*$D$44</f>
        <v>2.474181818181818</v>
      </c>
      <c r="M47" s="39">
        <f t="shared" si="4"/>
        <v>43.501274853045949</v>
      </c>
      <c r="N47" s="132"/>
      <c r="O47" s="114"/>
      <c r="P47" s="115"/>
      <c r="Q47" s="115"/>
      <c r="R47" s="115"/>
      <c r="S47" s="115"/>
      <c r="T47" s="114"/>
      <c r="U47" s="114"/>
      <c r="V47" s="114"/>
      <c r="W47" s="114"/>
      <c r="X47" s="114"/>
      <c r="Y47" s="114"/>
      <c r="Z47" s="114"/>
      <c r="AA47" s="114"/>
    </row>
    <row r="48" spans="1:27" ht="15" customHeight="1" x14ac:dyDescent="0.4">
      <c r="A48" s="114"/>
      <c r="B48" s="226"/>
      <c r="C48" s="32" t="s">
        <v>96</v>
      </c>
      <c r="D48" s="40">
        <v>60</v>
      </c>
      <c r="E48" s="262"/>
      <c r="F48" s="263"/>
      <c r="G48" s="264"/>
      <c r="H48" s="129"/>
      <c r="I48" s="96" t="s">
        <v>70</v>
      </c>
      <c r="J48" s="97">
        <f>(V11+V14)*$D$44+V11</f>
        <v>3.6521471999999999E-2</v>
      </c>
      <c r="K48" s="39">
        <f t="shared" si="3"/>
        <v>0.48279349598868715</v>
      </c>
      <c r="L48" s="98">
        <f>(V10+V13)*$D$44+V10</f>
        <v>7.2960000000000004E-3</v>
      </c>
      <c r="M48" s="39">
        <f t="shared" si="4"/>
        <v>0.12827889163014608</v>
      </c>
      <c r="N48" s="132"/>
      <c r="O48" s="114"/>
      <c r="P48" s="115"/>
      <c r="Q48" s="115"/>
      <c r="R48" s="115"/>
      <c r="S48" s="115"/>
      <c r="T48" s="114"/>
      <c r="U48" s="114"/>
      <c r="V48" s="114"/>
      <c r="W48" s="114"/>
      <c r="X48" s="114"/>
      <c r="Y48" s="114"/>
      <c r="Z48" s="114"/>
      <c r="AA48" s="114"/>
    </row>
    <row r="49" spans="1:27" ht="15" customHeight="1" x14ac:dyDescent="0.4">
      <c r="A49" s="114"/>
      <c r="B49" s="226"/>
      <c r="C49" s="32" t="s">
        <v>97</v>
      </c>
      <c r="D49" s="40">
        <v>10</v>
      </c>
      <c r="E49" s="262"/>
      <c r="F49" s="263"/>
      <c r="G49" s="264"/>
      <c r="H49" s="129"/>
      <c r="I49" s="96" t="s">
        <v>79</v>
      </c>
      <c r="J49" s="97">
        <f>V20+V24</f>
        <v>0.11600999999999999</v>
      </c>
      <c r="K49" s="39">
        <f t="shared" si="3"/>
        <v>1.5335875144804565</v>
      </c>
      <c r="L49" s="98">
        <f>V19+V23</f>
        <v>0.02</v>
      </c>
      <c r="M49" s="39">
        <f t="shared" si="4"/>
        <v>0.35164169854754956</v>
      </c>
      <c r="N49" s="132"/>
      <c r="O49" s="114"/>
      <c r="P49" s="115"/>
      <c r="Q49" s="115"/>
      <c r="R49" s="115"/>
      <c r="S49" s="115"/>
      <c r="T49" s="114"/>
      <c r="U49" s="114"/>
      <c r="V49" s="114"/>
      <c r="W49" s="114"/>
      <c r="X49" s="114"/>
      <c r="Y49" s="114"/>
      <c r="Z49" s="114"/>
      <c r="AA49" s="114"/>
    </row>
    <row r="50" spans="1:27" ht="15" customHeight="1" thickBot="1" x14ac:dyDescent="0.45">
      <c r="A50" s="114"/>
      <c r="B50" s="226"/>
      <c r="C50" s="32" t="s">
        <v>9</v>
      </c>
      <c r="D50" s="40">
        <v>41.5</v>
      </c>
      <c r="E50" s="262"/>
      <c r="F50" s="263"/>
      <c r="G50" s="264"/>
      <c r="H50" s="129"/>
      <c r="I50" s="100" t="s">
        <v>59</v>
      </c>
      <c r="J50" s="101">
        <f>V32</f>
        <v>0.91973438247838946</v>
      </c>
      <c r="K50" s="84">
        <f t="shared" si="3"/>
        <v>12.158375705605129</v>
      </c>
      <c r="L50" s="102">
        <f>V31</f>
        <v>0.55626546844053792</v>
      </c>
      <c r="M50" s="84">
        <f t="shared" si="4"/>
        <v>9.7803067082889541</v>
      </c>
      <c r="N50" s="132"/>
      <c r="O50" s="114"/>
      <c r="P50" s="115"/>
      <c r="Q50" s="115"/>
      <c r="R50" s="115"/>
      <c r="S50" s="115"/>
      <c r="T50" s="114"/>
      <c r="U50" s="114"/>
      <c r="V50" s="114"/>
      <c r="W50" s="114"/>
      <c r="X50" s="114"/>
      <c r="Y50" s="114"/>
      <c r="Z50" s="114"/>
      <c r="AA50" s="114"/>
    </row>
    <row r="51" spans="1:27" ht="15" customHeight="1" thickBot="1" x14ac:dyDescent="0.45">
      <c r="A51" s="114"/>
      <c r="B51" s="226"/>
      <c r="C51" s="32" t="s">
        <v>40</v>
      </c>
      <c r="D51" s="25">
        <f>D48*D50/100</f>
        <v>24.9</v>
      </c>
      <c r="E51" s="262"/>
      <c r="F51" s="263"/>
      <c r="G51" s="264"/>
      <c r="H51" s="129"/>
      <c r="I51" s="103" t="s">
        <v>12</v>
      </c>
      <c r="J51" s="104">
        <f>SUM(J36:J50)</f>
        <v>7.5646155765229643</v>
      </c>
      <c r="K51" s="105">
        <f>SUM(K36:K50)</f>
        <v>100.00000000000001</v>
      </c>
      <c r="L51" s="106">
        <f>SUM(L36:L50)</f>
        <v>5.6876076081447913</v>
      </c>
      <c r="M51" s="105">
        <f>SUM(M36:M50)</f>
        <v>100.00000000000003</v>
      </c>
      <c r="N51" s="114"/>
      <c r="O51" s="114"/>
      <c r="P51" s="115"/>
      <c r="Q51" s="115"/>
      <c r="R51" s="115"/>
      <c r="S51" s="115"/>
      <c r="T51" s="114"/>
      <c r="U51" s="114"/>
      <c r="V51" s="114"/>
      <c r="W51" s="114"/>
      <c r="X51" s="114"/>
      <c r="Y51" s="114"/>
      <c r="Z51" s="114"/>
      <c r="AA51" s="114"/>
    </row>
    <row r="52" spans="1:27" ht="15" customHeight="1" x14ac:dyDescent="0.4">
      <c r="A52" s="114"/>
      <c r="B52" s="226"/>
      <c r="C52" s="32" t="s">
        <v>37</v>
      </c>
      <c r="D52" s="10">
        <f>(D47*D51/10)+(D49/10*D50/10*V27*2/10000)+(V15/10*V16/10*(V18+V22)/10000)</f>
        <v>5.6882791599999996</v>
      </c>
      <c r="E52" s="262"/>
      <c r="F52" s="263"/>
      <c r="G52" s="264"/>
      <c r="H52" s="129"/>
      <c r="I52" s="129"/>
      <c r="J52" s="129"/>
      <c r="K52" s="115"/>
      <c r="L52" s="115"/>
      <c r="M52" s="115"/>
      <c r="N52" s="114"/>
      <c r="O52" s="114"/>
      <c r="P52" s="115"/>
      <c r="Q52" s="115"/>
      <c r="R52" s="115"/>
      <c r="S52" s="115"/>
      <c r="T52" s="114"/>
      <c r="U52" s="114"/>
      <c r="V52" s="114"/>
      <c r="W52" s="114"/>
      <c r="X52" s="114"/>
      <c r="Y52" s="114"/>
      <c r="Z52" s="114"/>
      <c r="AA52" s="114"/>
    </row>
    <row r="53" spans="1:27" ht="15" customHeight="1" x14ac:dyDescent="0.4">
      <c r="A53" s="114"/>
      <c r="B53" s="226"/>
      <c r="C53" s="32" t="s">
        <v>69</v>
      </c>
      <c r="D53" s="112">
        <f>D52-L51</f>
        <v>6.7155185520828553E-4</v>
      </c>
      <c r="E53" s="262"/>
      <c r="F53" s="263"/>
      <c r="G53" s="264"/>
      <c r="H53" s="129"/>
      <c r="I53" s="129"/>
      <c r="J53" s="133"/>
      <c r="K53" s="115"/>
      <c r="L53" s="115"/>
      <c r="M53" s="115"/>
      <c r="N53" s="114"/>
      <c r="O53" s="114"/>
      <c r="P53" s="115"/>
      <c r="Q53" s="115"/>
      <c r="R53" s="115"/>
      <c r="S53" s="115"/>
      <c r="T53" s="114"/>
      <c r="U53" s="114"/>
      <c r="V53" s="114"/>
      <c r="W53" s="114"/>
      <c r="X53" s="114"/>
      <c r="Y53" s="114"/>
      <c r="Z53" s="114"/>
      <c r="AA53" s="114"/>
    </row>
    <row r="54" spans="1:27" ht="15" customHeight="1" x14ac:dyDescent="0.4">
      <c r="A54" s="114"/>
      <c r="B54" s="226"/>
      <c r="C54" s="32" t="s">
        <v>10</v>
      </c>
      <c r="D54" s="10">
        <f>D41*D44+(D29+V11)+V20+V24+V32</f>
        <v>7.5646155765229635</v>
      </c>
      <c r="E54" s="262"/>
      <c r="F54" s="263"/>
      <c r="G54" s="264"/>
      <c r="H54" s="129"/>
      <c r="I54" s="129"/>
      <c r="J54" s="133"/>
      <c r="K54" s="115"/>
      <c r="L54" s="115"/>
      <c r="M54" s="115"/>
      <c r="N54" s="114"/>
      <c r="O54" s="114"/>
      <c r="P54" s="115"/>
      <c r="Q54" s="115"/>
      <c r="R54" s="115"/>
      <c r="S54" s="115"/>
      <c r="T54" s="114"/>
      <c r="U54" s="114"/>
      <c r="V54" s="114"/>
      <c r="W54" s="114"/>
      <c r="X54" s="114"/>
      <c r="Y54" s="114"/>
      <c r="Z54" s="114"/>
      <c r="AA54" s="114"/>
    </row>
    <row r="55" spans="1:27" ht="15" customHeight="1" thickBot="1" x14ac:dyDescent="0.45">
      <c r="A55" s="114"/>
      <c r="B55" s="259"/>
      <c r="C55" s="35" t="s">
        <v>48</v>
      </c>
      <c r="D55" s="38">
        <f>D54/D52</f>
        <v>1.3298601147632432</v>
      </c>
      <c r="E55" s="262"/>
      <c r="F55" s="263"/>
      <c r="G55" s="264"/>
      <c r="H55" s="129"/>
      <c r="I55" s="129"/>
      <c r="J55" s="133"/>
      <c r="K55" s="115"/>
      <c r="L55" s="115"/>
      <c r="M55" s="115"/>
      <c r="N55" s="114"/>
      <c r="O55" s="114"/>
      <c r="P55" s="115"/>
      <c r="Q55" s="115"/>
      <c r="R55" s="115"/>
      <c r="S55" s="115"/>
      <c r="T55" s="114"/>
      <c r="U55" s="114"/>
      <c r="V55" s="116"/>
      <c r="W55" s="114"/>
      <c r="X55" s="114"/>
      <c r="Y55" s="114"/>
      <c r="Z55" s="114"/>
      <c r="AA55" s="114"/>
    </row>
    <row r="56" spans="1:27" ht="15" customHeight="1" x14ac:dyDescent="0.4">
      <c r="A56" s="114"/>
      <c r="B56" s="250" t="s">
        <v>66</v>
      </c>
      <c r="C56" s="31" t="s">
        <v>74</v>
      </c>
      <c r="D56" s="50">
        <f>D43*D44/1000</f>
        <v>1.0886400000000001</v>
      </c>
      <c r="E56" s="262"/>
      <c r="F56" s="263"/>
      <c r="G56" s="264"/>
      <c r="H56" s="129"/>
      <c r="I56" s="129"/>
      <c r="J56" s="133"/>
      <c r="K56" s="115"/>
      <c r="L56" s="115"/>
      <c r="M56" s="115"/>
      <c r="N56" s="114"/>
      <c r="O56" s="114"/>
      <c r="P56" s="115"/>
      <c r="Q56" s="115"/>
      <c r="R56" s="115"/>
      <c r="S56" s="115"/>
      <c r="T56" s="114"/>
      <c r="U56" s="114"/>
      <c r="V56" s="116"/>
      <c r="W56" s="114"/>
      <c r="X56" s="114"/>
      <c r="Y56" s="114"/>
      <c r="Z56" s="114"/>
      <c r="AA56" s="114"/>
    </row>
    <row r="57" spans="1:27" ht="15" customHeight="1" x14ac:dyDescent="0.4">
      <c r="A57" s="114"/>
      <c r="B57" s="226"/>
      <c r="C57" s="32" t="s">
        <v>34</v>
      </c>
      <c r="D57" s="110">
        <f>H3</f>
        <v>2.15</v>
      </c>
      <c r="E57" s="262"/>
      <c r="F57" s="263"/>
      <c r="G57" s="264"/>
      <c r="H57" s="129"/>
      <c r="I57" s="129"/>
      <c r="J57" s="133"/>
      <c r="K57" s="115"/>
      <c r="L57" s="115"/>
      <c r="M57" s="115"/>
      <c r="N57" s="114"/>
      <c r="O57" s="114"/>
      <c r="P57" s="115"/>
      <c r="Q57" s="115"/>
      <c r="R57" s="115"/>
      <c r="S57" s="115"/>
      <c r="T57" s="114"/>
      <c r="U57" s="114"/>
      <c r="V57" s="116"/>
      <c r="W57" s="114"/>
      <c r="X57" s="114"/>
      <c r="Y57" s="114"/>
      <c r="Z57" s="114"/>
      <c r="AA57" s="114"/>
    </row>
    <row r="58" spans="1:27" ht="15" customHeight="1" x14ac:dyDescent="0.4">
      <c r="A58" s="114"/>
      <c r="B58" s="226"/>
      <c r="C58" s="32" t="s">
        <v>35</v>
      </c>
      <c r="D58" s="8">
        <f>D56*D57</f>
        <v>2.340576</v>
      </c>
      <c r="E58" s="262"/>
      <c r="F58" s="263"/>
      <c r="G58" s="264"/>
      <c r="H58" s="114"/>
      <c r="I58" s="129"/>
      <c r="J58" s="133"/>
      <c r="K58" s="115"/>
      <c r="L58" s="115"/>
      <c r="M58" s="115"/>
      <c r="N58" s="114"/>
      <c r="O58" s="114"/>
      <c r="P58" s="115"/>
      <c r="Q58" s="115"/>
      <c r="R58" s="115"/>
      <c r="S58" s="115"/>
      <c r="T58" s="114"/>
      <c r="U58" s="114"/>
      <c r="V58" s="116"/>
      <c r="W58" s="114"/>
      <c r="X58" s="114"/>
      <c r="Y58" s="114"/>
      <c r="Z58" s="114"/>
      <c r="AA58" s="114"/>
    </row>
    <row r="59" spans="1:27" ht="15" customHeight="1" x14ac:dyDescent="0.4">
      <c r="A59" s="114"/>
      <c r="B59" s="226"/>
      <c r="C59" s="32" t="s">
        <v>64</v>
      </c>
      <c r="D59" s="29">
        <f>D58/D54*1000</f>
        <v>309.41109648242474</v>
      </c>
      <c r="E59" s="262"/>
      <c r="F59" s="263"/>
      <c r="G59" s="264"/>
      <c r="H59" s="114"/>
      <c r="I59" s="129"/>
      <c r="J59" s="133"/>
      <c r="K59" s="115"/>
      <c r="L59" s="115"/>
      <c r="M59" s="115"/>
      <c r="N59" s="114"/>
      <c r="O59" s="114"/>
      <c r="P59" s="115"/>
      <c r="Q59" s="115"/>
      <c r="R59" s="115"/>
      <c r="S59" s="115"/>
      <c r="T59" s="114"/>
      <c r="U59" s="114"/>
      <c r="V59" s="116"/>
      <c r="W59" s="114"/>
      <c r="X59" s="114"/>
      <c r="Y59" s="114"/>
      <c r="Z59" s="114"/>
      <c r="AA59" s="114"/>
    </row>
    <row r="60" spans="1:27" ht="15" customHeight="1" thickBot="1" x14ac:dyDescent="0.45">
      <c r="A60" s="114"/>
      <c r="B60" s="259"/>
      <c r="C60" s="35" t="s">
        <v>65</v>
      </c>
      <c r="D60" s="30">
        <f>D58/D52*1000</f>
        <v>411.47347627713833</v>
      </c>
      <c r="E60" s="265"/>
      <c r="F60" s="266"/>
      <c r="G60" s="267"/>
      <c r="H60" s="114"/>
      <c r="I60" s="114"/>
      <c r="J60" s="115"/>
      <c r="K60" s="115"/>
      <c r="L60" s="115"/>
      <c r="M60" s="115"/>
      <c r="N60" s="114"/>
      <c r="O60" s="114"/>
      <c r="P60" s="115"/>
      <c r="Q60" s="115"/>
      <c r="R60" s="115"/>
      <c r="S60" s="115"/>
      <c r="T60" s="114"/>
      <c r="U60" s="114"/>
      <c r="V60" s="116"/>
      <c r="W60" s="114"/>
      <c r="X60" s="114"/>
      <c r="Y60" s="114"/>
      <c r="Z60" s="114"/>
      <c r="AA60" s="114"/>
    </row>
    <row r="61" spans="1:27" ht="15" customHeight="1" x14ac:dyDescent="0.4">
      <c r="A61" s="114"/>
      <c r="B61" s="114"/>
      <c r="C61" s="114"/>
      <c r="D61" s="126"/>
      <c r="E61" s="115"/>
      <c r="F61" s="115"/>
      <c r="G61" s="115"/>
      <c r="H61" s="114"/>
      <c r="I61" s="114"/>
      <c r="J61" s="115"/>
      <c r="K61" s="115"/>
      <c r="L61" s="115"/>
      <c r="M61" s="115"/>
      <c r="N61" s="114"/>
      <c r="O61" s="114"/>
      <c r="P61" s="115"/>
      <c r="Q61" s="115"/>
      <c r="R61" s="115"/>
      <c r="S61" s="115"/>
      <c r="T61" s="114"/>
      <c r="U61" s="114"/>
      <c r="V61" s="116"/>
      <c r="W61" s="114"/>
      <c r="X61" s="114"/>
      <c r="Y61" s="114"/>
      <c r="Z61" s="114"/>
      <c r="AA61" s="114"/>
    </row>
    <row r="62" spans="1:27" ht="15" customHeight="1" x14ac:dyDescent="0.4">
      <c r="A62" s="114"/>
      <c r="B62" s="114"/>
      <c r="C62" s="114"/>
      <c r="D62" s="115"/>
      <c r="E62" s="115"/>
      <c r="F62" s="115"/>
      <c r="G62" s="115"/>
      <c r="H62" s="114"/>
      <c r="I62" s="114"/>
      <c r="J62" s="115"/>
      <c r="K62" s="115"/>
      <c r="L62" s="115"/>
      <c r="M62" s="115"/>
      <c r="N62" s="114"/>
      <c r="O62" s="114"/>
      <c r="P62" s="115"/>
      <c r="Q62" s="115"/>
      <c r="R62" s="115"/>
      <c r="S62" s="115"/>
      <c r="T62" s="114"/>
      <c r="U62" s="114"/>
      <c r="V62" s="116"/>
      <c r="W62" s="114"/>
      <c r="X62" s="114"/>
      <c r="Y62" s="114"/>
      <c r="Z62" s="114"/>
      <c r="AA62" s="114"/>
    </row>
    <row r="63" spans="1:27" ht="15" customHeight="1" x14ac:dyDescent="0.4">
      <c r="A63" s="114"/>
      <c r="B63" s="114"/>
      <c r="C63" s="114"/>
      <c r="D63" s="115"/>
      <c r="E63" s="115"/>
      <c r="F63" s="115"/>
      <c r="G63" s="115"/>
      <c r="H63" s="114"/>
      <c r="I63" s="114"/>
      <c r="J63" s="115"/>
      <c r="K63" s="115"/>
      <c r="L63" s="115"/>
      <c r="M63" s="115"/>
      <c r="N63" s="114"/>
      <c r="O63" s="114"/>
      <c r="P63" s="115"/>
      <c r="Q63" s="115"/>
      <c r="R63" s="115"/>
      <c r="S63" s="115"/>
      <c r="T63" s="114"/>
      <c r="U63" s="114"/>
      <c r="V63" s="116"/>
      <c r="W63" s="114"/>
      <c r="X63" s="114"/>
      <c r="Y63" s="114"/>
      <c r="Z63" s="114"/>
      <c r="AA63" s="114"/>
    </row>
  </sheetData>
  <mergeCells count="58">
    <mergeCell ref="B35:G35"/>
    <mergeCell ref="B36:B43"/>
    <mergeCell ref="E36:G43"/>
    <mergeCell ref="B44:B55"/>
    <mergeCell ref="E44:G60"/>
    <mergeCell ref="B56:B60"/>
    <mergeCell ref="T18:T21"/>
    <mergeCell ref="W18:Y18"/>
    <mergeCell ref="W19:Y19"/>
    <mergeCell ref="N20:N21"/>
    <mergeCell ref="W20:Z20"/>
    <mergeCell ref="T22:T25"/>
    <mergeCell ref="W22:W25"/>
    <mergeCell ref="B24:B30"/>
    <mergeCell ref="H24:H30"/>
    <mergeCell ref="T26:V26"/>
    <mergeCell ref="W26:W30"/>
    <mergeCell ref="T27:T33"/>
    <mergeCell ref="N29:N30"/>
    <mergeCell ref="B31:B33"/>
    <mergeCell ref="H31:H33"/>
    <mergeCell ref="N31:N33"/>
    <mergeCell ref="W31:W32"/>
    <mergeCell ref="Q12:S33"/>
    <mergeCell ref="B22:B23"/>
    <mergeCell ref="H22:H23"/>
    <mergeCell ref="N22:N28"/>
    <mergeCell ref="T12:T14"/>
    <mergeCell ref="W12:W14"/>
    <mergeCell ref="T15:T17"/>
    <mergeCell ref="W15:X15"/>
    <mergeCell ref="W16:Y16"/>
    <mergeCell ref="W17:Y17"/>
    <mergeCell ref="B6:B11"/>
    <mergeCell ref="H6:H11"/>
    <mergeCell ref="N6:N11"/>
    <mergeCell ref="O6:O7"/>
    <mergeCell ref="S6:S7"/>
    <mergeCell ref="B12:B21"/>
    <mergeCell ref="E12:G33"/>
    <mergeCell ref="H12:H21"/>
    <mergeCell ref="K12:M33"/>
    <mergeCell ref="N12:N19"/>
    <mergeCell ref="T5:V5"/>
    <mergeCell ref="W5:Z5"/>
    <mergeCell ref="T6:T8"/>
    <mergeCell ref="W7:W8"/>
    <mergeCell ref="T9:T11"/>
    <mergeCell ref="W9:W11"/>
    <mergeCell ref="J2:K2"/>
    <mergeCell ref="J3:K3"/>
    <mergeCell ref="B5:G5"/>
    <mergeCell ref="H5:M5"/>
    <mergeCell ref="N5:S5"/>
    <mergeCell ref="L2:M2"/>
    <mergeCell ref="L3:M3"/>
    <mergeCell ref="N2:P2"/>
    <mergeCell ref="N3:P3"/>
  </mergeCells>
  <phoneticPr fontId="1"/>
  <pageMargins left="0.7" right="0.7" top="0.75" bottom="0.75" header="0.3" footer="0.3"/>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3EEE1C-9FCD-4684-89B9-1FDABFE20FBF}">
  <dimension ref="A1:AA63"/>
  <sheetViews>
    <sheetView zoomScaleNormal="100" workbookViewId="0"/>
  </sheetViews>
  <sheetFormatPr defaultColWidth="9.625" defaultRowHeight="15" customHeight="1" x14ac:dyDescent="0.4"/>
  <cols>
    <col min="1" max="1" width="4.125" style="1" customWidth="1"/>
    <col min="2" max="2" width="8.625" style="1" customWidth="1"/>
    <col min="3" max="3" width="17.625" style="1" customWidth="1"/>
    <col min="4" max="7" width="6.625" style="2" customWidth="1"/>
    <col min="8" max="8" width="8.625" style="1" customWidth="1"/>
    <col min="9" max="9" width="17.625" style="1" customWidth="1"/>
    <col min="10" max="13" width="6.625" style="2" customWidth="1"/>
    <col min="14" max="14" width="8.625" style="1" customWidth="1"/>
    <col min="15" max="15" width="17.625" style="1" customWidth="1"/>
    <col min="16" max="19" width="6.625" style="2" customWidth="1"/>
    <col min="20" max="20" width="8.625" style="1" customWidth="1"/>
    <col min="21" max="21" width="17.625" style="1" customWidth="1"/>
    <col min="22" max="22" width="6.625" style="3" customWidth="1"/>
    <col min="23" max="23" width="9.625" style="1"/>
    <col min="24" max="24" width="17.625" style="1" customWidth="1"/>
    <col min="25" max="26" width="6.625" style="1" customWidth="1"/>
    <col min="27" max="27" width="4.125" style="1" customWidth="1"/>
    <col min="28" max="16384" width="9.625" style="1"/>
  </cols>
  <sheetData>
    <row r="1" spans="1:27" ht="15" customHeight="1" thickBot="1" x14ac:dyDescent="0.45">
      <c r="A1" s="114"/>
      <c r="B1" s="114"/>
      <c r="C1" s="114"/>
      <c r="D1" s="115"/>
      <c r="E1" s="115"/>
      <c r="F1" s="115"/>
      <c r="G1" s="115"/>
      <c r="H1" s="114"/>
      <c r="I1" s="114"/>
      <c r="J1" s="115"/>
      <c r="K1" s="115"/>
      <c r="L1" s="115"/>
      <c r="M1" s="115"/>
      <c r="N1" s="114"/>
      <c r="O1" s="114"/>
      <c r="P1" s="115"/>
      <c r="Q1" s="115"/>
      <c r="R1" s="115"/>
      <c r="S1" s="115"/>
      <c r="T1" s="114"/>
      <c r="U1" s="114"/>
      <c r="V1" s="116"/>
      <c r="W1" s="114"/>
      <c r="X1" s="114"/>
      <c r="Y1" s="114"/>
      <c r="Z1" s="114"/>
      <c r="AA1" s="114"/>
    </row>
    <row r="2" spans="1:27" ht="15" customHeight="1" x14ac:dyDescent="0.4">
      <c r="A2" s="114"/>
      <c r="B2" s="114"/>
      <c r="C2" s="120" t="s">
        <v>131</v>
      </c>
      <c r="D2" s="117" t="s">
        <v>109</v>
      </c>
      <c r="E2" s="118" t="s">
        <v>110</v>
      </c>
      <c r="F2" s="119" t="s">
        <v>111</v>
      </c>
      <c r="G2" s="120" t="s">
        <v>112</v>
      </c>
      <c r="H2" s="120" t="s">
        <v>127</v>
      </c>
      <c r="I2" s="120" t="s">
        <v>114</v>
      </c>
      <c r="J2" s="156" t="s">
        <v>125</v>
      </c>
      <c r="K2" s="157"/>
      <c r="L2" s="156" t="s">
        <v>69</v>
      </c>
      <c r="M2" s="157"/>
      <c r="N2" s="156" t="s">
        <v>129</v>
      </c>
      <c r="O2" s="171"/>
      <c r="P2" s="171"/>
      <c r="Q2" s="151">
        <f>D59</f>
        <v>365.50528858030526</v>
      </c>
      <c r="R2" s="276" t="s">
        <v>144</v>
      </c>
      <c r="S2" s="277"/>
      <c r="T2" s="277"/>
      <c r="U2" s="277"/>
      <c r="V2" s="116"/>
      <c r="W2" s="114"/>
      <c r="X2" s="114"/>
      <c r="Y2" s="114"/>
      <c r="Z2" s="114"/>
      <c r="AA2" s="114"/>
    </row>
    <row r="3" spans="1:27" ht="15" customHeight="1" thickBot="1" x14ac:dyDescent="0.45">
      <c r="A3" s="114"/>
      <c r="B3" s="114"/>
      <c r="C3" s="153">
        <v>1500</v>
      </c>
      <c r="D3" s="121">
        <v>4</v>
      </c>
      <c r="E3" s="122">
        <v>2.5</v>
      </c>
      <c r="F3" s="123">
        <v>2.5</v>
      </c>
      <c r="G3" s="124">
        <v>7</v>
      </c>
      <c r="H3" s="125">
        <v>2.7</v>
      </c>
      <c r="I3" s="141">
        <f>D56</f>
        <v>1.0886400000000001</v>
      </c>
      <c r="J3" s="158">
        <v>0</v>
      </c>
      <c r="K3" s="159"/>
      <c r="L3" s="169">
        <f>D53</f>
        <v>1.2328424855738218</v>
      </c>
      <c r="M3" s="170"/>
      <c r="N3" s="172" t="s">
        <v>128</v>
      </c>
      <c r="O3" s="173"/>
      <c r="P3" s="173"/>
      <c r="Q3" s="152">
        <f>D60</f>
        <v>399.69757461367345</v>
      </c>
      <c r="R3" s="274"/>
      <c r="S3" s="275"/>
      <c r="T3" s="275"/>
      <c r="U3" s="275"/>
      <c r="V3" s="116"/>
      <c r="W3" s="114"/>
      <c r="X3" s="114"/>
      <c r="Y3" s="114"/>
      <c r="Z3" s="114"/>
      <c r="AA3" s="114"/>
    </row>
    <row r="4" spans="1:27" ht="15" customHeight="1" thickBot="1" x14ac:dyDescent="0.45">
      <c r="A4" s="114"/>
      <c r="B4" s="114"/>
      <c r="C4" s="114"/>
      <c r="D4" s="115"/>
      <c r="E4" s="115"/>
      <c r="F4" s="115"/>
      <c r="G4" s="115"/>
      <c r="H4" s="114"/>
      <c r="I4" s="114"/>
      <c r="J4" s="115"/>
      <c r="K4" s="115"/>
      <c r="L4" s="115"/>
      <c r="M4" s="115"/>
      <c r="N4" s="114"/>
      <c r="O4" s="114"/>
      <c r="P4" s="115"/>
      <c r="Q4" s="115"/>
      <c r="R4" s="115"/>
      <c r="S4" s="115"/>
      <c r="T4" s="114"/>
      <c r="U4" s="114"/>
      <c r="V4" s="116"/>
      <c r="W4" s="114"/>
      <c r="X4" s="114"/>
      <c r="Y4" s="114"/>
      <c r="Z4" s="114"/>
      <c r="AA4" s="114"/>
    </row>
    <row r="5" spans="1:27" ht="15" customHeight="1" thickBot="1" x14ac:dyDescent="0.45">
      <c r="A5" s="114"/>
      <c r="B5" s="160" t="s">
        <v>0</v>
      </c>
      <c r="C5" s="161"/>
      <c r="D5" s="161"/>
      <c r="E5" s="161"/>
      <c r="F5" s="161"/>
      <c r="G5" s="162"/>
      <c r="H5" s="163" t="s">
        <v>19</v>
      </c>
      <c r="I5" s="164"/>
      <c r="J5" s="164"/>
      <c r="K5" s="164"/>
      <c r="L5" s="164"/>
      <c r="M5" s="165"/>
      <c r="N5" s="166" t="s">
        <v>23</v>
      </c>
      <c r="O5" s="167"/>
      <c r="P5" s="167"/>
      <c r="Q5" s="167"/>
      <c r="R5" s="167"/>
      <c r="S5" s="168"/>
      <c r="T5" s="174" t="s">
        <v>82</v>
      </c>
      <c r="U5" s="175"/>
      <c r="V5" s="176"/>
      <c r="W5" s="177" t="s">
        <v>28</v>
      </c>
      <c r="X5" s="178"/>
      <c r="Y5" s="178"/>
      <c r="Z5" s="179"/>
      <c r="AA5" s="114"/>
    </row>
    <row r="6" spans="1:27" ht="15" customHeight="1" x14ac:dyDescent="0.4">
      <c r="A6" s="114"/>
      <c r="B6" s="200" t="s">
        <v>3</v>
      </c>
      <c r="C6" s="13" t="s">
        <v>14</v>
      </c>
      <c r="D6" s="66" t="s">
        <v>88</v>
      </c>
      <c r="E6" s="66" t="s">
        <v>90</v>
      </c>
      <c r="F6" s="66" t="s">
        <v>87</v>
      </c>
      <c r="G6" s="4" t="s">
        <v>12</v>
      </c>
      <c r="H6" s="201" t="s">
        <v>3</v>
      </c>
      <c r="I6" s="16" t="s">
        <v>14</v>
      </c>
      <c r="J6" s="66" t="s">
        <v>76</v>
      </c>
      <c r="K6" s="66" t="s">
        <v>99</v>
      </c>
      <c r="L6" s="66" t="s">
        <v>91</v>
      </c>
      <c r="M6" s="5" t="s">
        <v>12</v>
      </c>
      <c r="N6" s="202" t="s">
        <v>3</v>
      </c>
      <c r="O6" s="205" t="s">
        <v>14</v>
      </c>
      <c r="P6" s="67" t="s">
        <v>26</v>
      </c>
      <c r="Q6" s="67" t="s">
        <v>27</v>
      </c>
      <c r="R6" s="67" t="s">
        <v>92</v>
      </c>
      <c r="S6" s="207" t="s">
        <v>12</v>
      </c>
      <c r="T6" s="180" t="s">
        <v>70</v>
      </c>
      <c r="U6" s="43" t="s">
        <v>17</v>
      </c>
      <c r="V6" s="55">
        <v>6</v>
      </c>
      <c r="W6" s="28" t="s">
        <v>113</v>
      </c>
      <c r="X6" s="69" t="s">
        <v>95</v>
      </c>
      <c r="Y6" s="72" t="s">
        <v>63</v>
      </c>
      <c r="Z6" s="73" t="s">
        <v>30</v>
      </c>
      <c r="AA6" s="114"/>
    </row>
    <row r="7" spans="1:27" ht="15" customHeight="1" x14ac:dyDescent="0.4">
      <c r="A7" s="114"/>
      <c r="B7" s="198"/>
      <c r="C7" s="14" t="s">
        <v>49</v>
      </c>
      <c r="D7" s="85">
        <f>C3</f>
        <v>1500</v>
      </c>
      <c r="E7" s="86">
        <v>0</v>
      </c>
      <c r="F7" s="86">
        <v>1675</v>
      </c>
      <c r="G7" s="25">
        <f>D7</f>
        <v>1500</v>
      </c>
      <c r="H7" s="198"/>
      <c r="I7" s="16" t="s">
        <v>49</v>
      </c>
      <c r="J7" s="80">
        <v>3860</v>
      </c>
      <c r="K7" s="80">
        <v>0</v>
      </c>
      <c r="L7" s="80">
        <v>0</v>
      </c>
      <c r="M7" s="25">
        <f>J7</f>
        <v>3860</v>
      </c>
      <c r="N7" s="203"/>
      <c r="O7" s="206"/>
      <c r="P7" s="67" t="s">
        <v>24</v>
      </c>
      <c r="Q7" s="67" t="s">
        <v>93</v>
      </c>
      <c r="R7" s="67" t="s">
        <v>94</v>
      </c>
      <c r="S7" s="208"/>
      <c r="T7" s="181"/>
      <c r="U7" s="44" t="s">
        <v>9</v>
      </c>
      <c r="V7" s="40">
        <v>8</v>
      </c>
      <c r="W7" s="183" t="s">
        <v>61</v>
      </c>
      <c r="X7" s="68" t="s">
        <v>95</v>
      </c>
      <c r="Y7" s="62">
        <v>0</v>
      </c>
      <c r="Z7" s="61">
        <f>Y7*$Z$18/100</f>
        <v>0</v>
      </c>
      <c r="AA7" s="114"/>
    </row>
    <row r="8" spans="1:27" ht="15" customHeight="1" x14ac:dyDescent="0.4">
      <c r="A8" s="114"/>
      <c r="B8" s="198"/>
      <c r="C8" s="14" t="s">
        <v>11</v>
      </c>
      <c r="D8" s="87">
        <v>100</v>
      </c>
      <c r="E8" s="87">
        <v>0</v>
      </c>
      <c r="F8" s="87">
        <v>0</v>
      </c>
      <c r="G8" s="39">
        <f>SUM(D8:F8)</f>
        <v>100</v>
      </c>
      <c r="H8" s="198"/>
      <c r="I8" s="16" t="s">
        <v>11</v>
      </c>
      <c r="J8" s="81">
        <v>100</v>
      </c>
      <c r="K8" s="81">
        <v>0</v>
      </c>
      <c r="L8" s="81">
        <v>0</v>
      </c>
      <c r="M8" s="39">
        <f>SUM(J8:L8)</f>
        <v>100</v>
      </c>
      <c r="N8" s="203"/>
      <c r="O8" s="18" t="s">
        <v>43</v>
      </c>
      <c r="P8" s="58">
        <v>1.093</v>
      </c>
      <c r="Q8" s="58">
        <v>0</v>
      </c>
      <c r="R8" s="58">
        <v>0</v>
      </c>
      <c r="S8" s="8">
        <f>SUM(P8:R8)</f>
        <v>1.093</v>
      </c>
      <c r="T8" s="182"/>
      <c r="U8" s="44" t="s">
        <v>40</v>
      </c>
      <c r="V8" s="25">
        <f>V6*V7/100</f>
        <v>0.48</v>
      </c>
      <c r="W8" s="184"/>
      <c r="X8" s="68" t="s">
        <v>95</v>
      </c>
      <c r="Y8" s="62">
        <v>0</v>
      </c>
      <c r="Z8" s="61">
        <f t="shared" ref="Z8:Z15" si="0">Y8*$Z$18/100</f>
        <v>0</v>
      </c>
      <c r="AA8" s="114"/>
    </row>
    <row r="9" spans="1:27" ht="15" customHeight="1" x14ac:dyDescent="0.4">
      <c r="A9" s="114"/>
      <c r="B9" s="198"/>
      <c r="C9" s="14" t="s">
        <v>38</v>
      </c>
      <c r="D9" s="57">
        <v>1.4</v>
      </c>
      <c r="E9" s="57">
        <v>0</v>
      </c>
      <c r="F9" s="57">
        <v>0</v>
      </c>
      <c r="G9" s="138" t="s">
        <v>122</v>
      </c>
      <c r="H9" s="198"/>
      <c r="I9" s="16" t="s">
        <v>38</v>
      </c>
      <c r="J9" s="57">
        <v>0.53400000000000003</v>
      </c>
      <c r="K9" s="57">
        <v>0</v>
      </c>
      <c r="L9" s="57">
        <v>0</v>
      </c>
      <c r="M9" s="10">
        <f>M10/M11</f>
        <v>0.53400000000000003</v>
      </c>
      <c r="N9" s="203"/>
      <c r="O9" s="18" t="s">
        <v>38</v>
      </c>
      <c r="P9" s="57">
        <v>0.93</v>
      </c>
      <c r="Q9" s="57">
        <v>0</v>
      </c>
      <c r="R9" s="57">
        <v>0</v>
      </c>
      <c r="S9" s="10">
        <f>S10/S11</f>
        <v>0.93</v>
      </c>
      <c r="T9" s="185" t="s">
        <v>107</v>
      </c>
      <c r="U9" s="26" t="s">
        <v>36</v>
      </c>
      <c r="V9" s="45">
        <f>D24</f>
        <v>45</v>
      </c>
      <c r="W9" s="183" t="s">
        <v>60</v>
      </c>
      <c r="X9" s="68" t="s">
        <v>95</v>
      </c>
      <c r="Y9" s="62">
        <v>0</v>
      </c>
      <c r="Z9" s="61">
        <f t="shared" si="0"/>
        <v>0</v>
      </c>
      <c r="AA9" s="114"/>
    </row>
    <row r="10" spans="1:27" ht="15" customHeight="1" x14ac:dyDescent="0.4">
      <c r="A10" s="114"/>
      <c r="B10" s="198"/>
      <c r="C10" s="14" t="s">
        <v>10</v>
      </c>
      <c r="D10" s="36">
        <f>D43/G7</f>
        <v>0.10368000000000001</v>
      </c>
      <c r="E10" s="36">
        <f>F10*E8/100</f>
        <v>0</v>
      </c>
      <c r="F10" s="137">
        <f>D43/F7</f>
        <v>9.2847761194029862E-2</v>
      </c>
      <c r="G10" s="10">
        <f>SUM(D10:F10)</f>
        <v>0.19652776119402987</v>
      </c>
      <c r="H10" s="198"/>
      <c r="I10" s="16" t="s">
        <v>10</v>
      </c>
      <c r="J10" s="36">
        <f>D43*D42/M7</f>
        <v>0.10072538860103628</v>
      </c>
      <c r="K10" s="36">
        <f>M10*K8/100</f>
        <v>0</v>
      </c>
      <c r="L10" s="36">
        <f>M10*L8/100</f>
        <v>0</v>
      </c>
      <c r="M10" s="10">
        <f>J10/J8*100</f>
        <v>0.10072538860103628</v>
      </c>
      <c r="N10" s="203"/>
      <c r="O10" s="18" t="s">
        <v>10</v>
      </c>
      <c r="P10" s="36">
        <f>P8*P16/1000</f>
        <v>5.0715199999999995E-2</v>
      </c>
      <c r="Q10" s="36">
        <f>Q8*P25/1000</f>
        <v>0</v>
      </c>
      <c r="R10" s="36">
        <f>R8*P25/1000</f>
        <v>0</v>
      </c>
      <c r="S10" s="10">
        <f>SUM(P10:R10)</f>
        <v>5.0715199999999995E-2</v>
      </c>
      <c r="T10" s="181"/>
      <c r="U10" s="44" t="s">
        <v>37</v>
      </c>
      <c r="V10" s="10">
        <f>V8*V9/10000</f>
        <v>2.1599999999999996E-3</v>
      </c>
      <c r="W10" s="184"/>
      <c r="X10" s="68" t="s">
        <v>95</v>
      </c>
      <c r="Y10" s="62">
        <v>0</v>
      </c>
      <c r="Z10" s="61">
        <f t="shared" si="0"/>
        <v>0</v>
      </c>
      <c r="AA10" s="114"/>
    </row>
    <row r="11" spans="1:27" ht="15" customHeight="1" x14ac:dyDescent="0.4">
      <c r="A11" s="114"/>
      <c r="B11" s="199"/>
      <c r="C11" s="14" t="s">
        <v>37</v>
      </c>
      <c r="D11" s="36">
        <f>D10/D9</f>
        <v>7.4057142857142863E-2</v>
      </c>
      <c r="E11" s="36">
        <f>E10/(E9+0.00001)</f>
        <v>0</v>
      </c>
      <c r="F11" s="137" t="s">
        <v>123</v>
      </c>
      <c r="G11" s="10">
        <f>SUM(D11:F11)</f>
        <v>7.4057142857142863E-2</v>
      </c>
      <c r="H11" s="199"/>
      <c r="I11" s="16" t="s">
        <v>37</v>
      </c>
      <c r="J11" s="36">
        <f>J10/J9</f>
        <v>0.18862432322291436</v>
      </c>
      <c r="K11" s="36">
        <f>K10/(K9+0.00001)</f>
        <v>0</v>
      </c>
      <c r="L11" s="36">
        <f>L10/(L9+0.00001)</f>
        <v>0</v>
      </c>
      <c r="M11" s="10">
        <f>SUM(J11:L11)</f>
        <v>0.18862432322291436</v>
      </c>
      <c r="N11" s="204"/>
      <c r="O11" s="18" t="s">
        <v>37</v>
      </c>
      <c r="P11" s="36">
        <f>P10/P9</f>
        <v>5.4532473118279565E-2</v>
      </c>
      <c r="Q11" s="36">
        <f>Q10/(Q9+0.00001)</f>
        <v>0</v>
      </c>
      <c r="R11" s="36">
        <f>R10/(R9+0.00001)</f>
        <v>0</v>
      </c>
      <c r="S11" s="10">
        <f>SUM(P11:R11)</f>
        <v>5.4532473118279565E-2</v>
      </c>
      <c r="T11" s="182"/>
      <c r="U11" s="22" t="s">
        <v>10</v>
      </c>
      <c r="V11" s="10">
        <f>V10*D30</f>
        <v>2.0951999999999998E-3</v>
      </c>
      <c r="W11" s="184"/>
      <c r="X11" s="68" t="s">
        <v>95</v>
      </c>
      <c r="Y11" s="63">
        <v>0</v>
      </c>
      <c r="Z11" s="61">
        <f t="shared" si="0"/>
        <v>0</v>
      </c>
      <c r="AA11" s="114"/>
    </row>
    <row r="12" spans="1:27" ht="15" customHeight="1" x14ac:dyDescent="0.4">
      <c r="A12" s="114"/>
      <c r="B12" s="186" t="s">
        <v>2</v>
      </c>
      <c r="C12" s="14" t="s">
        <v>36</v>
      </c>
      <c r="D12" s="51">
        <v>100</v>
      </c>
      <c r="E12" s="189"/>
      <c r="F12" s="190"/>
      <c r="G12" s="191"/>
      <c r="H12" s="196" t="s">
        <v>2</v>
      </c>
      <c r="I12" s="16" t="s">
        <v>36</v>
      </c>
      <c r="J12" s="51">
        <v>46</v>
      </c>
      <c r="K12" s="189"/>
      <c r="L12" s="190"/>
      <c r="M12" s="191"/>
      <c r="N12" s="197" t="s">
        <v>26</v>
      </c>
      <c r="O12" s="18" t="s">
        <v>36</v>
      </c>
      <c r="P12" s="52">
        <v>20</v>
      </c>
      <c r="Q12" s="234"/>
      <c r="R12" s="190"/>
      <c r="S12" s="191"/>
      <c r="T12" s="185" t="s">
        <v>80</v>
      </c>
      <c r="U12" s="26" t="s">
        <v>36</v>
      </c>
      <c r="V12" s="25">
        <f>J24</f>
        <v>8</v>
      </c>
      <c r="W12" s="183" t="s">
        <v>62</v>
      </c>
      <c r="X12" s="68" t="s">
        <v>95</v>
      </c>
      <c r="Y12" s="63">
        <v>0</v>
      </c>
      <c r="Z12" s="61">
        <f t="shared" si="0"/>
        <v>0</v>
      </c>
      <c r="AA12" s="114"/>
    </row>
    <row r="13" spans="1:27" ht="15" customHeight="1" x14ac:dyDescent="0.4">
      <c r="A13" s="114"/>
      <c r="B13" s="187"/>
      <c r="C13" s="14" t="s">
        <v>7</v>
      </c>
      <c r="D13" s="54">
        <f>D25</f>
        <v>54</v>
      </c>
      <c r="E13" s="192"/>
      <c r="F13" s="192"/>
      <c r="G13" s="193"/>
      <c r="H13" s="187"/>
      <c r="I13" s="16" t="s">
        <v>7</v>
      </c>
      <c r="J13" s="54">
        <f>J25</f>
        <v>55.5</v>
      </c>
      <c r="K13" s="192"/>
      <c r="L13" s="192"/>
      <c r="M13" s="193"/>
      <c r="N13" s="198"/>
      <c r="O13" s="18" t="s">
        <v>52</v>
      </c>
      <c r="P13" s="52">
        <v>58</v>
      </c>
      <c r="Q13" s="235"/>
      <c r="R13" s="192"/>
      <c r="S13" s="193"/>
      <c r="T13" s="181"/>
      <c r="U13" s="44" t="s">
        <v>37</v>
      </c>
      <c r="V13" s="10">
        <f>V8*V12/10000</f>
        <v>3.8400000000000001E-4</v>
      </c>
      <c r="W13" s="184"/>
      <c r="X13" s="68" t="s">
        <v>95</v>
      </c>
      <c r="Y13" s="63">
        <v>0</v>
      </c>
      <c r="Z13" s="61">
        <f t="shared" si="0"/>
        <v>0</v>
      </c>
      <c r="AA13" s="114"/>
    </row>
    <row r="14" spans="1:27" ht="15" customHeight="1" thickBot="1" x14ac:dyDescent="0.45">
      <c r="A14" s="114"/>
      <c r="B14" s="187"/>
      <c r="C14" s="14" t="s">
        <v>8</v>
      </c>
      <c r="D14" s="54">
        <f>D25</f>
        <v>54</v>
      </c>
      <c r="E14" s="192"/>
      <c r="F14" s="192"/>
      <c r="G14" s="193"/>
      <c r="H14" s="187"/>
      <c r="I14" s="16" t="s">
        <v>8</v>
      </c>
      <c r="J14" s="54">
        <f>J25</f>
        <v>55.5</v>
      </c>
      <c r="K14" s="192"/>
      <c r="L14" s="192"/>
      <c r="M14" s="193"/>
      <c r="N14" s="198"/>
      <c r="O14" s="18" t="s">
        <v>53</v>
      </c>
      <c r="P14" s="52">
        <v>58</v>
      </c>
      <c r="Q14" s="235"/>
      <c r="R14" s="192"/>
      <c r="S14" s="193"/>
      <c r="T14" s="209"/>
      <c r="U14" s="27" t="s">
        <v>10</v>
      </c>
      <c r="V14" s="38">
        <f>V13*J30</f>
        <v>3.4406400000000005E-3</v>
      </c>
      <c r="W14" s="184"/>
      <c r="X14" s="68" t="s">
        <v>95</v>
      </c>
      <c r="Y14" s="63">
        <v>0</v>
      </c>
      <c r="Z14" s="61">
        <f t="shared" si="0"/>
        <v>0</v>
      </c>
      <c r="AA14" s="114"/>
    </row>
    <row r="15" spans="1:27" ht="15" customHeight="1" thickBot="1" x14ac:dyDescent="0.45">
      <c r="A15" s="114"/>
      <c r="B15" s="187"/>
      <c r="C15" s="14" t="s">
        <v>9</v>
      </c>
      <c r="D15" s="54">
        <f>D26</f>
        <v>36</v>
      </c>
      <c r="E15" s="192"/>
      <c r="F15" s="192"/>
      <c r="G15" s="193"/>
      <c r="H15" s="187"/>
      <c r="I15" s="16" t="s">
        <v>9</v>
      </c>
      <c r="J15" s="54">
        <f>J26</f>
        <v>37.5</v>
      </c>
      <c r="K15" s="192"/>
      <c r="L15" s="192"/>
      <c r="M15" s="193"/>
      <c r="N15" s="198"/>
      <c r="O15" s="18" t="s">
        <v>9</v>
      </c>
      <c r="P15" s="52">
        <v>40</v>
      </c>
      <c r="Q15" s="235"/>
      <c r="R15" s="192"/>
      <c r="S15" s="193"/>
      <c r="T15" s="210" t="s">
        <v>79</v>
      </c>
      <c r="U15" s="26" t="s">
        <v>17</v>
      </c>
      <c r="V15" s="42">
        <v>20</v>
      </c>
      <c r="W15" s="211" t="s">
        <v>12</v>
      </c>
      <c r="X15" s="212"/>
      <c r="Y15" s="70">
        <f>SUM(Y7:Y14)</f>
        <v>0</v>
      </c>
      <c r="Z15" s="61">
        <f t="shared" si="0"/>
        <v>0</v>
      </c>
      <c r="AA15" s="114"/>
    </row>
    <row r="16" spans="1:27" ht="15" customHeight="1" x14ac:dyDescent="0.4">
      <c r="A16" s="114"/>
      <c r="B16" s="187"/>
      <c r="C16" s="14" t="s">
        <v>41</v>
      </c>
      <c r="D16" s="53">
        <f>(D13+D14)*D15/100</f>
        <v>38.880000000000003</v>
      </c>
      <c r="E16" s="192"/>
      <c r="F16" s="192"/>
      <c r="G16" s="193"/>
      <c r="H16" s="187"/>
      <c r="I16" s="16" t="s">
        <v>41</v>
      </c>
      <c r="J16" s="11">
        <f>(J13+J14)*J15/100</f>
        <v>41.625</v>
      </c>
      <c r="K16" s="192"/>
      <c r="L16" s="192"/>
      <c r="M16" s="193"/>
      <c r="N16" s="198"/>
      <c r="O16" s="18" t="s">
        <v>40</v>
      </c>
      <c r="P16" s="53">
        <f>(P13+P14)*P15/100</f>
        <v>46.4</v>
      </c>
      <c r="Q16" s="235"/>
      <c r="R16" s="192"/>
      <c r="S16" s="193"/>
      <c r="T16" s="198"/>
      <c r="U16" s="22" t="s">
        <v>9</v>
      </c>
      <c r="V16" s="40">
        <v>5</v>
      </c>
      <c r="W16" s="213" t="s">
        <v>39</v>
      </c>
      <c r="X16" s="214"/>
      <c r="Y16" s="215"/>
      <c r="Z16" s="82">
        <v>1.1000000000000001</v>
      </c>
      <c r="AA16" s="114"/>
    </row>
    <row r="17" spans="1:27" ht="15" customHeight="1" x14ac:dyDescent="0.4">
      <c r="A17" s="114"/>
      <c r="B17" s="187"/>
      <c r="C17" s="14" t="s">
        <v>42</v>
      </c>
      <c r="D17" s="36">
        <f>D12*D16/10000</f>
        <v>0.38880000000000003</v>
      </c>
      <c r="E17" s="192"/>
      <c r="F17" s="192"/>
      <c r="G17" s="193"/>
      <c r="H17" s="187"/>
      <c r="I17" s="16" t="s">
        <v>42</v>
      </c>
      <c r="J17" s="36">
        <f>J12*J16/10000</f>
        <v>0.19147500000000001</v>
      </c>
      <c r="K17" s="192"/>
      <c r="L17" s="192"/>
      <c r="M17" s="193"/>
      <c r="N17" s="198"/>
      <c r="O17" s="18" t="s">
        <v>37</v>
      </c>
      <c r="P17" s="36">
        <f>P12*P16/10000</f>
        <v>9.2799999999999994E-2</v>
      </c>
      <c r="Q17" s="235"/>
      <c r="R17" s="192"/>
      <c r="S17" s="193"/>
      <c r="T17" s="199"/>
      <c r="U17" s="22" t="s">
        <v>40</v>
      </c>
      <c r="V17" s="25">
        <f>V15*V16/100</f>
        <v>1</v>
      </c>
      <c r="W17" s="216" t="s">
        <v>58</v>
      </c>
      <c r="X17" s="217"/>
      <c r="Y17" s="218"/>
      <c r="Z17" s="107">
        <f>F3</f>
        <v>2.5</v>
      </c>
      <c r="AA17" s="114"/>
    </row>
    <row r="18" spans="1:27" ht="15" customHeight="1" x14ac:dyDescent="0.4">
      <c r="A18" s="114"/>
      <c r="B18" s="187"/>
      <c r="C18" s="14" t="s">
        <v>18</v>
      </c>
      <c r="D18" s="137">
        <f>G10</f>
        <v>0.19652776119402987</v>
      </c>
      <c r="E18" s="192"/>
      <c r="F18" s="192"/>
      <c r="G18" s="193"/>
      <c r="H18" s="187"/>
      <c r="I18" s="16" t="s">
        <v>18</v>
      </c>
      <c r="J18" s="36">
        <f>M10</f>
        <v>0.10072538860103628</v>
      </c>
      <c r="K18" s="192"/>
      <c r="L18" s="192"/>
      <c r="M18" s="193"/>
      <c r="N18" s="198"/>
      <c r="O18" s="18" t="s">
        <v>10</v>
      </c>
      <c r="P18" s="36">
        <f>P10</f>
        <v>5.0715199999999995E-2</v>
      </c>
      <c r="Q18" s="235"/>
      <c r="R18" s="192"/>
      <c r="S18" s="193"/>
      <c r="T18" s="210" t="s">
        <v>86</v>
      </c>
      <c r="U18" s="26" t="s">
        <v>36</v>
      </c>
      <c r="V18" s="6">
        <v>100</v>
      </c>
      <c r="W18" s="183" t="s">
        <v>10</v>
      </c>
      <c r="X18" s="239"/>
      <c r="Y18" s="240"/>
      <c r="Z18" s="61">
        <f>Z17*D43/1000</f>
        <v>0.38880000000000003</v>
      </c>
      <c r="AA18" s="114"/>
    </row>
    <row r="19" spans="1:27" ht="15" customHeight="1" thickBot="1" x14ac:dyDescent="0.45">
      <c r="A19" s="114"/>
      <c r="B19" s="187"/>
      <c r="C19" s="14" t="s">
        <v>39</v>
      </c>
      <c r="D19" s="148">
        <f>D10/D17</f>
        <v>0.26666666666666666</v>
      </c>
      <c r="E19" s="192"/>
      <c r="F19" s="192"/>
      <c r="G19" s="193"/>
      <c r="H19" s="187"/>
      <c r="I19" s="16" t="s">
        <v>39</v>
      </c>
      <c r="J19" s="59">
        <f>J18/J17</f>
        <v>0.52604981643053284</v>
      </c>
      <c r="K19" s="192"/>
      <c r="L19" s="192"/>
      <c r="M19" s="193"/>
      <c r="N19" s="199"/>
      <c r="O19" s="18" t="s">
        <v>39</v>
      </c>
      <c r="P19" s="59">
        <f>P18/P17</f>
        <v>0.54649999999999999</v>
      </c>
      <c r="Q19" s="235"/>
      <c r="R19" s="192"/>
      <c r="S19" s="193"/>
      <c r="T19" s="198"/>
      <c r="U19" s="22" t="s">
        <v>37</v>
      </c>
      <c r="V19" s="10">
        <f>V17*V18/10000</f>
        <v>0.01</v>
      </c>
      <c r="W19" s="225" t="s">
        <v>37</v>
      </c>
      <c r="X19" s="241"/>
      <c r="Y19" s="242"/>
      <c r="Z19" s="71">
        <f>Z18/Z16</f>
        <v>0.35345454545454547</v>
      </c>
      <c r="AA19" s="114"/>
    </row>
    <row r="20" spans="1:27" ht="15" customHeight="1" thickBot="1" x14ac:dyDescent="0.45">
      <c r="A20" s="114"/>
      <c r="B20" s="187"/>
      <c r="C20" s="14" t="s">
        <v>75</v>
      </c>
      <c r="D20" s="59">
        <f>D10/D16*1000</f>
        <v>2.6666666666666665</v>
      </c>
      <c r="E20" s="192"/>
      <c r="F20" s="192"/>
      <c r="G20" s="193"/>
      <c r="H20" s="187"/>
      <c r="I20" s="16" t="s">
        <v>75</v>
      </c>
      <c r="J20" s="59">
        <f>J10/J16*1000</f>
        <v>2.4198291555804508</v>
      </c>
      <c r="K20" s="192"/>
      <c r="L20" s="192"/>
      <c r="M20" s="193"/>
      <c r="N20" s="231" t="s">
        <v>15</v>
      </c>
      <c r="O20" s="18" t="s">
        <v>37</v>
      </c>
      <c r="P20" s="59">
        <f>P17-P11</f>
        <v>3.8267526881720429E-2</v>
      </c>
      <c r="Q20" s="235"/>
      <c r="R20" s="192"/>
      <c r="S20" s="193"/>
      <c r="T20" s="198"/>
      <c r="U20" s="22" t="s">
        <v>10</v>
      </c>
      <c r="V20" s="10">
        <f>V19*V21</f>
        <v>8.900000000000001E-2</v>
      </c>
      <c r="W20" s="243" t="s">
        <v>101</v>
      </c>
      <c r="X20" s="244"/>
      <c r="Y20" s="245"/>
      <c r="Z20" s="246"/>
      <c r="AA20" s="114"/>
    </row>
    <row r="21" spans="1:27" ht="15" customHeight="1" thickBot="1" x14ac:dyDescent="0.45">
      <c r="A21" s="114"/>
      <c r="B21" s="188"/>
      <c r="C21" s="14" t="s">
        <v>47</v>
      </c>
      <c r="D21" s="108">
        <f>D3</f>
        <v>4</v>
      </c>
      <c r="E21" s="192"/>
      <c r="F21" s="192"/>
      <c r="G21" s="193"/>
      <c r="H21" s="188"/>
      <c r="I21" s="16" t="s">
        <v>47</v>
      </c>
      <c r="J21" s="59">
        <f>D43*D42/J16</f>
        <v>9.3405405405405411</v>
      </c>
      <c r="K21" s="192"/>
      <c r="L21" s="192"/>
      <c r="M21" s="193"/>
      <c r="N21" s="233"/>
      <c r="O21" s="19" t="s">
        <v>16</v>
      </c>
      <c r="P21" s="136">
        <f>P20/P17*100</f>
        <v>41.236559139784944</v>
      </c>
      <c r="Q21" s="235"/>
      <c r="R21" s="192"/>
      <c r="S21" s="193"/>
      <c r="T21" s="199"/>
      <c r="U21" s="22" t="s">
        <v>39</v>
      </c>
      <c r="V21" s="64">
        <v>8.9</v>
      </c>
      <c r="W21" s="75" t="s">
        <v>28</v>
      </c>
      <c r="X21" s="76" t="s">
        <v>102</v>
      </c>
      <c r="Y21" s="77" t="s">
        <v>103</v>
      </c>
      <c r="Z21" s="74" t="s">
        <v>30</v>
      </c>
      <c r="AA21" s="114"/>
    </row>
    <row r="22" spans="1:27" ht="15" customHeight="1" x14ac:dyDescent="0.4">
      <c r="A22" s="114"/>
      <c r="B22" s="237" t="s">
        <v>15</v>
      </c>
      <c r="C22" s="13" t="s">
        <v>37</v>
      </c>
      <c r="D22" s="37">
        <f>D17-G11</f>
        <v>0.31474285714285716</v>
      </c>
      <c r="E22" s="192"/>
      <c r="F22" s="192"/>
      <c r="G22" s="193"/>
      <c r="H22" s="238" t="s">
        <v>15</v>
      </c>
      <c r="I22" s="49" t="s">
        <v>37</v>
      </c>
      <c r="J22" s="37">
        <f>J17-M11</f>
        <v>2.8506767770856423E-3</v>
      </c>
      <c r="K22" s="192"/>
      <c r="L22" s="192"/>
      <c r="M22" s="193"/>
      <c r="N22" s="204" t="s">
        <v>54</v>
      </c>
      <c r="O22" s="134" t="s">
        <v>44</v>
      </c>
      <c r="P22" s="135">
        <v>0</v>
      </c>
      <c r="Q22" s="235"/>
      <c r="R22" s="192"/>
      <c r="S22" s="193"/>
      <c r="T22" s="219" t="s">
        <v>78</v>
      </c>
      <c r="U22" s="22" t="s">
        <v>36</v>
      </c>
      <c r="V22" s="7">
        <v>100</v>
      </c>
      <c r="W22" s="183" t="s">
        <v>45</v>
      </c>
      <c r="X22" s="20" t="s">
        <v>0</v>
      </c>
      <c r="Y22" s="36">
        <f>D22</f>
        <v>0.31474285714285716</v>
      </c>
      <c r="Z22" s="10">
        <f>Y22*$Z$16</f>
        <v>0.34621714285714289</v>
      </c>
      <c r="AA22" s="114"/>
    </row>
    <row r="23" spans="1:27" ht="15" customHeight="1" x14ac:dyDescent="0.4">
      <c r="A23" s="114"/>
      <c r="B23" s="188"/>
      <c r="C23" s="14" t="s">
        <v>16</v>
      </c>
      <c r="D23" s="60">
        <f>D22/D17*100</f>
        <v>80.952380952380949</v>
      </c>
      <c r="E23" s="192"/>
      <c r="F23" s="192"/>
      <c r="G23" s="193"/>
      <c r="H23" s="188"/>
      <c r="I23" s="16" t="s">
        <v>16</v>
      </c>
      <c r="J23" s="60">
        <f>J22/J17*100</f>
        <v>1.4887984212485401</v>
      </c>
      <c r="K23" s="192"/>
      <c r="L23" s="192"/>
      <c r="M23" s="193"/>
      <c r="N23" s="231"/>
      <c r="O23" s="18" t="s">
        <v>55</v>
      </c>
      <c r="P23" s="54">
        <f>P13+P14</f>
        <v>116</v>
      </c>
      <c r="Q23" s="235"/>
      <c r="R23" s="192"/>
      <c r="S23" s="193"/>
      <c r="T23" s="198"/>
      <c r="U23" s="22" t="s">
        <v>37</v>
      </c>
      <c r="V23" s="10">
        <f>V17*V22/10000</f>
        <v>0.01</v>
      </c>
      <c r="W23" s="183"/>
      <c r="X23" s="20" t="s">
        <v>19</v>
      </c>
      <c r="Y23" s="36">
        <f>J22</f>
        <v>2.8506767770856423E-3</v>
      </c>
      <c r="Z23" s="10">
        <f t="shared" ref="Z23:Z25" si="1">Y23*$Z$16</f>
        <v>3.1357444547942068E-3</v>
      </c>
      <c r="AA23" s="114"/>
    </row>
    <row r="24" spans="1:27" ht="15" customHeight="1" x14ac:dyDescent="0.4">
      <c r="A24" s="114"/>
      <c r="B24" s="220" t="s">
        <v>106</v>
      </c>
      <c r="C24" s="14" t="s">
        <v>36</v>
      </c>
      <c r="D24" s="51">
        <v>45</v>
      </c>
      <c r="E24" s="192"/>
      <c r="F24" s="192"/>
      <c r="G24" s="193"/>
      <c r="H24" s="221" t="s">
        <v>105</v>
      </c>
      <c r="I24" s="16" t="s">
        <v>36</v>
      </c>
      <c r="J24" s="51">
        <v>8</v>
      </c>
      <c r="K24" s="192"/>
      <c r="L24" s="192"/>
      <c r="M24" s="193"/>
      <c r="N24" s="231"/>
      <c r="O24" s="18" t="s">
        <v>9</v>
      </c>
      <c r="P24" s="54">
        <f>P15</f>
        <v>40</v>
      </c>
      <c r="Q24" s="235"/>
      <c r="R24" s="192"/>
      <c r="S24" s="193"/>
      <c r="T24" s="198"/>
      <c r="U24" s="22" t="s">
        <v>10</v>
      </c>
      <c r="V24" s="10">
        <f>V23*V25</f>
        <v>8.9019999999999988E-2</v>
      </c>
      <c r="W24" s="183"/>
      <c r="X24" s="20" t="s">
        <v>26</v>
      </c>
      <c r="Y24" s="36">
        <f>P20</f>
        <v>3.8267526881720429E-2</v>
      </c>
      <c r="Z24" s="10">
        <f t="shared" si="1"/>
        <v>4.2094279569892472E-2</v>
      </c>
      <c r="AA24" s="114"/>
    </row>
    <row r="25" spans="1:27" ht="15" customHeight="1" thickBot="1" x14ac:dyDescent="0.45">
      <c r="A25" s="114"/>
      <c r="B25" s="220"/>
      <c r="C25" s="14" t="s">
        <v>17</v>
      </c>
      <c r="D25" s="52">
        <v>54</v>
      </c>
      <c r="E25" s="192"/>
      <c r="F25" s="192"/>
      <c r="G25" s="193"/>
      <c r="H25" s="221"/>
      <c r="I25" s="16" t="s">
        <v>17</v>
      </c>
      <c r="J25" s="52">
        <v>55.5</v>
      </c>
      <c r="K25" s="192"/>
      <c r="L25" s="192"/>
      <c r="M25" s="193"/>
      <c r="N25" s="231"/>
      <c r="O25" s="18" t="s">
        <v>40</v>
      </c>
      <c r="P25" s="53">
        <f>P23*P24/100</f>
        <v>46.4</v>
      </c>
      <c r="Q25" s="235"/>
      <c r="R25" s="192"/>
      <c r="S25" s="193"/>
      <c r="T25" s="198"/>
      <c r="U25" s="24" t="s">
        <v>39</v>
      </c>
      <c r="V25" s="65">
        <v>8.9019999999999992</v>
      </c>
      <c r="W25" s="183"/>
      <c r="X25" s="20" t="s">
        <v>54</v>
      </c>
      <c r="Y25" s="36">
        <f>P29</f>
        <v>1.0000000000000001E-5</v>
      </c>
      <c r="Z25" s="10">
        <f t="shared" si="1"/>
        <v>1.1000000000000001E-5</v>
      </c>
      <c r="AA25" s="114"/>
    </row>
    <row r="26" spans="1:27" ht="15" customHeight="1" thickBot="1" x14ac:dyDescent="0.45">
      <c r="A26" s="114"/>
      <c r="B26" s="220"/>
      <c r="C26" s="14" t="s">
        <v>9</v>
      </c>
      <c r="D26" s="52">
        <v>36</v>
      </c>
      <c r="E26" s="192"/>
      <c r="F26" s="192"/>
      <c r="G26" s="193"/>
      <c r="H26" s="221"/>
      <c r="I26" s="16" t="s">
        <v>9</v>
      </c>
      <c r="J26" s="52">
        <v>37.5</v>
      </c>
      <c r="K26" s="192"/>
      <c r="L26" s="192"/>
      <c r="M26" s="193"/>
      <c r="N26" s="231"/>
      <c r="O26" s="18" t="s">
        <v>37</v>
      </c>
      <c r="P26" s="36">
        <f>P22*P25/10000+0.00001</f>
        <v>1.0000000000000001E-5</v>
      </c>
      <c r="Q26" s="235"/>
      <c r="R26" s="192"/>
      <c r="S26" s="193"/>
      <c r="T26" s="222" t="s">
        <v>59</v>
      </c>
      <c r="U26" s="223"/>
      <c r="V26" s="224"/>
      <c r="W26" s="225" t="s">
        <v>56</v>
      </c>
      <c r="X26" s="79" t="str">
        <f>F6</f>
        <v>O2</v>
      </c>
      <c r="Y26" s="57">
        <v>0</v>
      </c>
      <c r="Z26" s="10">
        <f>Y26*F10</f>
        <v>0</v>
      </c>
      <c r="AA26" s="114"/>
    </row>
    <row r="27" spans="1:27" ht="15" customHeight="1" x14ac:dyDescent="0.4">
      <c r="A27" s="114"/>
      <c r="B27" s="220"/>
      <c r="C27" s="14" t="s">
        <v>40</v>
      </c>
      <c r="D27" s="53">
        <f>D25*D26/100</f>
        <v>19.440000000000001</v>
      </c>
      <c r="E27" s="192"/>
      <c r="F27" s="192"/>
      <c r="G27" s="193"/>
      <c r="H27" s="221"/>
      <c r="I27" s="16" t="s">
        <v>40</v>
      </c>
      <c r="J27" s="53">
        <f>J25*J26/100</f>
        <v>20.8125</v>
      </c>
      <c r="K27" s="192"/>
      <c r="L27" s="192"/>
      <c r="M27" s="193"/>
      <c r="N27" s="231"/>
      <c r="O27" s="18" t="s">
        <v>10</v>
      </c>
      <c r="P27" s="36">
        <f>Q10+R10</f>
        <v>0</v>
      </c>
      <c r="Q27" s="235"/>
      <c r="R27" s="192"/>
      <c r="S27" s="193"/>
      <c r="T27" s="228" t="s">
        <v>83</v>
      </c>
      <c r="U27" s="46" t="s">
        <v>36</v>
      </c>
      <c r="V27" s="56">
        <v>88</v>
      </c>
      <c r="W27" s="226"/>
      <c r="X27" s="79" t="str">
        <f>K6</f>
        <v>Carbon 2</v>
      </c>
      <c r="Y27" s="57">
        <v>0</v>
      </c>
      <c r="Z27" s="10">
        <f>Y27*K10</f>
        <v>0</v>
      </c>
      <c r="AA27" s="114"/>
    </row>
    <row r="28" spans="1:27" ht="15" customHeight="1" x14ac:dyDescent="0.4">
      <c r="A28" s="114"/>
      <c r="B28" s="220"/>
      <c r="C28" s="14" t="s">
        <v>37</v>
      </c>
      <c r="D28" s="36">
        <f>D24*D27/10000</f>
        <v>8.7480000000000002E-2</v>
      </c>
      <c r="E28" s="192"/>
      <c r="F28" s="192"/>
      <c r="G28" s="193"/>
      <c r="H28" s="221"/>
      <c r="I28" s="16" t="s">
        <v>37</v>
      </c>
      <c r="J28" s="36">
        <f>J24*J27/10000</f>
        <v>1.6650000000000002E-2</v>
      </c>
      <c r="K28" s="192"/>
      <c r="L28" s="192"/>
      <c r="M28" s="193"/>
      <c r="N28" s="231"/>
      <c r="O28" s="18" t="s">
        <v>39</v>
      </c>
      <c r="P28" s="36">
        <f>P27/P26</f>
        <v>0</v>
      </c>
      <c r="Q28" s="235"/>
      <c r="R28" s="192"/>
      <c r="S28" s="193"/>
      <c r="T28" s="229"/>
      <c r="U28" s="47" t="s">
        <v>17</v>
      </c>
      <c r="V28" s="39">
        <f>(D47+D48+D49)*2</f>
        <v>145.83199999999999</v>
      </c>
      <c r="W28" s="226"/>
      <c r="X28" s="79" t="str">
        <f>L6</f>
        <v>Binder 2</v>
      </c>
      <c r="Y28" s="57">
        <v>0</v>
      </c>
      <c r="Z28" s="10">
        <f>Y28*L10</f>
        <v>0</v>
      </c>
      <c r="AA28" s="114"/>
    </row>
    <row r="29" spans="1:27" ht="15" customHeight="1" x14ac:dyDescent="0.4">
      <c r="A29" s="114"/>
      <c r="B29" s="220"/>
      <c r="C29" s="14" t="s">
        <v>10</v>
      </c>
      <c r="D29" s="36">
        <f>D30*D28</f>
        <v>8.4855600000000003E-2</v>
      </c>
      <c r="E29" s="192"/>
      <c r="F29" s="192"/>
      <c r="G29" s="193"/>
      <c r="H29" s="221"/>
      <c r="I29" s="16" t="s">
        <v>10</v>
      </c>
      <c r="J29" s="36">
        <f>J30*J28</f>
        <v>0.14918400000000004</v>
      </c>
      <c r="K29" s="192"/>
      <c r="L29" s="192"/>
      <c r="M29" s="193"/>
      <c r="N29" s="231" t="s">
        <v>15</v>
      </c>
      <c r="O29" s="18" t="s">
        <v>37</v>
      </c>
      <c r="P29" s="36">
        <f>P26-(Q11+R11)</f>
        <v>1.0000000000000001E-5</v>
      </c>
      <c r="Q29" s="235"/>
      <c r="R29" s="192"/>
      <c r="S29" s="193"/>
      <c r="T29" s="229"/>
      <c r="U29" s="47" t="s">
        <v>9</v>
      </c>
      <c r="V29" s="39">
        <f>D47+D50</f>
        <v>44.415999999999997</v>
      </c>
      <c r="W29" s="226"/>
      <c r="X29" s="79" t="str">
        <f>Q7</f>
        <v>Name 1</v>
      </c>
      <c r="Y29" s="57">
        <v>0</v>
      </c>
      <c r="Z29" s="10">
        <f>Y30*Q10</f>
        <v>0</v>
      </c>
      <c r="AA29" s="114"/>
    </row>
    <row r="30" spans="1:27" ht="15" customHeight="1" x14ac:dyDescent="0.4">
      <c r="A30" s="114"/>
      <c r="B30" s="220"/>
      <c r="C30" s="14" t="s">
        <v>39</v>
      </c>
      <c r="D30" s="57">
        <v>0.97</v>
      </c>
      <c r="E30" s="192"/>
      <c r="F30" s="192"/>
      <c r="G30" s="193"/>
      <c r="H30" s="221"/>
      <c r="I30" s="16" t="s">
        <v>39</v>
      </c>
      <c r="J30" s="57">
        <v>8.9600000000000009</v>
      </c>
      <c r="K30" s="192"/>
      <c r="L30" s="192"/>
      <c r="M30" s="193"/>
      <c r="N30" s="231"/>
      <c r="O30" s="18" t="s">
        <v>16</v>
      </c>
      <c r="P30" s="60">
        <f>P29/P26*100</f>
        <v>100</v>
      </c>
      <c r="Q30" s="235"/>
      <c r="R30" s="192"/>
      <c r="S30" s="193"/>
      <c r="T30" s="229"/>
      <c r="U30" s="47" t="s">
        <v>40</v>
      </c>
      <c r="V30" s="25">
        <f>V28*V29/100</f>
        <v>64.772741119999992</v>
      </c>
      <c r="W30" s="227"/>
      <c r="X30" s="79" t="str">
        <f>R7</f>
        <v>Name 2</v>
      </c>
      <c r="Y30" s="57">
        <v>0</v>
      </c>
      <c r="Z30" s="10">
        <f>Y31*R10</f>
        <v>0</v>
      </c>
      <c r="AA30" s="114"/>
    </row>
    <row r="31" spans="1:27" ht="15" customHeight="1" x14ac:dyDescent="0.4">
      <c r="A31" s="114"/>
      <c r="B31" s="186" t="s">
        <v>1</v>
      </c>
      <c r="C31" s="14" t="s">
        <v>6</v>
      </c>
      <c r="D31" s="53">
        <f>D12*2+D24</f>
        <v>245</v>
      </c>
      <c r="E31" s="192"/>
      <c r="F31" s="192"/>
      <c r="G31" s="193"/>
      <c r="H31" s="196" t="s">
        <v>1</v>
      </c>
      <c r="I31" s="16" t="s">
        <v>6</v>
      </c>
      <c r="J31" s="53">
        <f>J12*2+J24</f>
        <v>100</v>
      </c>
      <c r="K31" s="192"/>
      <c r="L31" s="192"/>
      <c r="M31" s="193"/>
      <c r="N31" s="231" t="s">
        <v>89</v>
      </c>
      <c r="O31" s="18" t="s">
        <v>6</v>
      </c>
      <c r="P31" s="53">
        <f>P12+P22</f>
        <v>20</v>
      </c>
      <c r="Q31" s="235"/>
      <c r="R31" s="192"/>
      <c r="S31" s="193"/>
      <c r="T31" s="229"/>
      <c r="U31" s="47" t="s">
        <v>37</v>
      </c>
      <c r="V31" s="10">
        <f>V27*V30/10000</f>
        <v>0.57000012185599991</v>
      </c>
      <c r="W31" s="225" t="s">
        <v>100</v>
      </c>
      <c r="X31" s="20" t="s">
        <v>0</v>
      </c>
      <c r="Y31" s="57">
        <v>0</v>
      </c>
      <c r="Z31" s="10">
        <f>Y31*D16/1000</f>
        <v>0</v>
      </c>
      <c r="AA31" s="114"/>
    </row>
    <row r="32" spans="1:27" ht="15" customHeight="1" x14ac:dyDescent="0.4">
      <c r="A32" s="114"/>
      <c r="B32" s="187"/>
      <c r="C32" s="14" t="s">
        <v>37</v>
      </c>
      <c r="D32" s="36">
        <f>D17+D28</f>
        <v>0.47628000000000004</v>
      </c>
      <c r="E32" s="192"/>
      <c r="F32" s="192"/>
      <c r="G32" s="193"/>
      <c r="H32" s="187"/>
      <c r="I32" s="16" t="s">
        <v>37</v>
      </c>
      <c r="J32" s="36">
        <f>J17+J28</f>
        <v>0.208125</v>
      </c>
      <c r="K32" s="192"/>
      <c r="L32" s="192"/>
      <c r="M32" s="193"/>
      <c r="N32" s="231"/>
      <c r="O32" s="18" t="s">
        <v>37</v>
      </c>
      <c r="P32" s="36">
        <f>P17+P26</f>
        <v>9.280999999999999E-2</v>
      </c>
      <c r="Q32" s="235"/>
      <c r="R32" s="192"/>
      <c r="S32" s="193"/>
      <c r="T32" s="229"/>
      <c r="U32" s="47" t="s">
        <v>10</v>
      </c>
      <c r="V32" s="10">
        <f>V30*V33/1000</f>
        <v>0.94244338329599997</v>
      </c>
      <c r="W32" s="188"/>
      <c r="X32" s="20" t="s">
        <v>19</v>
      </c>
      <c r="Y32" s="57">
        <v>0</v>
      </c>
      <c r="Z32" s="10">
        <f>Y32*J16/1000</f>
        <v>0</v>
      </c>
      <c r="AA32" s="114"/>
    </row>
    <row r="33" spans="1:27" ht="15" customHeight="1" thickBot="1" x14ac:dyDescent="0.45">
      <c r="A33" s="114"/>
      <c r="B33" s="232"/>
      <c r="C33" s="15" t="s">
        <v>10</v>
      </c>
      <c r="D33" s="12">
        <f>D18+D29</f>
        <v>0.28138336119402985</v>
      </c>
      <c r="E33" s="194"/>
      <c r="F33" s="194"/>
      <c r="G33" s="195"/>
      <c r="H33" s="232"/>
      <c r="I33" s="17" t="s">
        <v>10</v>
      </c>
      <c r="J33" s="12">
        <f>J18+J29</f>
        <v>0.24990938860103631</v>
      </c>
      <c r="K33" s="194"/>
      <c r="L33" s="194"/>
      <c r="M33" s="195"/>
      <c r="N33" s="233"/>
      <c r="O33" s="19" t="s">
        <v>10</v>
      </c>
      <c r="P33" s="12">
        <f>P18+P27</f>
        <v>5.0715199999999995E-2</v>
      </c>
      <c r="Q33" s="236"/>
      <c r="R33" s="194"/>
      <c r="S33" s="195"/>
      <c r="T33" s="230"/>
      <c r="U33" s="48" t="s">
        <v>43</v>
      </c>
      <c r="V33" s="83">
        <v>14.55</v>
      </c>
      <c r="W33" s="23" t="s">
        <v>46</v>
      </c>
      <c r="X33" s="21" t="s">
        <v>29</v>
      </c>
      <c r="Y33" s="113">
        <f>Z33/Z16</f>
        <v>-2.4165153471177414E-3</v>
      </c>
      <c r="Z33" s="38">
        <f>Z18-SUM(Z22:Z32)</f>
        <v>-2.6581668818295157E-3</v>
      </c>
      <c r="AA33" s="114"/>
    </row>
    <row r="34" spans="1:27" ht="15" customHeight="1" thickBot="1" x14ac:dyDescent="0.45">
      <c r="A34" s="114"/>
      <c r="B34" s="114"/>
      <c r="C34" s="114"/>
      <c r="D34" s="115"/>
      <c r="E34" s="115"/>
      <c r="F34" s="115"/>
      <c r="G34" s="115"/>
      <c r="H34" s="114"/>
      <c r="I34" s="114"/>
      <c r="J34" s="115"/>
      <c r="K34" s="115"/>
      <c r="L34" s="115"/>
      <c r="M34" s="115"/>
      <c r="N34" s="127"/>
      <c r="O34" s="127"/>
      <c r="P34" s="128"/>
      <c r="Q34" s="115"/>
      <c r="R34" s="115"/>
      <c r="S34" s="115"/>
      <c r="T34" s="129"/>
      <c r="U34" s="129"/>
      <c r="V34" s="129"/>
      <c r="W34" s="130"/>
      <c r="X34" s="130"/>
      <c r="Y34" s="130"/>
      <c r="Z34" s="130"/>
      <c r="AA34" s="114"/>
    </row>
    <row r="35" spans="1:27" ht="15" customHeight="1" thickBot="1" x14ac:dyDescent="0.45">
      <c r="A35" s="114"/>
      <c r="B35" s="247" t="s">
        <v>31</v>
      </c>
      <c r="C35" s="248"/>
      <c r="D35" s="248"/>
      <c r="E35" s="248"/>
      <c r="F35" s="248"/>
      <c r="G35" s="249"/>
      <c r="H35" s="129"/>
      <c r="I35" s="88" t="s">
        <v>3</v>
      </c>
      <c r="J35" s="89" t="s">
        <v>30</v>
      </c>
      <c r="K35" s="90" t="s">
        <v>72</v>
      </c>
      <c r="L35" s="91" t="s">
        <v>71</v>
      </c>
      <c r="M35" s="90" t="s">
        <v>73</v>
      </c>
      <c r="N35" s="114"/>
      <c r="O35" s="114"/>
      <c r="P35" s="115"/>
      <c r="Q35" s="115"/>
      <c r="R35" s="115"/>
      <c r="S35" s="115"/>
      <c r="T35" s="129"/>
      <c r="U35" s="129"/>
      <c r="V35" s="129"/>
      <c r="W35" s="114"/>
      <c r="X35" s="114"/>
      <c r="Y35" s="114"/>
      <c r="Z35" s="114"/>
      <c r="AA35" s="114"/>
    </row>
    <row r="36" spans="1:27" ht="15" customHeight="1" x14ac:dyDescent="0.4">
      <c r="A36" s="114"/>
      <c r="B36" s="250" t="s">
        <v>33</v>
      </c>
      <c r="C36" s="31" t="s">
        <v>36</v>
      </c>
      <c r="D36" s="45">
        <f>D31+J31+P31*2</f>
        <v>385</v>
      </c>
      <c r="E36" s="253"/>
      <c r="F36" s="254"/>
      <c r="G36" s="255"/>
      <c r="H36" s="131"/>
      <c r="I36" s="92" t="str">
        <f>D6</f>
        <v>Carbon</v>
      </c>
      <c r="J36" s="93">
        <f>D10*$D$44</f>
        <v>0.72576000000000007</v>
      </c>
      <c r="K36" s="94">
        <f t="shared" ref="K36:K50" si="2">J36/$J$51*100</f>
        <v>9.0248219402544514</v>
      </c>
      <c r="L36" s="95">
        <f>D11*$D$44</f>
        <v>0.51840000000000008</v>
      </c>
      <c r="M36" s="94">
        <f t="shared" ref="M36:M50" si="3">L36/$L$51*100</f>
        <v>8.4691524725706255</v>
      </c>
      <c r="N36" s="132"/>
      <c r="O36" s="114"/>
      <c r="P36" s="115"/>
      <c r="Q36" s="115"/>
      <c r="R36" s="115"/>
      <c r="S36" s="115"/>
      <c r="T36" s="129"/>
      <c r="U36" s="129"/>
      <c r="V36" s="129"/>
      <c r="W36" s="114"/>
      <c r="X36" s="114"/>
      <c r="Y36" s="114"/>
      <c r="Z36" s="114"/>
      <c r="AA36" s="114"/>
    </row>
    <row r="37" spans="1:27" ht="15" customHeight="1" x14ac:dyDescent="0.4">
      <c r="A37" s="114"/>
      <c r="B37" s="251"/>
      <c r="C37" s="32" t="s">
        <v>17</v>
      </c>
      <c r="D37" s="39">
        <f>P13</f>
        <v>58</v>
      </c>
      <c r="E37" s="256"/>
      <c r="F37" s="257"/>
      <c r="G37" s="258"/>
      <c r="H37" s="129"/>
      <c r="I37" s="96" t="str">
        <f>E6</f>
        <v>Binder 1</v>
      </c>
      <c r="J37" s="97">
        <f>E10*$D$44</f>
        <v>0</v>
      </c>
      <c r="K37" s="39">
        <f t="shared" si="2"/>
        <v>0</v>
      </c>
      <c r="L37" s="98">
        <f>E11*$D$44</f>
        <v>0</v>
      </c>
      <c r="M37" s="39">
        <f t="shared" si="3"/>
        <v>0</v>
      </c>
      <c r="N37" s="132"/>
      <c r="O37" s="114"/>
      <c r="P37" s="115"/>
      <c r="Q37" s="115"/>
      <c r="R37" s="115"/>
      <c r="S37" s="115"/>
      <c r="T37" s="129"/>
      <c r="U37" s="129"/>
      <c r="V37" s="129"/>
      <c r="W37" s="114"/>
      <c r="X37" s="114"/>
      <c r="Y37" s="114"/>
      <c r="Z37" s="114"/>
      <c r="AA37" s="114"/>
    </row>
    <row r="38" spans="1:27" ht="15" customHeight="1" x14ac:dyDescent="0.4">
      <c r="A38" s="114"/>
      <c r="B38" s="251"/>
      <c r="C38" s="32" t="s">
        <v>9</v>
      </c>
      <c r="D38" s="39">
        <f>P15</f>
        <v>40</v>
      </c>
      <c r="E38" s="256"/>
      <c r="F38" s="257"/>
      <c r="G38" s="258"/>
      <c r="H38" s="129"/>
      <c r="I38" s="96" t="str">
        <f>F6</f>
        <v>O2</v>
      </c>
      <c r="J38" s="150">
        <f>F10*$D$44</f>
        <v>0.64993432835820908</v>
      </c>
      <c r="K38" s="149">
        <f t="shared" si="2"/>
        <v>8.0819300957502556</v>
      </c>
      <c r="L38" s="139">
        <v>0</v>
      </c>
      <c r="M38" s="149">
        <f t="shared" si="3"/>
        <v>0</v>
      </c>
      <c r="N38" s="132"/>
      <c r="O38" s="114"/>
      <c r="P38" s="115"/>
      <c r="Q38" s="115"/>
      <c r="R38" s="115"/>
      <c r="S38" s="115"/>
      <c r="T38" s="129"/>
      <c r="U38" s="129"/>
      <c r="V38" s="129"/>
      <c r="W38" s="114"/>
      <c r="X38" s="114"/>
      <c r="Y38" s="114"/>
      <c r="Z38" s="114"/>
      <c r="AA38" s="114"/>
    </row>
    <row r="39" spans="1:27" ht="15" customHeight="1" x14ac:dyDescent="0.4">
      <c r="A39" s="114"/>
      <c r="B39" s="251"/>
      <c r="C39" s="32" t="s">
        <v>40</v>
      </c>
      <c r="D39" s="25">
        <f>D37*D38/100</f>
        <v>23.2</v>
      </c>
      <c r="E39" s="256"/>
      <c r="F39" s="257"/>
      <c r="G39" s="258"/>
      <c r="H39" s="129"/>
      <c r="I39" s="99" t="str">
        <f>B24</f>
        <v>Substrate (Ni/PET)</v>
      </c>
      <c r="J39" s="97">
        <f>D29*($D$44+1)</f>
        <v>0.67884480000000003</v>
      </c>
      <c r="K39" s="39">
        <f t="shared" si="2"/>
        <v>8.4414316648308585</v>
      </c>
      <c r="L39" s="98">
        <f>D28*($D$44+1)</f>
        <v>0.69984000000000002</v>
      </c>
      <c r="M39" s="39">
        <f t="shared" si="3"/>
        <v>11.433355837970343</v>
      </c>
      <c r="N39" s="132"/>
      <c r="O39" s="114"/>
      <c r="P39" s="115"/>
      <c r="Q39" s="115"/>
      <c r="R39" s="115"/>
      <c r="S39" s="115"/>
      <c r="T39" s="129"/>
      <c r="U39" s="129"/>
      <c r="V39" s="129"/>
      <c r="W39" s="114"/>
      <c r="X39" s="114"/>
      <c r="Y39" s="114"/>
      <c r="Z39" s="114"/>
      <c r="AA39" s="114"/>
    </row>
    <row r="40" spans="1:27" ht="15" customHeight="1" x14ac:dyDescent="0.4">
      <c r="A40" s="114"/>
      <c r="B40" s="251"/>
      <c r="C40" s="32" t="s">
        <v>37</v>
      </c>
      <c r="D40" s="39">
        <f>D32+J32+P32+V10+V13+Z19</f>
        <v>1.1332135454545456</v>
      </c>
      <c r="E40" s="256"/>
      <c r="F40" s="257"/>
      <c r="G40" s="258"/>
      <c r="H40" s="131"/>
      <c r="I40" s="96" t="str">
        <f>J6</f>
        <v>Li</v>
      </c>
      <c r="J40" s="97">
        <f>J10*$D$44</f>
        <v>0.7050777202072539</v>
      </c>
      <c r="K40" s="39">
        <f t="shared" si="2"/>
        <v>8.7676378953249205</v>
      </c>
      <c r="L40" s="98">
        <f>J11*$D$44</f>
        <v>1.3203702625604006</v>
      </c>
      <c r="M40" s="39">
        <f t="shared" si="3"/>
        <v>21.571020590031136</v>
      </c>
      <c r="N40" s="132"/>
      <c r="O40" s="114"/>
      <c r="P40" s="115"/>
      <c r="Q40" s="115"/>
      <c r="R40" s="115"/>
      <c r="S40" s="115"/>
      <c r="T40" s="129"/>
      <c r="U40" s="129"/>
      <c r="V40" s="129"/>
      <c r="W40" s="114"/>
      <c r="X40" s="114"/>
      <c r="Y40" s="114"/>
      <c r="Z40" s="114"/>
      <c r="AA40" s="114"/>
    </row>
    <row r="41" spans="1:27" ht="15" customHeight="1" x14ac:dyDescent="0.4">
      <c r="A41" s="114"/>
      <c r="B41" s="251"/>
      <c r="C41" s="32" t="s">
        <v>10</v>
      </c>
      <c r="D41" s="39">
        <f>D33+J33+P33+V11+V14+Z18</f>
        <v>0.97634378979506609</v>
      </c>
      <c r="E41" s="256"/>
      <c r="F41" s="257"/>
      <c r="G41" s="258"/>
      <c r="H41" s="129"/>
      <c r="I41" s="96" t="str">
        <f>K6</f>
        <v>Carbon 2</v>
      </c>
      <c r="J41" s="97">
        <f>K10*$D$44</f>
        <v>0</v>
      </c>
      <c r="K41" s="39">
        <f t="shared" si="2"/>
        <v>0</v>
      </c>
      <c r="L41" s="98">
        <f>K11*$D$44</f>
        <v>0</v>
      </c>
      <c r="M41" s="39">
        <f t="shared" si="3"/>
        <v>0</v>
      </c>
      <c r="N41" s="132"/>
      <c r="O41" s="114"/>
      <c r="P41" s="115"/>
      <c r="Q41" s="115"/>
      <c r="R41" s="115"/>
      <c r="S41" s="115"/>
      <c r="T41" s="129"/>
      <c r="U41" s="129"/>
      <c r="V41" s="129"/>
      <c r="W41" s="114"/>
      <c r="X41" s="114"/>
      <c r="Y41" s="114"/>
      <c r="Z41" s="114"/>
      <c r="AA41" s="114"/>
    </row>
    <row r="42" spans="1:27" ht="15" customHeight="1" x14ac:dyDescent="0.4">
      <c r="A42" s="114"/>
      <c r="B42" s="251"/>
      <c r="C42" s="32" t="s">
        <v>50</v>
      </c>
      <c r="D42" s="109">
        <f>E3</f>
        <v>2.5</v>
      </c>
      <c r="E42" s="256"/>
      <c r="F42" s="257"/>
      <c r="G42" s="258"/>
      <c r="H42" s="129"/>
      <c r="I42" s="96" t="str">
        <f>L6</f>
        <v>Binder 2</v>
      </c>
      <c r="J42" s="97">
        <f>L10*$D$44</f>
        <v>0</v>
      </c>
      <c r="K42" s="39">
        <f t="shared" si="2"/>
        <v>0</v>
      </c>
      <c r="L42" s="98">
        <f>L11*$D$44</f>
        <v>0</v>
      </c>
      <c r="M42" s="39">
        <f t="shared" si="3"/>
        <v>0</v>
      </c>
      <c r="N42" s="132"/>
      <c r="O42" s="114"/>
      <c r="P42" s="115"/>
      <c r="Q42" s="115"/>
      <c r="R42" s="115"/>
      <c r="S42" s="115"/>
      <c r="T42" s="129"/>
      <c r="U42" s="129"/>
      <c r="V42" s="129"/>
      <c r="W42" s="114"/>
      <c r="X42" s="114"/>
      <c r="Y42" s="114"/>
      <c r="Z42" s="114"/>
      <c r="AA42" s="114"/>
    </row>
    <row r="43" spans="1:27" ht="15" customHeight="1" thickBot="1" x14ac:dyDescent="0.45">
      <c r="A43" s="114"/>
      <c r="B43" s="252"/>
      <c r="C43" s="33" t="s">
        <v>13</v>
      </c>
      <c r="D43" s="84">
        <f>D16*D21</f>
        <v>155.52000000000001</v>
      </c>
      <c r="E43" s="256"/>
      <c r="F43" s="257"/>
      <c r="G43" s="258"/>
      <c r="H43" s="129"/>
      <c r="I43" s="99" t="str">
        <f>H24</f>
        <v>Substrate  (Cu)</v>
      </c>
      <c r="J43" s="97">
        <f>J29*$D$44</f>
        <v>1.0442880000000003</v>
      </c>
      <c r="K43" s="39">
        <f t="shared" si="2"/>
        <v>12.985716014032796</v>
      </c>
      <c r="L43" s="98">
        <f>J28*$D$44</f>
        <v>0.11655000000000001</v>
      </c>
      <c r="M43" s="39">
        <f t="shared" si="3"/>
        <v>1.9040889673574584</v>
      </c>
      <c r="N43" s="132"/>
      <c r="O43" s="114"/>
      <c r="P43" s="115"/>
      <c r="Q43" s="115"/>
      <c r="R43" s="115"/>
      <c r="S43" s="115"/>
      <c r="T43" s="129"/>
      <c r="U43" s="129"/>
      <c r="V43" s="129"/>
      <c r="W43" s="114"/>
      <c r="X43" s="114"/>
      <c r="Y43" s="114"/>
      <c r="Z43" s="114"/>
      <c r="AA43" s="114"/>
    </row>
    <row r="44" spans="1:27" ht="15" customHeight="1" x14ac:dyDescent="0.4">
      <c r="A44" s="114"/>
      <c r="B44" s="250" t="s">
        <v>32</v>
      </c>
      <c r="C44" s="34" t="s">
        <v>85</v>
      </c>
      <c r="D44" s="111">
        <f>G3</f>
        <v>7</v>
      </c>
      <c r="E44" s="253"/>
      <c r="F44" s="260"/>
      <c r="G44" s="261"/>
      <c r="H44" s="131"/>
      <c r="I44" s="96" t="str">
        <f>P7</f>
        <v>PE</v>
      </c>
      <c r="J44" s="97">
        <f>P10*$D$44</f>
        <v>0.35500639999999994</v>
      </c>
      <c r="K44" s="39">
        <f t="shared" si="2"/>
        <v>4.4145027938309456</v>
      </c>
      <c r="L44" s="98">
        <f>P11*$D$44</f>
        <v>0.38172731182795694</v>
      </c>
      <c r="M44" s="39">
        <f t="shared" si="3"/>
        <v>6.2363171427767732</v>
      </c>
      <c r="N44" s="132"/>
      <c r="O44" s="114"/>
      <c r="P44" s="115"/>
      <c r="Q44" s="115"/>
      <c r="R44" s="115"/>
      <c r="S44" s="115"/>
      <c r="T44" s="114"/>
      <c r="U44" s="114"/>
      <c r="V44" s="114"/>
      <c r="W44" s="114"/>
      <c r="X44" s="114"/>
      <c r="Y44" s="114"/>
      <c r="Z44" s="114"/>
      <c r="AA44" s="114"/>
    </row>
    <row r="45" spans="1:27" ht="15" customHeight="1" x14ac:dyDescent="0.4">
      <c r="A45" s="114"/>
      <c r="B45" s="226"/>
      <c r="C45" s="32" t="s">
        <v>6</v>
      </c>
      <c r="D45" s="10">
        <f>(D36*D44+D24+V27*2)/1000</f>
        <v>2.9159999999999999</v>
      </c>
      <c r="E45" s="262"/>
      <c r="F45" s="263"/>
      <c r="G45" s="264"/>
      <c r="H45" s="129"/>
      <c r="I45" s="96" t="str">
        <f>Q7</f>
        <v>Name 1</v>
      </c>
      <c r="J45" s="97">
        <f>Q10*$D$44</f>
        <v>0</v>
      </c>
      <c r="K45" s="39">
        <f t="shared" si="2"/>
        <v>0</v>
      </c>
      <c r="L45" s="98">
        <f>Q11*$D$44</f>
        <v>0</v>
      </c>
      <c r="M45" s="39">
        <f t="shared" si="3"/>
        <v>0</v>
      </c>
      <c r="N45" s="132"/>
      <c r="O45" s="114"/>
      <c r="P45" s="115"/>
      <c r="Q45" s="115"/>
      <c r="R45" s="115"/>
      <c r="S45" s="115"/>
      <c r="T45" s="114"/>
      <c r="U45" s="114"/>
      <c r="V45" s="114"/>
      <c r="W45" s="114"/>
      <c r="X45" s="114"/>
      <c r="Y45" s="114"/>
      <c r="Z45" s="114"/>
      <c r="AA45" s="114"/>
    </row>
    <row r="46" spans="1:27" ht="15" customHeight="1" x14ac:dyDescent="0.4">
      <c r="A46" s="114"/>
      <c r="B46" s="226"/>
      <c r="C46" s="32" t="s">
        <v>68</v>
      </c>
      <c r="D46" s="39">
        <f>J3</f>
        <v>0</v>
      </c>
      <c r="E46" s="262"/>
      <c r="F46" s="263"/>
      <c r="G46" s="264"/>
      <c r="H46" s="129"/>
      <c r="I46" s="96" t="str">
        <f>R7</f>
        <v>Name 2</v>
      </c>
      <c r="J46" s="97">
        <f>R10*$D$44</f>
        <v>0</v>
      </c>
      <c r="K46" s="39">
        <f t="shared" si="2"/>
        <v>0</v>
      </c>
      <c r="L46" s="98">
        <f>R11*$D$44</f>
        <v>0</v>
      </c>
      <c r="M46" s="39">
        <f t="shared" si="3"/>
        <v>0</v>
      </c>
      <c r="N46" s="132"/>
      <c r="O46" s="114"/>
      <c r="P46" s="115"/>
      <c r="Q46" s="115"/>
      <c r="R46" s="115"/>
      <c r="S46" s="115"/>
      <c r="T46" s="114"/>
      <c r="U46" s="114"/>
      <c r="V46" s="114"/>
      <c r="W46" s="114"/>
      <c r="X46" s="114"/>
      <c r="Y46" s="114"/>
      <c r="Z46" s="114"/>
      <c r="AA46" s="114"/>
    </row>
    <row r="47" spans="1:27" ht="15" customHeight="1" x14ac:dyDescent="0.4">
      <c r="A47" s="114"/>
      <c r="B47" s="226"/>
      <c r="C47" s="32" t="s">
        <v>67</v>
      </c>
      <c r="D47" s="10">
        <f>D45*(1+D46/100)</f>
        <v>2.9159999999999999</v>
      </c>
      <c r="E47" s="262"/>
      <c r="F47" s="263"/>
      <c r="G47" s="264"/>
      <c r="H47" s="129"/>
      <c r="I47" s="96" t="s">
        <v>28</v>
      </c>
      <c r="J47" s="97">
        <f>Z18*$D$44</f>
        <v>2.7216000000000005</v>
      </c>
      <c r="K47" s="39">
        <f t="shared" si="2"/>
        <v>33.843082275954195</v>
      </c>
      <c r="L47" s="98">
        <f>Z19*$D$44</f>
        <v>2.474181818181818</v>
      </c>
      <c r="M47" s="39">
        <f t="shared" si="3"/>
        <v>40.42095498272343</v>
      </c>
      <c r="N47" s="132"/>
      <c r="O47" s="114"/>
      <c r="P47" s="115"/>
      <c r="Q47" s="115"/>
      <c r="R47" s="115"/>
      <c r="S47" s="115"/>
      <c r="T47" s="114"/>
      <c r="U47" s="114"/>
      <c r="V47" s="114"/>
      <c r="W47" s="114"/>
      <c r="X47" s="114"/>
      <c r="Y47" s="114"/>
      <c r="Z47" s="114"/>
      <c r="AA47" s="114"/>
    </row>
    <row r="48" spans="1:27" ht="15" customHeight="1" x14ac:dyDescent="0.4">
      <c r="A48" s="114"/>
      <c r="B48" s="226"/>
      <c r="C48" s="32" t="s">
        <v>96</v>
      </c>
      <c r="D48" s="40">
        <v>60</v>
      </c>
      <c r="E48" s="262"/>
      <c r="F48" s="263"/>
      <c r="G48" s="264"/>
      <c r="H48" s="129"/>
      <c r="I48" s="96" t="s">
        <v>70</v>
      </c>
      <c r="J48" s="97">
        <f>(V11+V14)*$D$44+V11</f>
        <v>4.084608E-2</v>
      </c>
      <c r="K48" s="39">
        <f t="shared" si="2"/>
        <v>0.50792079882797136</v>
      </c>
      <c r="L48" s="98">
        <f>(V10+V13)*$D$44+V10</f>
        <v>1.9967999999999996E-2</v>
      </c>
      <c r="M48" s="39">
        <f t="shared" si="3"/>
        <v>0.32621920635086843</v>
      </c>
      <c r="N48" s="132"/>
      <c r="O48" s="114"/>
      <c r="P48" s="115"/>
      <c r="Q48" s="115"/>
      <c r="R48" s="115"/>
      <c r="S48" s="115"/>
      <c r="T48" s="114"/>
      <c r="U48" s="114"/>
      <c r="V48" s="114"/>
      <c r="W48" s="114"/>
      <c r="X48" s="114"/>
      <c r="Y48" s="114"/>
      <c r="Z48" s="114"/>
      <c r="AA48" s="114"/>
    </row>
    <row r="49" spans="1:27" ht="15" customHeight="1" x14ac:dyDescent="0.4">
      <c r="A49" s="114"/>
      <c r="B49" s="226"/>
      <c r="C49" s="32" t="s">
        <v>97</v>
      </c>
      <c r="D49" s="40">
        <v>10</v>
      </c>
      <c r="E49" s="262"/>
      <c r="F49" s="263"/>
      <c r="G49" s="264"/>
      <c r="H49" s="129"/>
      <c r="I49" s="96" t="s">
        <v>79</v>
      </c>
      <c r="J49" s="97">
        <f>V20+V24</f>
        <v>0.17802000000000001</v>
      </c>
      <c r="K49" s="39">
        <f t="shared" si="2"/>
        <v>2.2136778023094377</v>
      </c>
      <c r="L49" s="98">
        <f>V19+V23</f>
        <v>0.02</v>
      </c>
      <c r="M49" s="39">
        <f t="shared" si="3"/>
        <v>0.32674199354053329</v>
      </c>
      <c r="N49" s="132"/>
      <c r="O49" s="114"/>
      <c r="P49" s="115"/>
      <c r="Q49" s="115"/>
      <c r="R49" s="115"/>
      <c r="S49" s="115"/>
      <c r="T49" s="114"/>
      <c r="U49" s="114"/>
      <c r="V49" s="114"/>
      <c r="W49" s="114"/>
      <c r="X49" s="114"/>
      <c r="Y49" s="114"/>
      <c r="Z49" s="114"/>
      <c r="AA49" s="114"/>
    </row>
    <row r="50" spans="1:27" ht="15" customHeight="1" thickBot="1" x14ac:dyDescent="0.45">
      <c r="A50" s="114"/>
      <c r="B50" s="226"/>
      <c r="C50" s="32" t="s">
        <v>9</v>
      </c>
      <c r="D50" s="40">
        <v>41.5</v>
      </c>
      <c r="E50" s="262"/>
      <c r="F50" s="263"/>
      <c r="G50" s="264"/>
      <c r="H50" s="129"/>
      <c r="I50" s="100" t="s">
        <v>59</v>
      </c>
      <c r="J50" s="101">
        <f>V32</f>
        <v>0.94244338329599997</v>
      </c>
      <c r="K50" s="84">
        <f t="shared" si="2"/>
        <v>11.719278718884169</v>
      </c>
      <c r="L50" s="102">
        <f>V31</f>
        <v>0.57000012185599991</v>
      </c>
      <c r="M50" s="84">
        <f t="shared" si="3"/>
        <v>9.3121488066788167</v>
      </c>
      <c r="N50" s="132"/>
      <c r="O50" s="114"/>
      <c r="P50" s="115"/>
      <c r="Q50" s="115"/>
      <c r="R50" s="115"/>
      <c r="S50" s="115"/>
      <c r="T50" s="114"/>
      <c r="U50" s="114"/>
      <c r="V50" s="114"/>
      <c r="W50" s="114"/>
      <c r="X50" s="114"/>
      <c r="Y50" s="114"/>
      <c r="Z50" s="114"/>
      <c r="AA50" s="114"/>
    </row>
    <row r="51" spans="1:27" ht="15" customHeight="1" thickBot="1" x14ac:dyDescent="0.45">
      <c r="A51" s="114"/>
      <c r="B51" s="226"/>
      <c r="C51" s="32" t="s">
        <v>40</v>
      </c>
      <c r="D51" s="25">
        <f>D48*D50/100</f>
        <v>24.9</v>
      </c>
      <c r="E51" s="262"/>
      <c r="F51" s="263"/>
      <c r="G51" s="264"/>
      <c r="H51" s="129"/>
      <c r="I51" s="103" t="s">
        <v>12</v>
      </c>
      <c r="J51" s="104">
        <f>SUM(J36:J50)</f>
        <v>8.0418207118614635</v>
      </c>
      <c r="K51" s="105">
        <f>SUM(K36:K50)</f>
        <v>100</v>
      </c>
      <c r="L51" s="106">
        <f>SUM(L36:L50)</f>
        <v>6.1210375144261766</v>
      </c>
      <c r="M51" s="105">
        <f>SUM(M36:M50)</f>
        <v>100</v>
      </c>
      <c r="N51" s="114"/>
      <c r="O51" s="114"/>
      <c r="P51" s="115"/>
      <c r="Q51" s="115"/>
      <c r="R51" s="115"/>
      <c r="S51" s="115"/>
      <c r="T51" s="114"/>
      <c r="U51" s="114"/>
      <c r="V51" s="114"/>
      <c r="W51" s="114"/>
      <c r="X51" s="114"/>
      <c r="Y51" s="114"/>
      <c r="Z51" s="114"/>
      <c r="AA51" s="114"/>
    </row>
    <row r="52" spans="1:27" ht="15" customHeight="1" x14ac:dyDescent="0.4">
      <c r="A52" s="114"/>
      <c r="B52" s="226"/>
      <c r="C52" s="32" t="s">
        <v>37</v>
      </c>
      <c r="D52" s="10">
        <f>(D47*D51/10)+(D49/10*D50/10*V27*2/10000)+(V15/10*V16/10*(V18+V22)/10000)</f>
        <v>7.3538799999999984</v>
      </c>
      <c r="E52" s="262"/>
      <c r="F52" s="263"/>
      <c r="G52" s="264"/>
      <c r="H52" s="129"/>
      <c r="I52" s="129"/>
      <c r="J52" s="129"/>
      <c r="K52" s="115"/>
      <c r="L52" s="115"/>
      <c r="M52" s="115"/>
      <c r="N52" s="114"/>
      <c r="O52" s="114"/>
      <c r="P52" s="115"/>
      <c r="Q52" s="115"/>
      <c r="R52" s="115"/>
      <c r="S52" s="115"/>
      <c r="T52" s="114"/>
      <c r="U52" s="114"/>
      <c r="V52" s="114"/>
      <c r="W52" s="114"/>
      <c r="X52" s="114"/>
      <c r="Y52" s="114"/>
      <c r="Z52" s="114"/>
      <c r="AA52" s="114"/>
    </row>
    <row r="53" spans="1:27" ht="15" customHeight="1" x14ac:dyDescent="0.4">
      <c r="A53" s="114"/>
      <c r="B53" s="226"/>
      <c r="C53" s="32" t="s">
        <v>69</v>
      </c>
      <c r="D53" s="112">
        <f>D52-L51</f>
        <v>1.2328424855738218</v>
      </c>
      <c r="E53" s="262"/>
      <c r="F53" s="263"/>
      <c r="G53" s="264"/>
      <c r="H53" s="129"/>
      <c r="I53" s="129"/>
      <c r="J53" s="133"/>
      <c r="K53" s="115"/>
      <c r="L53" s="115"/>
      <c r="M53" s="115"/>
      <c r="N53" s="114"/>
      <c r="O53" s="114"/>
      <c r="P53" s="115"/>
      <c r="Q53" s="115"/>
      <c r="R53" s="115"/>
      <c r="S53" s="115"/>
      <c r="T53" s="114"/>
      <c r="U53" s="114"/>
      <c r="V53" s="114"/>
      <c r="W53" s="114"/>
      <c r="X53" s="114"/>
      <c r="Y53" s="114"/>
      <c r="Z53" s="114"/>
      <c r="AA53" s="114"/>
    </row>
    <row r="54" spans="1:27" ht="15" customHeight="1" x14ac:dyDescent="0.4">
      <c r="A54" s="114"/>
      <c r="B54" s="226"/>
      <c r="C54" s="32" t="s">
        <v>10</v>
      </c>
      <c r="D54" s="10">
        <f>D41*D44+(D29+V11)+V20+V24+V32</f>
        <v>8.0418207118614635</v>
      </c>
      <c r="E54" s="262"/>
      <c r="F54" s="263"/>
      <c r="G54" s="264"/>
      <c r="H54" s="129"/>
      <c r="I54" s="129"/>
      <c r="J54" s="133"/>
      <c r="K54" s="115"/>
      <c r="L54" s="115"/>
      <c r="M54" s="115"/>
      <c r="N54" s="114"/>
      <c r="O54" s="114"/>
      <c r="P54" s="115"/>
      <c r="Q54" s="115"/>
      <c r="R54" s="115"/>
      <c r="S54" s="115"/>
      <c r="T54" s="114"/>
      <c r="U54" s="114"/>
      <c r="V54" s="114"/>
      <c r="W54" s="114"/>
      <c r="X54" s="114"/>
      <c r="Y54" s="114"/>
      <c r="Z54" s="114"/>
      <c r="AA54" s="114"/>
    </row>
    <row r="55" spans="1:27" ht="15" customHeight="1" thickBot="1" x14ac:dyDescent="0.45">
      <c r="A55" s="114"/>
      <c r="B55" s="259"/>
      <c r="C55" s="35" t="s">
        <v>48</v>
      </c>
      <c r="D55" s="38">
        <f>D54/D52</f>
        <v>1.0935479926054634</v>
      </c>
      <c r="E55" s="262"/>
      <c r="F55" s="263"/>
      <c r="G55" s="264"/>
      <c r="H55" s="129"/>
      <c r="I55" s="129"/>
      <c r="J55" s="133"/>
      <c r="K55" s="115"/>
      <c r="L55" s="115"/>
      <c r="M55" s="115"/>
      <c r="N55" s="114"/>
      <c r="O55" s="114"/>
      <c r="P55" s="115"/>
      <c r="Q55" s="115"/>
      <c r="R55" s="115"/>
      <c r="S55" s="115"/>
      <c r="T55" s="114"/>
      <c r="U55" s="114"/>
      <c r="V55" s="116"/>
      <c r="W55" s="114"/>
      <c r="X55" s="114"/>
      <c r="Y55" s="114"/>
      <c r="Z55" s="114"/>
      <c r="AA55" s="114"/>
    </row>
    <row r="56" spans="1:27" ht="15" customHeight="1" x14ac:dyDescent="0.4">
      <c r="A56" s="114"/>
      <c r="B56" s="250" t="s">
        <v>66</v>
      </c>
      <c r="C56" s="31" t="s">
        <v>74</v>
      </c>
      <c r="D56" s="50">
        <f>D43*D44/1000</f>
        <v>1.0886400000000001</v>
      </c>
      <c r="E56" s="262"/>
      <c r="F56" s="263"/>
      <c r="G56" s="264"/>
      <c r="H56" s="129"/>
      <c r="I56" s="129"/>
      <c r="J56" s="133"/>
      <c r="K56" s="115"/>
      <c r="L56" s="115"/>
      <c r="M56" s="115"/>
      <c r="N56" s="114"/>
      <c r="O56" s="114"/>
      <c r="P56" s="115"/>
      <c r="Q56" s="115"/>
      <c r="R56" s="115"/>
      <c r="S56" s="115"/>
      <c r="T56" s="114"/>
      <c r="U56" s="114"/>
      <c r="V56" s="116"/>
      <c r="W56" s="114"/>
      <c r="X56" s="114"/>
      <c r="Y56" s="114"/>
      <c r="Z56" s="114"/>
      <c r="AA56" s="114"/>
    </row>
    <row r="57" spans="1:27" ht="15" customHeight="1" x14ac:dyDescent="0.4">
      <c r="A57" s="114"/>
      <c r="B57" s="226"/>
      <c r="C57" s="32" t="s">
        <v>34</v>
      </c>
      <c r="D57" s="110">
        <f>H3</f>
        <v>2.7</v>
      </c>
      <c r="E57" s="262"/>
      <c r="F57" s="263"/>
      <c r="G57" s="264"/>
      <c r="H57" s="129"/>
      <c r="I57" s="129"/>
      <c r="J57" s="133"/>
      <c r="K57" s="115"/>
      <c r="L57" s="115"/>
      <c r="M57" s="115"/>
      <c r="N57" s="114"/>
      <c r="O57" s="114"/>
      <c r="P57" s="115"/>
      <c r="Q57" s="115"/>
      <c r="R57" s="115"/>
      <c r="S57" s="115"/>
      <c r="T57" s="114"/>
      <c r="U57" s="114"/>
      <c r="V57" s="116"/>
      <c r="W57" s="114"/>
      <c r="X57" s="114"/>
      <c r="Y57" s="114"/>
      <c r="Z57" s="114"/>
      <c r="AA57" s="114"/>
    </row>
    <row r="58" spans="1:27" ht="15" customHeight="1" x14ac:dyDescent="0.4">
      <c r="A58" s="114"/>
      <c r="B58" s="226"/>
      <c r="C58" s="32" t="s">
        <v>35</v>
      </c>
      <c r="D58" s="8">
        <f>D56*D57</f>
        <v>2.9393280000000002</v>
      </c>
      <c r="E58" s="262"/>
      <c r="F58" s="263"/>
      <c r="G58" s="264"/>
      <c r="H58" s="114"/>
      <c r="I58" s="129"/>
      <c r="J58" s="133"/>
      <c r="K58" s="115"/>
      <c r="L58" s="115"/>
      <c r="M58" s="115"/>
      <c r="N58" s="114"/>
      <c r="O58" s="114"/>
      <c r="P58" s="115"/>
      <c r="Q58" s="115"/>
      <c r="R58" s="115"/>
      <c r="S58" s="115"/>
      <c r="T58" s="114"/>
      <c r="U58" s="114"/>
      <c r="V58" s="116"/>
      <c r="W58" s="114"/>
      <c r="X58" s="114"/>
      <c r="Y58" s="114"/>
      <c r="Z58" s="114"/>
      <c r="AA58" s="114"/>
    </row>
    <row r="59" spans="1:27" ht="15" customHeight="1" x14ac:dyDescent="0.4">
      <c r="A59" s="114"/>
      <c r="B59" s="226"/>
      <c r="C59" s="32" t="s">
        <v>64</v>
      </c>
      <c r="D59" s="29">
        <f>D58/D54*1000</f>
        <v>365.50528858030526</v>
      </c>
      <c r="E59" s="262"/>
      <c r="F59" s="263"/>
      <c r="G59" s="264"/>
      <c r="H59" s="114"/>
      <c r="I59" s="129"/>
      <c r="J59" s="133"/>
      <c r="K59" s="115"/>
      <c r="L59" s="115"/>
      <c r="M59" s="115"/>
      <c r="N59" s="114"/>
      <c r="O59" s="114"/>
      <c r="P59" s="115"/>
      <c r="Q59" s="115"/>
      <c r="R59" s="115"/>
      <c r="S59" s="115"/>
      <c r="T59" s="114"/>
      <c r="U59" s="114"/>
      <c r="V59" s="116"/>
      <c r="W59" s="114"/>
      <c r="X59" s="114"/>
      <c r="Y59" s="114"/>
      <c r="Z59" s="114"/>
      <c r="AA59" s="114"/>
    </row>
    <row r="60" spans="1:27" ht="15" customHeight="1" thickBot="1" x14ac:dyDescent="0.45">
      <c r="A60" s="114"/>
      <c r="B60" s="259"/>
      <c r="C60" s="35" t="s">
        <v>65</v>
      </c>
      <c r="D60" s="30">
        <f>D58/D52*1000</f>
        <v>399.69757461367345</v>
      </c>
      <c r="E60" s="265"/>
      <c r="F60" s="266"/>
      <c r="G60" s="267"/>
      <c r="H60" s="114"/>
      <c r="I60" s="114"/>
      <c r="J60" s="115"/>
      <c r="K60" s="115"/>
      <c r="L60" s="115"/>
      <c r="M60" s="115"/>
      <c r="N60" s="114"/>
      <c r="O60" s="114"/>
      <c r="P60" s="115"/>
      <c r="Q60" s="115"/>
      <c r="R60" s="115"/>
      <c r="S60" s="115"/>
      <c r="T60" s="114"/>
      <c r="U60" s="114"/>
      <c r="V60" s="116"/>
      <c r="W60" s="114"/>
      <c r="X60" s="114"/>
      <c r="Y60" s="114"/>
      <c r="Z60" s="114"/>
      <c r="AA60" s="114"/>
    </row>
    <row r="61" spans="1:27" ht="15" customHeight="1" x14ac:dyDescent="0.4">
      <c r="A61" s="114"/>
      <c r="B61" s="114"/>
      <c r="C61" s="114"/>
      <c r="D61" s="126"/>
      <c r="E61" s="115"/>
      <c r="F61" s="115"/>
      <c r="G61" s="115"/>
      <c r="H61" s="114"/>
      <c r="I61" s="114"/>
      <c r="J61" s="115"/>
      <c r="K61" s="115"/>
      <c r="L61" s="115"/>
      <c r="M61" s="115"/>
      <c r="N61" s="114"/>
      <c r="O61" s="114"/>
      <c r="P61" s="115"/>
      <c r="Q61" s="115"/>
      <c r="R61" s="115"/>
      <c r="S61" s="115"/>
      <c r="T61" s="114"/>
      <c r="U61" s="114"/>
      <c r="V61" s="116"/>
      <c r="W61" s="114"/>
      <c r="X61" s="114"/>
      <c r="Y61" s="114"/>
      <c r="Z61" s="114"/>
      <c r="AA61" s="114"/>
    </row>
    <row r="62" spans="1:27" ht="15" customHeight="1" x14ac:dyDescent="0.4">
      <c r="A62" s="114"/>
      <c r="B62" s="114"/>
      <c r="C62" s="114"/>
      <c r="D62" s="115"/>
      <c r="E62" s="115"/>
      <c r="F62" s="115"/>
      <c r="G62" s="115"/>
      <c r="H62" s="114"/>
      <c r="I62" s="114"/>
      <c r="J62" s="115"/>
      <c r="K62" s="115"/>
      <c r="L62" s="115"/>
      <c r="M62" s="115"/>
      <c r="N62" s="114"/>
      <c r="O62" s="114"/>
      <c r="P62" s="115"/>
      <c r="Q62" s="115"/>
      <c r="R62" s="115"/>
      <c r="S62" s="115"/>
      <c r="T62" s="114"/>
      <c r="U62" s="114"/>
      <c r="V62" s="116"/>
      <c r="W62" s="114"/>
      <c r="X62" s="114"/>
      <c r="Y62" s="114"/>
      <c r="Z62" s="114"/>
      <c r="AA62" s="114"/>
    </row>
    <row r="63" spans="1:27" ht="15" customHeight="1" x14ac:dyDescent="0.4">
      <c r="A63" s="114"/>
      <c r="B63" s="114"/>
      <c r="C63" s="114"/>
      <c r="D63" s="115"/>
      <c r="E63" s="115"/>
      <c r="F63" s="115"/>
      <c r="G63" s="115"/>
      <c r="H63" s="114"/>
      <c r="I63" s="114"/>
      <c r="J63" s="115"/>
      <c r="K63" s="115"/>
      <c r="L63" s="115"/>
      <c r="M63" s="115"/>
      <c r="N63" s="114"/>
      <c r="O63" s="114"/>
      <c r="P63" s="115"/>
      <c r="Q63" s="115"/>
      <c r="R63" s="115"/>
      <c r="S63" s="115"/>
      <c r="T63" s="114"/>
      <c r="U63" s="114"/>
      <c r="V63" s="116"/>
      <c r="W63" s="114"/>
      <c r="X63" s="114"/>
      <c r="Y63" s="114"/>
      <c r="Z63" s="114"/>
      <c r="AA63" s="114"/>
    </row>
  </sheetData>
  <mergeCells count="60">
    <mergeCell ref="B56:B60"/>
    <mergeCell ref="B35:G35"/>
    <mergeCell ref="B36:B43"/>
    <mergeCell ref="E36:G43"/>
    <mergeCell ref="B44:B55"/>
    <mergeCell ref="E44:G60"/>
    <mergeCell ref="T22:T25"/>
    <mergeCell ref="W22:W25"/>
    <mergeCell ref="Q12:S33"/>
    <mergeCell ref="T18:T21"/>
    <mergeCell ref="W18:Y18"/>
    <mergeCell ref="W19:Y19"/>
    <mergeCell ref="W20:Z20"/>
    <mergeCell ref="T26:V26"/>
    <mergeCell ref="W26:W30"/>
    <mergeCell ref="T27:T33"/>
    <mergeCell ref="W31:W32"/>
    <mergeCell ref="T12:T14"/>
    <mergeCell ref="W12:W14"/>
    <mergeCell ref="T15:T17"/>
    <mergeCell ref="W15:X15"/>
    <mergeCell ref="W16:Y16"/>
    <mergeCell ref="W17:Y17"/>
    <mergeCell ref="B12:B21"/>
    <mergeCell ref="E12:G33"/>
    <mergeCell ref="H12:H21"/>
    <mergeCell ref="K12:M33"/>
    <mergeCell ref="N12:N19"/>
    <mergeCell ref="B24:B30"/>
    <mergeCell ref="H24:H30"/>
    <mergeCell ref="B22:B23"/>
    <mergeCell ref="H22:H23"/>
    <mergeCell ref="N22:N28"/>
    <mergeCell ref="N20:N21"/>
    <mergeCell ref="N29:N30"/>
    <mergeCell ref="B31:B33"/>
    <mergeCell ref="H31:H33"/>
    <mergeCell ref="N31:N33"/>
    <mergeCell ref="W5:Z5"/>
    <mergeCell ref="B6:B11"/>
    <mergeCell ref="H6:H11"/>
    <mergeCell ref="N6:N11"/>
    <mergeCell ref="O6:O7"/>
    <mergeCell ref="S6:S7"/>
    <mergeCell ref="T6:T8"/>
    <mergeCell ref="W7:W8"/>
    <mergeCell ref="T9:T11"/>
    <mergeCell ref="W9:W11"/>
    <mergeCell ref="T5:V5"/>
    <mergeCell ref="J2:K2"/>
    <mergeCell ref="J3:K3"/>
    <mergeCell ref="B5:G5"/>
    <mergeCell ref="H5:M5"/>
    <mergeCell ref="N5:S5"/>
    <mergeCell ref="L2:M2"/>
    <mergeCell ref="L3:M3"/>
    <mergeCell ref="N2:P2"/>
    <mergeCell ref="N3:P3"/>
    <mergeCell ref="R3:U3"/>
    <mergeCell ref="R2:U2"/>
  </mergeCells>
  <phoneticPr fontId="1"/>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7</vt:i4>
      </vt:variant>
    </vt:vector>
  </HeadingPairs>
  <TitlesOfParts>
    <vt:vector size="7" baseType="lpstr">
      <vt:lpstr>Cover</vt:lpstr>
      <vt:lpstr>Manual</vt:lpstr>
      <vt:lpstr>LIB(Gr-TMO)</vt:lpstr>
      <vt:lpstr>LMB(NCM622)</vt:lpstr>
      <vt:lpstr>LMB(NCM811)</vt:lpstr>
      <vt:lpstr>LMB(S)</vt:lpstr>
      <vt:lpstr>LMB(O2)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2020-03-09T05:43:26Z</cp:lastPrinted>
  <dcterms:created xsi:type="dcterms:W3CDTF">2019-07-21T23:37:24Z</dcterms:created>
  <dcterms:modified xsi:type="dcterms:W3CDTF">2020-08-04T00:33:16Z</dcterms:modified>
</cp:coreProperties>
</file>